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0815" windowHeight="9885" activeTab="3"/>
  </bookViews>
  <sheets>
    <sheet name="7PSourceSummary" sheetId="10" r:id="rId1"/>
    <sheet name="forRPM" sheetId="16" r:id="rId2"/>
    <sheet name="SC-New" sheetId="9" r:id="rId3"/>
    <sheet name="SC-Retro" sheetId="8" r:id="rId4"/>
    <sheet name="Accomplishments" sheetId="17" r:id="rId5"/>
    <sheet name="Units Per Home" sheetId="6" r:id="rId6"/>
    <sheet name="M_Input_Out" sheetId="15" r:id="rId7"/>
    <sheet name="M_Input" sheetId="3" r:id="rId8"/>
    <sheet name="Raw" sheetId="1" r:id="rId9"/>
    <sheet name="Cost&amp;Savings" sheetId="14" r:id="rId10"/>
    <sheet name="ETO Blessing" sheetId="7" r:id="rId11"/>
    <sheet name="MI" sheetId="13" r:id="rId12"/>
  </sheets>
  <externalReferences>
    <externalReference r:id="rId13"/>
    <externalReference r:id="rId14"/>
  </externalReferences>
  <definedNames>
    <definedName name="_Key1" localSheetId="0" hidden="1">#REF!</definedName>
    <definedName name="_Key1" localSheetId="2" hidden="1">#REF!</definedName>
    <definedName name="_Key1" localSheetId="3" hidden="1">#REF!</definedName>
    <definedName name="_Key1" hidden="1">#REF!</definedName>
    <definedName name="_Order1" hidden="1">255</definedName>
    <definedName name="_Sort" localSheetId="0" hidden="1">#REF!</definedName>
    <definedName name="_Sort" localSheetId="2" hidden="1">#REF!</definedName>
    <definedName name="_Sort" localSheetId="3" hidden="1">#REF!</definedName>
    <definedName name="_Sort" hidden="1">#REF!</definedName>
    <definedName name="anscount" hidden="1">1</definedName>
    <definedName name="CBWorkbookPriority" hidden="1">-738590518</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D9" i="8"/>
  <c r="D8"/>
  <c r="D9" i="9"/>
  <c r="D8"/>
  <c r="C8" i="8"/>
  <c r="C8" i="9"/>
  <c r="A44" l="1"/>
  <c r="G3" i="16" s="1"/>
  <c r="A45" i="9"/>
  <c r="A46"/>
  <c r="G5" i="16" s="1"/>
  <c r="A47" i="9"/>
  <c r="A48"/>
  <c r="B44"/>
  <c r="H3" i="16" s="1"/>
  <c r="B45" i="9"/>
  <c r="B46"/>
  <c r="B47"/>
  <c r="B48"/>
  <c r="H7" i="16" s="1"/>
  <c r="A61" i="8"/>
  <c r="A62"/>
  <c r="A63"/>
  <c r="G10" i="16" s="1"/>
  <c r="A64" i="8"/>
  <c r="G11" i="16" s="1"/>
  <c r="A65" i="8"/>
  <c r="G12" i="16" s="1"/>
  <c r="B61" i="8"/>
  <c r="B62"/>
  <c r="B63"/>
  <c r="H10" i="16" s="1"/>
  <c r="B64" i="8"/>
  <c r="H11" i="16" s="1"/>
  <c r="B65" i="8"/>
  <c r="Q18" i="14"/>
  <c r="F5"/>
  <c r="F6"/>
  <c r="F7"/>
  <c r="F8"/>
  <c r="F9"/>
  <c r="F10"/>
  <c r="F4"/>
  <c r="N12" i="3"/>
  <c r="M12"/>
  <c r="L12"/>
  <c r="K12"/>
  <c r="J12"/>
  <c r="I12"/>
  <c r="N11"/>
  <c r="M11"/>
  <c r="L11"/>
  <c r="K11"/>
  <c r="J11"/>
  <c r="I11"/>
  <c r="N10"/>
  <c r="M10"/>
  <c r="L10"/>
  <c r="K10"/>
  <c r="J10"/>
  <c r="I10"/>
  <c r="N9"/>
  <c r="M9"/>
  <c r="L9"/>
  <c r="K9"/>
  <c r="J9"/>
  <c r="I9"/>
  <c r="N8"/>
  <c r="M8"/>
  <c r="L8"/>
  <c r="K8"/>
  <c r="J8"/>
  <c r="I8"/>
  <c r="E7" i="14"/>
  <c r="N7"/>
  <c r="B8" i="3"/>
  <c r="D8"/>
  <c r="E8"/>
  <c r="F8"/>
  <c r="B9"/>
  <c r="D9"/>
  <c r="E9"/>
  <c r="F9"/>
  <c r="B10"/>
  <c r="D10"/>
  <c r="E10"/>
  <c r="F10"/>
  <c r="B11"/>
  <c r="D11"/>
  <c r="E11"/>
  <c r="F11"/>
  <c r="B12"/>
  <c r="D12"/>
  <c r="E12"/>
  <c r="F12"/>
  <c r="A9"/>
  <c r="A10"/>
  <c r="A11"/>
  <c r="A12"/>
  <c r="A8"/>
  <c r="F9" i="1"/>
  <c r="F10"/>
  <c r="F11"/>
  <c r="F12"/>
  <c r="F8"/>
  <c r="E12"/>
  <c r="E9"/>
  <c r="E10"/>
  <c r="E11"/>
  <c r="E8"/>
  <c r="A12"/>
  <c r="A9"/>
  <c r="A10"/>
  <c r="A11"/>
  <c r="A8"/>
  <c r="E5" i="14"/>
  <c r="E6"/>
  <c r="E8"/>
  <c r="Q8"/>
  <c r="P8"/>
  <c r="E4"/>
  <c r="N4"/>
  <c r="D19"/>
  <c r="P9" i="1" s="1"/>
  <c r="O9" i="3" s="1"/>
  <c r="D20" i="14"/>
  <c r="D21"/>
  <c r="P11" i="1" s="1"/>
  <c r="O11" i="3" s="1"/>
  <c r="D18" i="14"/>
  <c r="I10"/>
  <c r="G10"/>
  <c r="I9"/>
  <c r="G9"/>
  <c r="I8"/>
  <c r="I7"/>
  <c r="G7"/>
  <c r="G8"/>
  <c r="E10"/>
  <c r="O10"/>
  <c r="G5"/>
  <c r="N12" i="7"/>
  <c r="I5" i="14"/>
  <c r="E9"/>
  <c r="N9"/>
  <c r="Q5"/>
  <c r="P5"/>
  <c r="Q10"/>
  <c r="P10"/>
  <c r="Q7"/>
  <c r="O8"/>
  <c r="O5"/>
  <c r="Q9"/>
  <c r="I11" i="1"/>
  <c r="H11" i="3"/>
  <c r="P7" i="14"/>
  <c r="I10" i="1"/>
  <c r="H10" i="3"/>
  <c r="I9" i="1"/>
  <c r="H9" i="3"/>
  <c r="P30" i="7"/>
  <c r="P9" i="14"/>
  <c r="J12" i="16"/>
  <c r="I12"/>
  <c r="C12"/>
  <c r="B12"/>
  <c r="J11"/>
  <c r="C11"/>
  <c r="B11"/>
  <c r="J10"/>
  <c r="C10"/>
  <c r="B10"/>
  <c r="J9"/>
  <c r="C9"/>
  <c r="B9"/>
  <c r="J8"/>
  <c r="C8"/>
  <c r="B8"/>
  <c r="J7"/>
  <c r="AG7"/>
  <c r="I7"/>
  <c r="C7"/>
  <c r="B7"/>
  <c r="J6"/>
  <c r="C6"/>
  <c r="B6"/>
  <c r="J5"/>
  <c r="C5"/>
  <c r="B5"/>
  <c r="J4"/>
  <c r="C4"/>
  <c r="B4"/>
  <c r="J3"/>
  <c r="C3"/>
  <c r="B3"/>
  <c r="AD2"/>
  <c r="AC2"/>
  <c r="AB2"/>
  <c r="AA2"/>
  <c r="Z2"/>
  <c r="Y2"/>
  <c r="X2"/>
  <c r="W2"/>
  <c r="V2"/>
  <c r="U2"/>
  <c r="T2"/>
  <c r="S2"/>
  <c r="R2"/>
  <c r="Q2"/>
  <c r="P2"/>
  <c r="O2"/>
  <c r="N2"/>
  <c r="M2"/>
  <c r="L2"/>
  <c r="K2"/>
  <c r="AF7"/>
  <c r="AN7"/>
  <c r="AI12"/>
  <c r="AW7"/>
  <c r="AX7"/>
  <c r="AO7"/>
  <c r="AI7"/>
  <c r="BA7"/>
  <c r="AS7"/>
  <c r="AJ7"/>
  <c r="AJ12"/>
  <c r="BB7"/>
  <c r="AT7"/>
  <c r="AK7"/>
  <c r="F12"/>
  <c r="AW12"/>
  <c r="AN12"/>
  <c r="AF12"/>
  <c r="BB12"/>
  <c r="AX12"/>
  <c r="AT12"/>
  <c r="AO12"/>
  <c r="AK12"/>
  <c r="AG12"/>
  <c r="BC12"/>
  <c r="AY12"/>
  <c r="AU12"/>
  <c r="AP12"/>
  <c r="AL12"/>
  <c r="AH12"/>
  <c r="BC7"/>
  <c r="AY7"/>
  <c r="AU7"/>
  <c r="AP7"/>
  <c r="AL7"/>
  <c r="AH7"/>
  <c r="BA12"/>
  <c r="AS12"/>
  <c r="F7"/>
  <c r="BD12"/>
  <c r="AZ12"/>
  <c r="AV12"/>
  <c r="AQ12"/>
  <c r="AM12"/>
  <c r="BD7"/>
  <c r="AZ7"/>
  <c r="AV7"/>
  <c r="AQ7"/>
  <c r="AM7"/>
  <c r="A43" i="9"/>
  <c r="X110" i="8"/>
  <c r="W110"/>
  <c r="V110"/>
  <c r="U110"/>
  <c r="T110"/>
  <c r="S110"/>
  <c r="R110"/>
  <c r="Q110"/>
  <c r="P110"/>
  <c r="O110"/>
  <c r="N110"/>
  <c r="M110"/>
  <c r="L110"/>
  <c r="K110"/>
  <c r="J110"/>
  <c r="I110"/>
  <c r="H110"/>
  <c r="G110"/>
  <c r="F110"/>
  <c r="E110"/>
  <c r="X73"/>
  <c r="W73"/>
  <c r="V73"/>
  <c r="U73"/>
  <c r="T73"/>
  <c r="S73"/>
  <c r="R73"/>
  <c r="Q73"/>
  <c r="P73"/>
  <c r="O73"/>
  <c r="N73"/>
  <c r="M73"/>
  <c r="L73"/>
  <c r="K73"/>
  <c r="J73"/>
  <c r="I73"/>
  <c r="H73"/>
  <c r="G73"/>
  <c r="F73"/>
  <c r="E73"/>
  <c r="X60"/>
  <c r="W60"/>
  <c r="V60"/>
  <c r="U60"/>
  <c r="T60"/>
  <c r="S60"/>
  <c r="R60"/>
  <c r="Q60"/>
  <c r="P60"/>
  <c r="O60"/>
  <c r="N60"/>
  <c r="M60"/>
  <c r="L60"/>
  <c r="K60"/>
  <c r="J60"/>
  <c r="I60"/>
  <c r="H60"/>
  <c r="G60"/>
  <c r="F60"/>
  <c r="E60"/>
  <c r="X92" i="9"/>
  <c r="W92"/>
  <c r="V92"/>
  <c r="U92"/>
  <c r="T92"/>
  <c r="S92"/>
  <c r="R92"/>
  <c r="Q92"/>
  <c r="P92"/>
  <c r="O92"/>
  <c r="N92"/>
  <c r="M92"/>
  <c r="L92"/>
  <c r="K92"/>
  <c r="J92"/>
  <c r="I92"/>
  <c r="H92"/>
  <c r="G92"/>
  <c r="F92"/>
  <c r="E92"/>
  <c r="X55"/>
  <c r="W55"/>
  <c r="V55"/>
  <c r="U55"/>
  <c r="T55"/>
  <c r="S55"/>
  <c r="R55"/>
  <c r="Q55"/>
  <c r="P55"/>
  <c r="O55"/>
  <c r="N55"/>
  <c r="M55"/>
  <c r="L55"/>
  <c r="K55"/>
  <c r="J55"/>
  <c r="I55"/>
  <c r="H55"/>
  <c r="G55"/>
  <c r="F55"/>
  <c r="E55"/>
  <c r="X43"/>
  <c r="W43"/>
  <c r="V43"/>
  <c r="U43"/>
  <c r="T43"/>
  <c r="S43"/>
  <c r="R43"/>
  <c r="Q43"/>
  <c r="P43"/>
  <c r="O43"/>
  <c r="N43"/>
  <c r="M43"/>
  <c r="L43"/>
  <c r="K43"/>
  <c r="J43"/>
  <c r="I43"/>
  <c r="H43"/>
  <c r="G43"/>
  <c r="F43"/>
  <c r="E43"/>
  <c r="G7" i="16"/>
  <c r="H12"/>
  <c r="G4" i="14"/>
  <c r="S17"/>
  <c r="S16"/>
  <c r="I6"/>
  <c r="I4"/>
  <c r="C28"/>
  <c r="Q6"/>
  <c r="I12" i="1"/>
  <c r="H12" i="3"/>
  <c r="H15" i="7"/>
  <c r="H14"/>
  <c r="G6" i="14"/>
  <c r="Q4"/>
  <c r="P6"/>
  <c r="N6"/>
  <c r="S19"/>
  <c r="D12" i="1"/>
  <c r="C12" i="3"/>
  <c r="P4" i="14"/>
  <c r="I8" i="1"/>
  <c r="H8" i="3"/>
  <c r="X136" i="9"/>
  <c r="W136"/>
  <c r="V136"/>
  <c r="U136"/>
  <c r="T136"/>
  <c r="S136"/>
  <c r="R136"/>
  <c r="Q136"/>
  <c r="P136"/>
  <c r="O136"/>
  <c r="N136"/>
  <c r="M136"/>
  <c r="L136"/>
  <c r="K136"/>
  <c r="J136"/>
  <c r="I136"/>
  <c r="H136"/>
  <c r="G136"/>
  <c r="F136"/>
  <c r="E136"/>
  <c r="X12" i="8"/>
  <c r="W12"/>
  <c r="V12"/>
  <c r="U12"/>
  <c r="T12"/>
  <c r="S12"/>
  <c r="R12"/>
  <c r="Q12"/>
  <c r="P12"/>
  <c r="O12"/>
  <c r="N12"/>
  <c r="M12"/>
  <c r="L12"/>
  <c r="K12"/>
  <c r="J12"/>
  <c r="I12"/>
  <c r="H12"/>
  <c r="G12"/>
  <c r="F12"/>
  <c r="E12"/>
  <c r="E21"/>
  <c r="P24" i="7"/>
  <c r="R23"/>
  <c r="R22"/>
  <c r="R25"/>
  <c r="E60"/>
  <c r="E59"/>
  <c r="E58"/>
  <c r="E57"/>
  <c r="E56"/>
  <c r="E55"/>
  <c r="E54"/>
  <c r="E53"/>
  <c r="C44"/>
  <c r="D37"/>
  <c r="C38"/>
  <c r="D36"/>
  <c r="B32"/>
  <c r="C29"/>
  <c r="D11"/>
  <c r="L12"/>
  <c r="L11"/>
  <c r="L15"/>
  <c r="L14"/>
  <c r="D15"/>
  <c r="D14"/>
  <c r="D12"/>
  <c r="H11"/>
  <c r="H12"/>
  <c r="D38"/>
  <c r="C39"/>
  <c r="M11"/>
  <c r="P11"/>
  <c r="O11"/>
  <c r="N15"/>
  <c r="P15"/>
  <c r="O15"/>
  <c r="P14"/>
  <c r="O14"/>
  <c r="M14"/>
  <c r="P12"/>
  <c r="O12"/>
  <c r="C39" i="8"/>
  <c r="A11" i="9"/>
  <c r="E25" i="8"/>
  <c r="E24"/>
  <c r="E23"/>
  <c r="E22"/>
  <c r="C43"/>
  <c r="B43"/>
  <c r="C42"/>
  <c r="C41"/>
  <c r="C40"/>
  <c r="A20"/>
  <c r="A11"/>
  <c r="X21"/>
  <c r="W21"/>
  <c r="V21"/>
  <c r="U21"/>
  <c r="T21"/>
  <c r="S21"/>
  <c r="R21"/>
  <c r="Q21"/>
  <c r="P21"/>
  <c r="O21"/>
  <c r="N21"/>
  <c r="M21"/>
  <c r="L21"/>
  <c r="K21"/>
  <c r="J21"/>
  <c r="I21"/>
  <c r="H21"/>
  <c r="G21"/>
  <c r="F21"/>
  <c r="B26" i="9"/>
  <c r="H4" i="16"/>
  <c r="C140" i="9"/>
  <c r="C139"/>
  <c r="C138"/>
  <c r="C137"/>
  <c r="C92"/>
  <c r="X91"/>
  <c r="W91"/>
  <c r="V91"/>
  <c r="U91"/>
  <c r="T91"/>
  <c r="S91"/>
  <c r="R91"/>
  <c r="Q91"/>
  <c r="P91"/>
  <c r="O91"/>
  <c r="N91"/>
  <c r="M91"/>
  <c r="L91"/>
  <c r="K91"/>
  <c r="J91"/>
  <c r="I91"/>
  <c r="H91"/>
  <c r="G91"/>
  <c r="F91"/>
  <c r="E91"/>
  <c r="X54"/>
  <c r="W54"/>
  <c r="V54"/>
  <c r="U54"/>
  <c r="T54"/>
  <c r="S54"/>
  <c r="R54"/>
  <c r="Q54"/>
  <c r="P54"/>
  <c r="O54"/>
  <c r="N54"/>
  <c r="M54"/>
  <c r="L54"/>
  <c r="K54"/>
  <c r="J54"/>
  <c r="I54"/>
  <c r="H54"/>
  <c r="G54"/>
  <c r="F54"/>
  <c r="E54"/>
  <c r="C47"/>
  <c r="C46"/>
  <c r="I5" i="16"/>
  <c r="C45" i="9"/>
  <c r="I4" i="16"/>
  <c r="C44" i="9"/>
  <c r="X42"/>
  <c r="W42"/>
  <c r="V42"/>
  <c r="U42"/>
  <c r="T42"/>
  <c r="S42"/>
  <c r="R42"/>
  <c r="Q42"/>
  <c r="P42"/>
  <c r="O42"/>
  <c r="N42"/>
  <c r="M42"/>
  <c r="L42"/>
  <c r="K42"/>
  <c r="J42"/>
  <c r="I42"/>
  <c r="H42"/>
  <c r="G42"/>
  <c r="F42"/>
  <c r="E42"/>
  <c r="C41"/>
  <c r="C36"/>
  <c r="C32"/>
  <c r="A31" s="1"/>
  <c r="C25"/>
  <c r="C24"/>
  <c r="C34"/>
  <c r="C23"/>
  <c r="B23"/>
  <c r="C22"/>
  <c r="A21" s="1"/>
  <c r="X12"/>
  <c r="W12"/>
  <c r="V12"/>
  <c r="U12"/>
  <c r="T12"/>
  <c r="S12"/>
  <c r="R12"/>
  <c r="Q12"/>
  <c r="P12"/>
  <c r="O12"/>
  <c r="N12"/>
  <c r="M12"/>
  <c r="L12"/>
  <c r="K12"/>
  <c r="J12"/>
  <c r="I12"/>
  <c r="H12"/>
  <c r="G12"/>
  <c r="F12"/>
  <c r="E12"/>
  <c r="C9"/>
  <c r="X109" i="8"/>
  <c r="W109"/>
  <c r="V109"/>
  <c r="U109"/>
  <c r="T109"/>
  <c r="S109"/>
  <c r="R109"/>
  <c r="Q109"/>
  <c r="P109"/>
  <c r="O109"/>
  <c r="N109"/>
  <c r="M109"/>
  <c r="L109"/>
  <c r="K109"/>
  <c r="J109"/>
  <c r="I109"/>
  <c r="H109"/>
  <c r="G109"/>
  <c r="F109"/>
  <c r="E109"/>
  <c r="X72"/>
  <c r="W72"/>
  <c r="V72"/>
  <c r="U72"/>
  <c r="T72"/>
  <c r="S72"/>
  <c r="R72"/>
  <c r="Q72"/>
  <c r="P72"/>
  <c r="O72"/>
  <c r="N72"/>
  <c r="M72"/>
  <c r="L72"/>
  <c r="K72"/>
  <c r="J72"/>
  <c r="I72"/>
  <c r="H72"/>
  <c r="G72"/>
  <c r="F72"/>
  <c r="E72"/>
  <c r="C64"/>
  <c r="I11" i="16"/>
  <c r="C63" i="8"/>
  <c r="I10" i="16"/>
  <c r="C62" i="8"/>
  <c r="I9" i="16"/>
  <c r="C61" i="8"/>
  <c r="X59"/>
  <c r="W59"/>
  <c r="V59"/>
  <c r="U59"/>
  <c r="T59"/>
  <c r="S59"/>
  <c r="R59"/>
  <c r="Q59"/>
  <c r="P59"/>
  <c r="O59"/>
  <c r="N59"/>
  <c r="M59"/>
  <c r="L59"/>
  <c r="K59"/>
  <c r="J59"/>
  <c r="I59"/>
  <c r="H59"/>
  <c r="G59"/>
  <c r="F59"/>
  <c r="E59"/>
  <c r="C58"/>
  <c r="C52"/>
  <c r="C51"/>
  <c r="C50"/>
  <c r="C49"/>
  <c r="C34"/>
  <c r="B34"/>
  <c r="C33"/>
  <c r="C32"/>
  <c r="B32"/>
  <c r="C31"/>
  <c r="B31"/>
  <c r="C30"/>
  <c r="D109" s="1"/>
  <c r="C9"/>
  <c r="B33"/>
  <c r="H8" i="16"/>
  <c r="I8"/>
  <c r="AF9"/>
  <c r="BA9"/>
  <c r="AK9"/>
  <c r="AU9"/>
  <c r="AW9"/>
  <c r="AS9"/>
  <c r="AP9"/>
  <c r="AV9"/>
  <c r="AN9"/>
  <c r="AX9"/>
  <c r="AI9"/>
  <c r="AJ9"/>
  <c r="BB9"/>
  <c r="BC9"/>
  <c r="AL9"/>
  <c r="AQ9"/>
  <c r="AG9"/>
  <c r="F9"/>
  <c r="AO9"/>
  <c r="AT9"/>
  <c r="AY9"/>
  <c r="AH9"/>
  <c r="AZ9"/>
  <c r="AM9"/>
  <c r="BD9"/>
  <c r="AS4"/>
  <c r="AO4"/>
  <c r="BC4"/>
  <c r="AL4"/>
  <c r="AI4"/>
  <c r="AJ4"/>
  <c r="AN4"/>
  <c r="BB4"/>
  <c r="AK4"/>
  <c r="AY4"/>
  <c r="AH4"/>
  <c r="AZ4"/>
  <c r="BA4"/>
  <c r="AF4"/>
  <c r="AX4"/>
  <c r="AG4"/>
  <c r="AU4"/>
  <c r="AV4"/>
  <c r="F4"/>
  <c r="AW4"/>
  <c r="AT4"/>
  <c r="AQ4"/>
  <c r="AM4"/>
  <c r="BD4"/>
  <c r="AP4"/>
  <c r="I3"/>
  <c r="AI10"/>
  <c r="AN10"/>
  <c r="AO10"/>
  <c r="BC10"/>
  <c r="AL10"/>
  <c r="AJ10"/>
  <c r="AF10"/>
  <c r="BB10"/>
  <c r="AK10"/>
  <c r="AY10"/>
  <c r="AH10"/>
  <c r="BA10"/>
  <c r="AQ10"/>
  <c r="AX10"/>
  <c r="AG10"/>
  <c r="F10"/>
  <c r="AU10"/>
  <c r="AS10"/>
  <c r="BD10"/>
  <c r="AM10"/>
  <c r="AW10"/>
  <c r="AT10"/>
  <c r="AP10"/>
  <c r="AZ10"/>
  <c r="AV10"/>
  <c r="BA5"/>
  <c r="AX5"/>
  <c r="AG5"/>
  <c r="AU5"/>
  <c r="AN5"/>
  <c r="AJ5"/>
  <c r="AT5"/>
  <c r="AP5"/>
  <c r="AV5"/>
  <c r="AS5"/>
  <c r="AW5"/>
  <c r="AO5"/>
  <c r="BC5"/>
  <c r="AL5"/>
  <c r="AQ5"/>
  <c r="F5"/>
  <c r="AI5"/>
  <c r="AF5"/>
  <c r="BB5"/>
  <c r="AK5"/>
  <c r="AY5"/>
  <c r="BD5"/>
  <c r="AZ5"/>
  <c r="AM5"/>
  <c r="AH5"/>
  <c r="G4"/>
  <c r="AW11"/>
  <c r="AG11"/>
  <c r="AX11"/>
  <c r="AI11"/>
  <c r="AT11"/>
  <c r="AU11"/>
  <c r="AO11"/>
  <c r="BA11"/>
  <c r="AK11"/>
  <c r="AP11"/>
  <c r="BD11"/>
  <c r="AM11"/>
  <c r="AS11"/>
  <c r="BC11"/>
  <c r="AL11"/>
  <c r="F11"/>
  <c r="AZ11"/>
  <c r="AF11"/>
  <c r="AN11"/>
  <c r="AJ11"/>
  <c r="BB11"/>
  <c r="AY11"/>
  <c r="AH11"/>
  <c r="AQ11"/>
  <c r="AV11"/>
  <c r="H6"/>
  <c r="I6"/>
  <c r="H5"/>
  <c r="B25" i="9"/>
  <c r="B42" i="8"/>
  <c r="G8" i="16"/>
  <c r="G9"/>
  <c r="H9"/>
  <c r="G6"/>
  <c r="B24" i="9"/>
  <c r="C33"/>
  <c r="B41" i="8"/>
  <c r="B40"/>
  <c r="AJ3" i="16"/>
  <c r="F3"/>
  <c r="AK3"/>
  <c r="AI3"/>
  <c r="AZ3"/>
  <c r="AX3"/>
  <c r="AG3"/>
  <c r="AF3"/>
  <c r="AT3"/>
  <c r="AM3"/>
  <c r="BD3"/>
  <c r="AH3"/>
  <c r="AY3"/>
  <c r="BA3"/>
  <c r="AS3"/>
  <c r="AO3"/>
  <c r="BC3"/>
  <c r="AN3"/>
  <c r="BB3"/>
  <c r="AQ3"/>
  <c r="AL3"/>
  <c r="AW3"/>
  <c r="AV3"/>
  <c r="AU3"/>
  <c r="AP3"/>
  <c r="AJ6"/>
  <c r="AO6"/>
  <c r="BC6"/>
  <c r="AL6"/>
  <c r="BA6"/>
  <c r="AF6"/>
  <c r="BB6"/>
  <c r="AK6"/>
  <c r="AY6"/>
  <c r="AH6"/>
  <c r="AQ6"/>
  <c r="AI6"/>
  <c r="AW6"/>
  <c r="AS6"/>
  <c r="AX6"/>
  <c r="AG6"/>
  <c r="AU6"/>
  <c r="BD6"/>
  <c r="AM6"/>
  <c r="AN6"/>
  <c r="AT6"/>
  <c r="F6"/>
  <c r="AZ6"/>
  <c r="AP6"/>
  <c r="AV6"/>
  <c r="AF8"/>
  <c r="AJ8"/>
  <c r="AX8"/>
  <c r="AG8"/>
  <c r="BC8"/>
  <c r="AL8"/>
  <c r="AT8"/>
  <c r="AY8"/>
  <c r="AH8"/>
  <c r="AZ8"/>
  <c r="AW8"/>
  <c r="AO8"/>
  <c r="AU8"/>
  <c r="F8"/>
  <c r="AV8"/>
  <c r="AI8"/>
  <c r="AS8"/>
  <c r="BB8"/>
  <c r="AK8"/>
  <c r="AP8"/>
  <c r="AM8"/>
  <c r="BD8"/>
  <c r="AQ8"/>
  <c r="BA8"/>
  <c r="AN8"/>
  <c r="A29" i="8" l="1"/>
  <c r="C48"/>
  <c r="A47" s="1"/>
  <c r="A38"/>
  <c r="D11" i="1"/>
  <c r="C11" i="3" s="1"/>
  <c r="D9" i="1"/>
  <c r="C9" i="3" s="1"/>
  <c r="D10" i="1"/>
  <c r="C10" i="3" s="1"/>
  <c r="P10" i="1"/>
  <c r="O10" i="3" s="1"/>
  <c r="P8" i="1"/>
  <c r="O8" i="3" s="1"/>
  <c r="D8" i="1"/>
  <c r="C8" i="3" s="1"/>
  <c r="A10" i="16" l="1"/>
  <c r="A3"/>
  <c r="A11"/>
  <c r="S48" i="8"/>
  <c r="W32" i="9"/>
  <c r="G32"/>
  <c r="V48" i="8"/>
  <c r="F32" i="9"/>
  <c r="L48" i="8"/>
  <c r="L32" i="9"/>
  <c r="U48" i="8"/>
  <c r="E48"/>
  <c r="R48"/>
  <c r="A23" i="9"/>
  <c r="A31" i="8"/>
  <c r="A41"/>
  <c r="E41" s="1"/>
  <c r="A42"/>
  <c r="E42" s="1"/>
  <c r="U32" i="9" l="1"/>
  <c r="E32"/>
  <c r="X48" i="8"/>
  <c r="P32" i="9"/>
  <c r="O48" i="8"/>
  <c r="A8" i="16"/>
  <c r="A25" i="9"/>
  <c r="A43" i="8"/>
  <c r="E43" s="1"/>
  <c r="J32" i="9"/>
  <c r="Q32"/>
  <c r="M48" i="8"/>
  <c r="J48"/>
  <c r="X32" i="9"/>
  <c r="T48" i="8"/>
  <c r="V32" i="9"/>
  <c r="H32"/>
  <c r="O32"/>
  <c r="K48" i="8"/>
  <c r="A9" i="9"/>
  <c r="E3" i="16" s="1"/>
  <c r="A5"/>
  <c r="A7"/>
  <c r="F48" i="8"/>
  <c r="Q48"/>
  <c r="H48"/>
  <c r="N48"/>
  <c r="S32" i="9"/>
  <c r="A4" i="16"/>
  <c r="A9"/>
  <c r="M32" i="9"/>
  <c r="I48" i="8"/>
  <c r="R32" i="9"/>
  <c r="T32"/>
  <c r="P48" i="8"/>
  <c r="N32" i="9"/>
  <c r="I32"/>
  <c r="K32"/>
  <c r="G48" i="8"/>
  <c r="W48"/>
  <c r="A6" i="16"/>
  <c r="A12"/>
  <c r="A9" i="8"/>
  <c r="E10" i="16" s="1"/>
  <c r="A33" i="8"/>
  <c r="A24" i="9"/>
  <c r="A40" i="8"/>
  <c r="E40" s="1"/>
  <c r="A32"/>
  <c r="A26" i="9"/>
  <c r="A34" i="8"/>
  <c r="E7" i="16"/>
  <c r="E6"/>
  <c r="E5"/>
  <c r="E11"/>
  <c r="E45" i="8"/>
  <c r="E4" i="16" l="1"/>
  <c r="E12"/>
  <c r="E9"/>
  <c r="E8"/>
  <c r="X16" i="9" l="1"/>
  <c r="S13"/>
  <c r="K14"/>
  <c r="Q14"/>
  <c r="R14"/>
  <c r="F13"/>
  <c r="K16"/>
  <c r="U15"/>
  <c r="U25" s="1"/>
  <c r="U35" s="1"/>
  <c r="L13"/>
  <c r="S14"/>
  <c r="S24" s="1"/>
  <c r="S34" s="1"/>
  <c r="O14"/>
  <c r="O24" s="1"/>
  <c r="O34" s="1"/>
  <c r="N14"/>
  <c r="U16"/>
  <c r="R16"/>
  <c r="I14"/>
  <c r="G14"/>
  <c r="R13"/>
  <c r="K13"/>
  <c r="J15"/>
  <c r="J25" s="1"/>
  <c r="J35" s="1"/>
  <c r="W15"/>
  <c r="F16"/>
  <c r="F26" s="1"/>
  <c r="F36" s="1"/>
  <c r="G13"/>
  <c r="F15"/>
  <c r="I15"/>
  <c r="X14"/>
  <c r="X15"/>
  <c r="V16"/>
  <c r="V26" s="1"/>
  <c r="V36" s="1"/>
  <c r="P13"/>
  <c r="P14"/>
  <c r="U13"/>
  <c r="W14"/>
  <c r="W24" s="1"/>
  <c r="W34" s="1"/>
  <c r="G15"/>
  <c r="L16"/>
  <c r="L26" s="1"/>
  <c r="L36" s="1"/>
  <c r="P15"/>
  <c r="H15"/>
  <c r="H25" s="1"/>
  <c r="H35" s="1"/>
  <c r="K15"/>
  <c r="J16"/>
  <c r="Q15"/>
  <c r="Q25" s="1"/>
  <c r="Q35" s="1"/>
  <c r="V14"/>
  <c r="S15"/>
  <c r="V15"/>
  <c r="M15"/>
  <c r="O15"/>
  <c r="F14"/>
  <c r="T13"/>
  <c r="I16"/>
  <c r="J14"/>
  <c r="J24" s="1"/>
  <c r="J34" s="1"/>
  <c r="J13"/>
  <c r="X13"/>
  <c r="H16"/>
  <c r="W16"/>
  <c r="L14"/>
  <c r="L24" s="1"/>
  <c r="L34" s="1"/>
  <c r="N16"/>
  <c r="N26" s="1"/>
  <c r="N36" s="1"/>
  <c r="G16"/>
  <c r="G26" s="1"/>
  <c r="G36" s="1"/>
  <c r="H13"/>
  <c r="N13"/>
  <c r="M16"/>
  <c r="M14"/>
  <c r="O16"/>
  <c r="O26" s="1"/>
  <c r="O36" s="1"/>
  <c r="Q13"/>
  <c r="S16"/>
  <c r="S26" s="1"/>
  <c r="S36" s="1"/>
  <c r="N15"/>
  <c r="Q16"/>
  <c r="T14"/>
  <c r="T24" s="1"/>
  <c r="T34" s="1"/>
  <c r="R15"/>
  <c r="R25" s="1"/>
  <c r="R35" s="1"/>
  <c r="O13"/>
  <c r="T16"/>
  <c r="T26" s="1"/>
  <c r="T36" s="1"/>
  <c r="I13"/>
  <c r="V13"/>
  <c r="M13"/>
  <c r="L15"/>
  <c r="L25" s="1"/>
  <c r="L35" s="1"/>
  <c r="H14"/>
  <c r="U14"/>
  <c r="P16"/>
  <c r="W13"/>
  <c r="T15"/>
  <c r="E16"/>
  <c r="E14"/>
  <c r="E15"/>
  <c r="Q16" i="8"/>
  <c r="Q34" s="1"/>
  <c r="G15"/>
  <c r="G33" s="1"/>
  <c r="J13"/>
  <c r="L16"/>
  <c r="L34" s="1"/>
  <c r="Q14"/>
  <c r="Q32" s="1"/>
  <c r="T13"/>
  <c r="F14"/>
  <c r="F32" s="1"/>
  <c r="F15"/>
  <c r="F33" s="1"/>
  <c r="T16"/>
  <c r="T34" s="1"/>
  <c r="W14"/>
  <c r="W32" s="1"/>
  <c r="O16"/>
  <c r="O34" s="1"/>
  <c r="T14"/>
  <c r="T32" s="1"/>
  <c r="R13"/>
  <c r="S13"/>
  <c r="J16"/>
  <c r="J34" s="1"/>
  <c r="W15"/>
  <c r="W33" s="1"/>
  <c r="G13"/>
  <c r="H13"/>
  <c r="P15"/>
  <c r="P33" s="1"/>
  <c r="R14"/>
  <c r="R32" s="1"/>
  <c r="X14"/>
  <c r="X32" s="1"/>
  <c r="Q13"/>
  <c r="J14"/>
  <c r="J32" s="1"/>
  <c r="G14"/>
  <c r="G32" s="1"/>
  <c r="V16"/>
  <c r="V34" s="1"/>
  <c r="O13"/>
  <c r="X15"/>
  <c r="X33" s="1"/>
  <c r="I15"/>
  <c r="I33" s="1"/>
  <c r="U14"/>
  <c r="U32" s="1"/>
  <c r="P14"/>
  <c r="P32" s="1"/>
  <c r="V14"/>
  <c r="V32" s="1"/>
  <c r="H14"/>
  <c r="H32" s="1"/>
  <c r="R16"/>
  <c r="R34" s="1"/>
  <c r="I13"/>
  <c r="O14"/>
  <c r="O32" s="1"/>
  <c r="G16"/>
  <c r="G34" s="1"/>
  <c r="M14"/>
  <c r="M32" s="1"/>
  <c r="P13"/>
  <c r="S16"/>
  <c r="S34" s="1"/>
  <c r="N13"/>
  <c r="L13"/>
  <c r="H16"/>
  <c r="H34" s="1"/>
  <c r="F16"/>
  <c r="F34" s="1"/>
  <c r="H15"/>
  <c r="H33" s="1"/>
  <c r="F13"/>
  <c r="W13"/>
  <c r="L14"/>
  <c r="L32" s="1"/>
  <c r="U15"/>
  <c r="U33" s="1"/>
  <c r="L15"/>
  <c r="L33" s="1"/>
  <c r="Q15"/>
  <c r="Q33" s="1"/>
  <c r="X16"/>
  <c r="X34" s="1"/>
  <c r="I16"/>
  <c r="I34" s="1"/>
  <c r="N16"/>
  <c r="N34" s="1"/>
  <c r="K13"/>
  <c r="O15"/>
  <c r="O33" s="1"/>
  <c r="K14"/>
  <c r="K32" s="1"/>
  <c r="T15"/>
  <c r="T33" s="1"/>
  <c r="U16"/>
  <c r="U34" s="1"/>
  <c r="K15"/>
  <c r="K33" s="1"/>
  <c r="N14"/>
  <c r="N32" s="1"/>
  <c r="W16"/>
  <c r="W34" s="1"/>
  <c r="V13"/>
  <c r="M15"/>
  <c r="M33" s="1"/>
  <c r="N15"/>
  <c r="N33" s="1"/>
  <c r="X13"/>
  <c r="K16"/>
  <c r="K34" s="1"/>
  <c r="M16"/>
  <c r="M34" s="1"/>
  <c r="U13"/>
  <c r="R15"/>
  <c r="R33" s="1"/>
  <c r="M13"/>
  <c r="I14"/>
  <c r="I32" s="1"/>
  <c r="V15"/>
  <c r="V33" s="1"/>
  <c r="S15"/>
  <c r="S33" s="1"/>
  <c r="S14"/>
  <c r="S32" s="1"/>
  <c r="P16"/>
  <c r="P34" s="1"/>
  <c r="J15"/>
  <c r="J33" s="1"/>
  <c r="E16"/>
  <c r="E34" s="1"/>
  <c r="E52" s="1"/>
  <c r="E14"/>
  <c r="E32" s="1"/>
  <c r="E50" s="1"/>
  <c r="E15"/>
  <c r="E33" s="1"/>
  <c r="E51" s="1"/>
  <c r="E13" i="9"/>
  <c r="E13" i="8"/>
  <c r="W18" i="9" l="1"/>
  <c r="W23"/>
  <c r="U24"/>
  <c r="U34" s="1"/>
  <c r="U45" s="1"/>
  <c r="AA4" i="16" s="1"/>
  <c r="L139" i="9"/>
  <c r="M24" i="8" s="1"/>
  <c r="L46" i="9"/>
  <c r="R5" i="16" s="1"/>
  <c r="V18" i="9"/>
  <c r="V23"/>
  <c r="T140"/>
  <c r="U25" i="8" s="1"/>
  <c r="T47" i="9"/>
  <c r="Z6" i="16" s="1"/>
  <c r="R139" i="9"/>
  <c r="S24" i="8" s="1"/>
  <c r="R46" i="9"/>
  <c r="X5" i="16" s="1"/>
  <c r="Q26" i="9"/>
  <c r="Q36" s="1"/>
  <c r="Q47" s="1"/>
  <c r="W6" i="16" s="1"/>
  <c r="S140" i="9"/>
  <c r="T25" i="8" s="1"/>
  <c r="S47" i="9"/>
  <c r="Y6" i="16" s="1"/>
  <c r="O140" i="9"/>
  <c r="P25" i="8" s="1"/>
  <c r="O47" i="9"/>
  <c r="U6" i="16" s="1"/>
  <c r="M26" i="9"/>
  <c r="M36" s="1"/>
  <c r="M47" s="1"/>
  <c r="S6" i="16" s="1"/>
  <c r="H18" i="9"/>
  <c r="H23"/>
  <c r="N140"/>
  <c r="O25" i="8" s="1"/>
  <c r="N47" i="9"/>
  <c r="T6" i="16" s="1"/>
  <c r="W26" i="9"/>
  <c r="W36" s="1"/>
  <c r="W47" s="1"/>
  <c r="AC6" i="16" s="1"/>
  <c r="X18" i="9"/>
  <c r="X23"/>
  <c r="J138"/>
  <c r="K23" i="8" s="1"/>
  <c r="J45" i="9"/>
  <c r="P4" i="16" s="1"/>
  <c r="T18" i="9"/>
  <c r="T23"/>
  <c r="O25"/>
  <c r="O35" s="1"/>
  <c r="O46" s="1"/>
  <c r="U5" i="16" s="1"/>
  <c r="V25" i="9"/>
  <c r="V35" s="1"/>
  <c r="V46" s="1"/>
  <c r="AB5" i="16" s="1"/>
  <c r="V24" i="9"/>
  <c r="V34" s="1"/>
  <c r="V45" s="1"/>
  <c r="AB4" i="16" s="1"/>
  <c r="J26" i="9"/>
  <c r="J36" s="1"/>
  <c r="J47" s="1"/>
  <c r="P6" i="16" s="1"/>
  <c r="H139" i="9"/>
  <c r="I24" i="8" s="1"/>
  <c r="H46" i="9"/>
  <c r="N5" i="16" s="1"/>
  <c r="L140" i="9"/>
  <c r="M25" i="8" s="1"/>
  <c r="L47" i="9"/>
  <c r="R6" i="16" s="1"/>
  <c r="W138" i="9"/>
  <c r="X23" i="8" s="1"/>
  <c r="W45" i="9"/>
  <c r="AC4" i="16" s="1"/>
  <c r="P24" i="9"/>
  <c r="P34" s="1"/>
  <c r="P45" s="1"/>
  <c r="V4" i="16" s="1"/>
  <c r="V140" i="9"/>
  <c r="W25" i="8" s="1"/>
  <c r="V47" i="9"/>
  <c r="AB6" i="16" s="1"/>
  <c r="X24" i="9"/>
  <c r="F25"/>
  <c r="F35" s="1"/>
  <c r="F46" s="1"/>
  <c r="L5" i="16" s="1"/>
  <c r="F140" i="9"/>
  <c r="G25" i="8" s="1"/>
  <c r="F47" i="9"/>
  <c r="L6" i="16" s="1"/>
  <c r="J139" i="9"/>
  <c r="K24" i="8" s="1"/>
  <c r="J46" i="9"/>
  <c r="P5" i="16" s="1"/>
  <c r="R18" i="9"/>
  <c r="R23"/>
  <c r="I24"/>
  <c r="I34" s="1"/>
  <c r="I45" s="1"/>
  <c r="O4" i="16" s="1"/>
  <c r="U26" i="9"/>
  <c r="U36" s="1"/>
  <c r="U47" s="1"/>
  <c r="AA6" i="16" s="1"/>
  <c r="O138" i="9"/>
  <c r="P23" i="8" s="1"/>
  <c r="O45" i="9"/>
  <c r="U4" i="16" s="1"/>
  <c r="L18" i="9"/>
  <c r="L23"/>
  <c r="K26"/>
  <c r="K36" s="1"/>
  <c r="K47" s="1"/>
  <c r="Q6" i="16" s="1"/>
  <c r="R24" i="9"/>
  <c r="R34" s="1"/>
  <c r="R45" s="1"/>
  <c r="X4" i="16" s="1"/>
  <c r="K24" i="9"/>
  <c r="K34" s="1"/>
  <c r="K45" s="1"/>
  <c r="Q4" i="16" s="1"/>
  <c r="X26" i="9"/>
  <c r="T25"/>
  <c r="T35" s="1"/>
  <c r="T46" s="1"/>
  <c r="Z5" i="16" s="1"/>
  <c r="P26" i="9"/>
  <c r="P36" s="1"/>
  <c r="P47" s="1"/>
  <c r="V6" i="16" s="1"/>
  <c r="H24" i="9"/>
  <c r="H34" s="1"/>
  <c r="H45" s="1"/>
  <c r="N4" i="16" s="1"/>
  <c r="M18" i="9"/>
  <c r="M23"/>
  <c r="I18"/>
  <c r="I23"/>
  <c r="O18"/>
  <c r="O23"/>
  <c r="T138"/>
  <c r="U23" i="8" s="1"/>
  <c r="T45" i="9"/>
  <c r="Z4" i="16" s="1"/>
  <c r="N25" i="9"/>
  <c r="N35" s="1"/>
  <c r="N46" s="1"/>
  <c r="T5" i="16" s="1"/>
  <c r="Q18" i="9"/>
  <c r="Q23"/>
  <c r="M24"/>
  <c r="M34" s="1"/>
  <c r="M45" s="1"/>
  <c r="S4" i="16" s="1"/>
  <c r="N18" i="9"/>
  <c r="N23"/>
  <c r="G140"/>
  <c r="H25" i="8" s="1"/>
  <c r="G47" i="9"/>
  <c r="M6" i="16" s="1"/>
  <c r="L138" i="9"/>
  <c r="M23" i="8" s="1"/>
  <c r="L45" i="9"/>
  <c r="R4" i="16" s="1"/>
  <c r="H26" i="9"/>
  <c r="H36" s="1"/>
  <c r="H47" s="1"/>
  <c r="N6" i="16" s="1"/>
  <c r="J18" i="9"/>
  <c r="J23"/>
  <c r="I26"/>
  <c r="I36" s="1"/>
  <c r="I47" s="1"/>
  <c r="O6" i="16" s="1"/>
  <c r="F24" i="9"/>
  <c r="F34" s="1"/>
  <c r="F45" s="1"/>
  <c r="L4" i="16" s="1"/>
  <c r="M25" i="9"/>
  <c r="M35" s="1"/>
  <c r="M46" s="1"/>
  <c r="S5" i="16" s="1"/>
  <c r="S25" i="9"/>
  <c r="S35" s="1"/>
  <c r="S46" s="1"/>
  <c r="Y5" i="16" s="1"/>
  <c r="Q139" i="9"/>
  <c r="R24" i="8" s="1"/>
  <c r="Q46" i="9"/>
  <c r="W5" i="16" s="1"/>
  <c r="K25" i="9"/>
  <c r="K35" s="1"/>
  <c r="K46" s="1"/>
  <c r="Q5" i="16" s="1"/>
  <c r="P25" i="9"/>
  <c r="P35" s="1"/>
  <c r="P46" s="1"/>
  <c r="V5" i="16" s="1"/>
  <c r="G25" i="9"/>
  <c r="G35" s="1"/>
  <c r="G46" s="1"/>
  <c r="M5" i="16" s="1"/>
  <c r="U18" i="9"/>
  <c r="U23"/>
  <c r="P18"/>
  <c r="P23"/>
  <c r="X25"/>
  <c r="I25"/>
  <c r="I35" s="1"/>
  <c r="I46" s="1"/>
  <c r="O5" i="16" s="1"/>
  <c r="G18" i="9"/>
  <c r="G23"/>
  <c r="W25"/>
  <c r="W35" s="1"/>
  <c r="W46" s="1"/>
  <c r="AC5" i="16" s="1"/>
  <c r="K18" i="9"/>
  <c r="K23"/>
  <c r="G24"/>
  <c r="G34" s="1"/>
  <c r="G45" s="1"/>
  <c r="M4" i="16" s="1"/>
  <c r="R26" i="9"/>
  <c r="R36" s="1"/>
  <c r="R47" s="1"/>
  <c r="X6" i="16" s="1"/>
  <c r="N24" i="9"/>
  <c r="N34" s="1"/>
  <c r="N45" s="1"/>
  <c r="T4" i="16" s="1"/>
  <c r="S138" i="9"/>
  <c r="T23" i="8" s="1"/>
  <c r="S45" i="9"/>
  <c r="Y4" i="16" s="1"/>
  <c r="U139" i="9"/>
  <c r="V24" i="8" s="1"/>
  <c r="U46" i="9"/>
  <c r="AA5" i="16" s="1"/>
  <c r="F18" i="9"/>
  <c r="F23"/>
  <c r="Q24"/>
  <c r="Q34" s="1"/>
  <c r="Q45" s="1"/>
  <c r="W4" i="16" s="1"/>
  <c r="S18" i="9"/>
  <c r="S23"/>
  <c r="AA15"/>
  <c r="E25"/>
  <c r="E35" s="1"/>
  <c r="E139" s="1"/>
  <c r="AA16"/>
  <c r="E26"/>
  <c r="E36" s="1"/>
  <c r="E140" s="1"/>
  <c r="AA14"/>
  <c r="E24"/>
  <c r="E34" s="1"/>
  <c r="X18" i="8"/>
  <c r="X31"/>
  <c r="AA34"/>
  <c r="F18"/>
  <c r="F31"/>
  <c r="F36" s="1"/>
  <c r="L18"/>
  <c r="L31"/>
  <c r="L36" s="1"/>
  <c r="AA33"/>
  <c r="AA32"/>
  <c r="G18"/>
  <c r="G31"/>
  <c r="G36" s="1"/>
  <c r="R18"/>
  <c r="R31"/>
  <c r="R36" s="1"/>
  <c r="J18"/>
  <c r="J31"/>
  <c r="J36" s="1"/>
  <c r="M18"/>
  <c r="M31"/>
  <c r="M36" s="1"/>
  <c r="U18"/>
  <c r="U31"/>
  <c r="U36" s="1"/>
  <c r="V18"/>
  <c r="V31"/>
  <c r="V36" s="1"/>
  <c r="K18"/>
  <c r="K31"/>
  <c r="K36" s="1"/>
  <c r="W18"/>
  <c r="W31"/>
  <c r="W36" s="1"/>
  <c r="N18"/>
  <c r="N31"/>
  <c r="N36" s="1"/>
  <c r="P18"/>
  <c r="P31"/>
  <c r="P36" s="1"/>
  <c r="I18"/>
  <c r="I31"/>
  <c r="I36" s="1"/>
  <c r="O18"/>
  <c r="O31"/>
  <c r="O36" s="1"/>
  <c r="Q18"/>
  <c r="Q31"/>
  <c r="Q36" s="1"/>
  <c r="H18"/>
  <c r="H31"/>
  <c r="H36" s="1"/>
  <c r="S18"/>
  <c r="S31"/>
  <c r="S36" s="1"/>
  <c r="T18"/>
  <c r="T31"/>
  <c r="T36" s="1"/>
  <c r="E63"/>
  <c r="E64"/>
  <c r="E62"/>
  <c r="E18" i="9"/>
  <c r="AA13"/>
  <c r="E23"/>
  <c r="E18" i="8"/>
  <c r="E27" s="1"/>
  <c r="E31"/>
  <c r="O139" i="9" l="1"/>
  <c r="P24" i="8" s="1"/>
  <c r="W140" i="9"/>
  <c r="X25" i="8" s="1"/>
  <c r="U140" i="9"/>
  <c r="V25" i="8" s="1"/>
  <c r="F139" i="9"/>
  <c r="G24" i="8" s="1"/>
  <c r="U138" i="9"/>
  <c r="V23" i="8" s="1"/>
  <c r="M138" i="9"/>
  <c r="N23" i="8" s="1"/>
  <c r="I139" i="9"/>
  <c r="J24" i="8" s="1"/>
  <c r="K140" i="9"/>
  <c r="L25" i="8" s="1"/>
  <c r="N138" i="9"/>
  <c r="O23" i="8" s="1"/>
  <c r="R140" i="9"/>
  <c r="S25" i="8" s="1"/>
  <c r="G138" i="9"/>
  <c r="H23" i="8" s="1"/>
  <c r="G139" i="9"/>
  <c r="H24" i="8" s="1"/>
  <c r="P139" i="9"/>
  <c r="Q24" i="8" s="1"/>
  <c r="K139" i="9"/>
  <c r="L24" i="8" s="1"/>
  <c r="S139" i="9"/>
  <c r="T24" i="8" s="1"/>
  <c r="M139" i="9"/>
  <c r="N24" i="8" s="1"/>
  <c r="F138" i="9"/>
  <c r="G23" i="8" s="1"/>
  <c r="I140" i="9"/>
  <c r="J25" i="8" s="1"/>
  <c r="H138" i="9"/>
  <c r="I23" i="8" s="1"/>
  <c r="P140" i="9"/>
  <c r="Q25" i="8" s="1"/>
  <c r="K138" i="9"/>
  <c r="L23" i="8" s="1"/>
  <c r="R138" i="9"/>
  <c r="S23" i="8" s="1"/>
  <c r="P138" i="9"/>
  <c r="Q23" i="8" s="1"/>
  <c r="J140" i="9"/>
  <c r="K25" i="8" s="1"/>
  <c r="V138" i="9"/>
  <c r="W23" i="8" s="1"/>
  <c r="V139" i="9"/>
  <c r="W24" i="8" s="1"/>
  <c r="F33" i="9"/>
  <c r="F28"/>
  <c r="G33"/>
  <c r="G28"/>
  <c r="U33"/>
  <c r="U28"/>
  <c r="N33"/>
  <c r="N28"/>
  <c r="O33"/>
  <c r="O28"/>
  <c r="M33"/>
  <c r="M28"/>
  <c r="R33"/>
  <c r="R28"/>
  <c r="X33"/>
  <c r="AA23"/>
  <c r="V33"/>
  <c r="V28"/>
  <c r="S33"/>
  <c r="S28"/>
  <c r="K33"/>
  <c r="K28"/>
  <c r="X35"/>
  <c r="AA35" s="1"/>
  <c r="AA25"/>
  <c r="P33"/>
  <c r="P28"/>
  <c r="J33"/>
  <c r="J28"/>
  <c r="Q33"/>
  <c r="Q28"/>
  <c r="I33"/>
  <c r="I28"/>
  <c r="X28"/>
  <c r="AA26"/>
  <c r="X36"/>
  <c r="AA36" s="1"/>
  <c r="L33"/>
  <c r="L28"/>
  <c r="X34"/>
  <c r="AA34" s="1"/>
  <c r="AA24"/>
  <c r="T33"/>
  <c r="T28"/>
  <c r="H33"/>
  <c r="H28"/>
  <c r="W33"/>
  <c r="W28"/>
  <c r="AA18"/>
  <c r="Q138"/>
  <c r="R23" i="8" s="1"/>
  <c r="W139" i="9"/>
  <c r="X24" i="8" s="1"/>
  <c r="H140" i="9"/>
  <c r="I25" i="8" s="1"/>
  <c r="N139" i="9"/>
  <c r="O24" i="8" s="1"/>
  <c r="T139" i="9"/>
  <c r="U24" i="8" s="1"/>
  <c r="I138" i="9"/>
  <c r="J23" i="8" s="1"/>
  <c r="M140" i="9"/>
  <c r="N25" i="8" s="1"/>
  <c r="Q140" i="9"/>
  <c r="R25" i="8" s="1"/>
  <c r="F24"/>
  <c r="F42" s="1"/>
  <c r="E47" i="9"/>
  <c r="E138"/>
  <c r="E45"/>
  <c r="F25" i="8"/>
  <c r="F43" s="1"/>
  <c r="E46" i="9"/>
  <c r="AA31" i="8"/>
  <c r="AA36" s="1"/>
  <c r="X36"/>
  <c r="K9" i="16"/>
  <c r="K11"/>
  <c r="K10"/>
  <c r="E28" i="9"/>
  <c r="E33"/>
  <c r="E49" i="8"/>
  <c r="E36"/>
  <c r="X47" i="9" l="1"/>
  <c r="AD6" i="16" s="1"/>
  <c r="X140" i="9"/>
  <c r="I48"/>
  <c r="O7" i="16" s="1"/>
  <c r="I44" i="9"/>
  <c r="I38"/>
  <c r="I137"/>
  <c r="Q44"/>
  <c r="Q38"/>
  <c r="Q48"/>
  <c r="W7" i="16" s="1"/>
  <c r="Q137" i="9"/>
  <c r="J38"/>
  <c r="J48"/>
  <c r="P7" i="16" s="1"/>
  <c r="J44" i="9"/>
  <c r="J137"/>
  <c r="P38"/>
  <c r="P48"/>
  <c r="V7" i="16" s="1"/>
  <c r="P44" i="9"/>
  <c r="P137"/>
  <c r="X46"/>
  <c r="AD5" i="16" s="1"/>
  <c r="X139" i="9"/>
  <c r="AA139" s="1"/>
  <c r="K38"/>
  <c r="K44"/>
  <c r="K48"/>
  <c r="Q7" i="16" s="1"/>
  <c r="K137" i="9"/>
  <c r="S38"/>
  <c r="S44"/>
  <c r="S48"/>
  <c r="Y7" i="16" s="1"/>
  <c r="S137" i="9"/>
  <c r="V44"/>
  <c r="V38"/>
  <c r="V48"/>
  <c r="AB7" i="16" s="1"/>
  <c r="V137" i="9"/>
  <c r="X48"/>
  <c r="AD7" i="16" s="1"/>
  <c r="X44" i="9"/>
  <c r="X38"/>
  <c r="X137"/>
  <c r="R48"/>
  <c r="X7" i="16" s="1"/>
  <c r="R38" i="9"/>
  <c r="R44"/>
  <c r="R137"/>
  <c r="M48"/>
  <c r="S7" i="16" s="1"/>
  <c r="M44" i="9"/>
  <c r="M38"/>
  <c r="M137"/>
  <c r="O44"/>
  <c r="O38"/>
  <c r="O48"/>
  <c r="U7" i="16" s="1"/>
  <c r="O137" i="9"/>
  <c r="N38"/>
  <c r="N44"/>
  <c r="N48"/>
  <c r="T7" i="16" s="1"/>
  <c r="N137" i="9"/>
  <c r="U44"/>
  <c r="U48"/>
  <c r="AA7" i="16" s="1"/>
  <c r="U38" i="9"/>
  <c r="U137"/>
  <c r="G44"/>
  <c r="G48"/>
  <c r="M7" i="16" s="1"/>
  <c r="G38" i="9"/>
  <c r="G137"/>
  <c r="F38"/>
  <c r="F44"/>
  <c r="F48"/>
  <c r="L7" i="16" s="1"/>
  <c r="F137" i="9"/>
  <c r="AA28"/>
  <c r="AA140"/>
  <c r="W38"/>
  <c r="W44"/>
  <c r="W48"/>
  <c r="AC7" i="16" s="1"/>
  <c r="W137" i="9"/>
  <c r="H38"/>
  <c r="H44"/>
  <c r="H48"/>
  <c r="N7" i="16" s="1"/>
  <c r="H137" i="9"/>
  <c r="T44"/>
  <c r="T48"/>
  <c r="Z7" i="16" s="1"/>
  <c r="T38" i="9"/>
  <c r="T137"/>
  <c r="X45"/>
  <c r="AD4" i="16" s="1"/>
  <c r="X138" i="9"/>
  <c r="AA138" s="1"/>
  <c r="L44"/>
  <c r="L38"/>
  <c r="L48"/>
  <c r="R7" i="16" s="1"/>
  <c r="L137" i="9"/>
  <c r="F23" i="8"/>
  <c r="F41" s="1"/>
  <c r="K6" i="16"/>
  <c r="G42" i="8"/>
  <c r="F51"/>
  <c r="K5" i="16"/>
  <c r="G43" i="8"/>
  <c r="F52"/>
  <c r="K4" i="16"/>
  <c r="E38" i="9"/>
  <c r="E44"/>
  <c r="E48"/>
  <c r="AA33"/>
  <c r="E137"/>
  <c r="E61" i="8"/>
  <c r="E65"/>
  <c r="E54"/>
  <c r="E67" l="1"/>
  <c r="F50" i="9"/>
  <c r="Y46"/>
  <c r="AE5" i="16" s="1"/>
  <c r="Y47" i="9"/>
  <c r="AE6" i="16" s="1"/>
  <c r="L83" i="9"/>
  <c r="L61"/>
  <c r="L70"/>
  <c r="L85"/>
  <c r="L59"/>
  <c r="L66"/>
  <c r="L73"/>
  <c r="L68"/>
  <c r="L80"/>
  <c r="L75"/>
  <c r="L56"/>
  <c r="L93" s="1"/>
  <c r="L84"/>
  <c r="L87"/>
  <c r="L77"/>
  <c r="L65"/>
  <c r="L60"/>
  <c r="L50"/>
  <c r="L82"/>
  <c r="L63"/>
  <c r="L58"/>
  <c r="L78"/>
  <c r="L81"/>
  <c r="L64"/>
  <c r="L101" s="1"/>
  <c r="L74"/>
  <c r="L86"/>
  <c r="L123" s="1"/>
  <c r="L57"/>
  <c r="L72"/>
  <c r="L69"/>
  <c r="L106" s="1"/>
  <c r="L76"/>
  <c r="L67"/>
  <c r="L104" s="1"/>
  <c r="L79"/>
  <c r="R3" i="16"/>
  <c r="L62" i="9"/>
  <c r="L99" s="1"/>
  <c r="L71"/>
  <c r="T61"/>
  <c r="T60"/>
  <c r="T87"/>
  <c r="T85"/>
  <c r="T78"/>
  <c r="T77"/>
  <c r="T81"/>
  <c r="T64"/>
  <c r="T70"/>
  <c r="T62"/>
  <c r="T58"/>
  <c r="T67"/>
  <c r="T72"/>
  <c r="T69"/>
  <c r="T86"/>
  <c r="Z3" i="16"/>
  <c r="T59" i="9"/>
  <c r="T84"/>
  <c r="T79"/>
  <c r="T82"/>
  <c r="T83"/>
  <c r="T74"/>
  <c r="T76"/>
  <c r="T73"/>
  <c r="T71"/>
  <c r="T108" s="1"/>
  <c r="T56"/>
  <c r="T93" s="1"/>
  <c r="T50"/>
  <c r="T75"/>
  <c r="T65"/>
  <c r="T102" s="1"/>
  <c r="T68"/>
  <c r="T105" s="1"/>
  <c r="T66"/>
  <c r="T57"/>
  <c r="T63"/>
  <c r="T100" s="1"/>
  <c r="T80"/>
  <c r="G57"/>
  <c r="G80"/>
  <c r="G67"/>
  <c r="G60"/>
  <c r="G87"/>
  <c r="G65"/>
  <c r="G72"/>
  <c r="M3" i="16"/>
  <c r="G85" i="9"/>
  <c r="G76"/>
  <c r="G56"/>
  <c r="G93" s="1"/>
  <c r="G70"/>
  <c r="G62"/>
  <c r="G78"/>
  <c r="G86"/>
  <c r="G74"/>
  <c r="G73"/>
  <c r="G77"/>
  <c r="G114" s="1"/>
  <c r="G84"/>
  <c r="G63"/>
  <c r="G66"/>
  <c r="G103" s="1"/>
  <c r="G79"/>
  <c r="G116" s="1"/>
  <c r="G58"/>
  <c r="G59"/>
  <c r="G64"/>
  <c r="G75"/>
  <c r="G50"/>
  <c r="G82"/>
  <c r="G68"/>
  <c r="G61"/>
  <c r="G81"/>
  <c r="G118" s="1"/>
  <c r="G69"/>
  <c r="G83"/>
  <c r="G71"/>
  <c r="U78"/>
  <c r="U59"/>
  <c r="U70"/>
  <c r="U67"/>
  <c r="U87"/>
  <c r="U83"/>
  <c r="U79"/>
  <c r="U86"/>
  <c r="AA3" i="16"/>
  <c r="U74" i="9"/>
  <c r="U81"/>
  <c r="U82"/>
  <c r="U69"/>
  <c r="U63"/>
  <c r="U50"/>
  <c r="U73"/>
  <c r="U64"/>
  <c r="U75"/>
  <c r="U112" s="1"/>
  <c r="U61"/>
  <c r="U62"/>
  <c r="U58"/>
  <c r="U57"/>
  <c r="U72"/>
  <c r="U71"/>
  <c r="U66"/>
  <c r="U68"/>
  <c r="U105" s="1"/>
  <c r="U76"/>
  <c r="U85"/>
  <c r="U60"/>
  <c r="U97" s="1"/>
  <c r="U84"/>
  <c r="U121" s="1"/>
  <c r="U65"/>
  <c r="U77"/>
  <c r="U56"/>
  <c r="U93" s="1"/>
  <c r="U80"/>
  <c r="O74"/>
  <c r="O72"/>
  <c r="O69"/>
  <c r="O87"/>
  <c r="O70"/>
  <c r="O65"/>
  <c r="O75"/>
  <c r="O57"/>
  <c r="U3" i="16"/>
  <c r="O66" i="9"/>
  <c r="O103" s="1"/>
  <c r="O61"/>
  <c r="O68"/>
  <c r="O62"/>
  <c r="O71"/>
  <c r="O60"/>
  <c r="O78"/>
  <c r="O73"/>
  <c r="O85"/>
  <c r="O83"/>
  <c r="O80"/>
  <c r="O58"/>
  <c r="O67"/>
  <c r="O104" s="1"/>
  <c r="O84"/>
  <c r="O121" s="1"/>
  <c r="O63"/>
  <c r="O86"/>
  <c r="O50"/>
  <c r="O56"/>
  <c r="O93" s="1"/>
  <c r="O81"/>
  <c r="O118" s="1"/>
  <c r="O59"/>
  <c r="O96" s="1"/>
  <c r="O79"/>
  <c r="O82"/>
  <c r="O77"/>
  <c r="O64"/>
  <c r="O76"/>
  <c r="R60"/>
  <c r="R59"/>
  <c r="R85"/>
  <c r="R68"/>
  <c r="R84"/>
  <c r="R50"/>
  <c r="R76"/>
  <c r="R67"/>
  <c r="R83"/>
  <c r="R69"/>
  <c r="R106" s="1"/>
  <c r="R80"/>
  <c r="R71"/>
  <c r="R66"/>
  <c r="R65"/>
  <c r="R57"/>
  <c r="R78"/>
  <c r="R58"/>
  <c r="R75"/>
  <c r="R56"/>
  <c r="R93" s="1"/>
  <c r="R86"/>
  <c r="R62"/>
  <c r="R87"/>
  <c r="R124" s="1"/>
  <c r="R72"/>
  <c r="R81"/>
  <c r="R70"/>
  <c r="R82"/>
  <c r="R119" s="1"/>
  <c r="R79"/>
  <c r="R74"/>
  <c r="R61"/>
  <c r="R98" s="1"/>
  <c r="X3" i="16"/>
  <c r="R77" i="9"/>
  <c r="R114" s="1"/>
  <c r="R73"/>
  <c r="R63"/>
  <c r="R100" s="1"/>
  <c r="R64"/>
  <c r="V64"/>
  <c r="V65"/>
  <c r="V79"/>
  <c r="V82"/>
  <c r="V81"/>
  <c r="V83"/>
  <c r="V72"/>
  <c r="V58"/>
  <c r="V56"/>
  <c r="V93" s="1"/>
  <c r="V85"/>
  <c r="AB3" i="16"/>
  <c r="V78" i="9"/>
  <c r="V66"/>
  <c r="V75"/>
  <c r="V70"/>
  <c r="V84"/>
  <c r="V121" s="1"/>
  <c r="V62"/>
  <c r="V73"/>
  <c r="V71"/>
  <c r="V80"/>
  <c r="V59"/>
  <c r="V61"/>
  <c r="V50"/>
  <c r="V69"/>
  <c r="V68"/>
  <c r="V74"/>
  <c r="V111" s="1"/>
  <c r="V63"/>
  <c r="V67"/>
  <c r="V77"/>
  <c r="V87"/>
  <c r="V60"/>
  <c r="V57"/>
  <c r="V86"/>
  <c r="V76"/>
  <c r="V113" s="1"/>
  <c r="P71"/>
  <c r="P83"/>
  <c r="P62"/>
  <c r="P87"/>
  <c r="P50"/>
  <c r="P68"/>
  <c r="V3" i="16"/>
  <c r="P82" i="9"/>
  <c r="P73"/>
  <c r="P76"/>
  <c r="P65"/>
  <c r="P84"/>
  <c r="P61"/>
  <c r="P75"/>
  <c r="P56"/>
  <c r="P93" s="1"/>
  <c r="P64"/>
  <c r="P57"/>
  <c r="P59"/>
  <c r="P63"/>
  <c r="P100" s="1"/>
  <c r="P66"/>
  <c r="P72"/>
  <c r="P109" s="1"/>
  <c r="P70"/>
  <c r="P85"/>
  <c r="P81"/>
  <c r="P74"/>
  <c r="P111" s="1"/>
  <c r="P69"/>
  <c r="P106" s="1"/>
  <c r="P58"/>
  <c r="P78"/>
  <c r="P80"/>
  <c r="P77"/>
  <c r="P114" s="1"/>
  <c r="P67"/>
  <c r="P79"/>
  <c r="P116" s="1"/>
  <c r="P60"/>
  <c r="P86"/>
  <c r="J72"/>
  <c r="J56"/>
  <c r="J93" s="1"/>
  <c r="J79"/>
  <c r="J59"/>
  <c r="J82"/>
  <c r="J69"/>
  <c r="J76"/>
  <c r="J74"/>
  <c r="J64"/>
  <c r="J65"/>
  <c r="J67"/>
  <c r="J81"/>
  <c r="J70"/>
  <c r="J83"/>
  <c r="J61"/>
  <c r="J58"/>
  <c r="J60"/>
  <c r="J73"/>
  <c r="J80"/>
  <c r="J117" s="1"/>
  <c r="J57"/>
  <c r="J94" s="1"/>
  <c r="J71"/>
  <c r="J108" s="1"/>
  <c r="J75"/>
  <c r="J85"/>
  <c r="J66"/>
  <c r="J103" s="1"/>
  <c r="J62"/>
  <c r="J86"/>
  <c r="J63"/>
  <c r="J68"/>
  <c r="J87"/>
  <c r="P3" i="16"/>
  <c r="J50" i="9"/>
  <c r="J78"/>
  <c r="J77"/>
  <c r="J84"/>
  <c r="J121" s="1"/>
  <c r="Q62"/>
  <c r="W3" i="16"/>
  <c r="Q79" i="9"/>
  <c r="Q50"/>
  <c r="Q74"/>
  <c r="Q69"/>
  <c r="Q77"/>
  <c r="Q78"/>
  <c r="Q71"/>
  <c r="Q86"/>
  <c r="Q85"/>
  <c r="Q72"/>
  <c r="Q80"/>
  <c r="Q56"/>
  <c r="Q93" s="1"/>
  <c r="Q81"/>
  <c r="Q58"/>
  <c r="Q73"/>
  <c r="Q63"/>
  <c r="Q87"/>
  <c r="Q66"/>
  <c r="Q68"/>
  <c r="Q82"/>
  <c r="Q70"/>
  <c r="Q84"/>
  <c r="Q76"/>
  <c r="Q75"/>
  <c r="Q61"/>
  <c r="Q64"/>
  <c r="Q83"/>
  <c r="Q59"/>
  <c r="Q96" s="1"/>
  <c r="Q60"/>
  <c r="Q57"/>
  <c r="Q67"/>
  <c r="Q65"/>
  <c r="Q102" s="1"/>
  <c r="M22" i="8"/>
  <c r="M27" s="1"/>
  <c r="L142" i="9"/>
  <c r="T142"/>
  <c r="U22" i="8"/>
  <c r="U27" s="1"/>
  <c r="H142" i="9"/>
  <c r="I22" i="8"/>
  <c r="I27" s="1"/>
  <c r="H75" i="9"/>
  <c r="H69"/>
  <c r="H74"/>
  <c r="H50"/>
  <c r="H63"/>
  <c r="H83"/>
  <c r="H57"/>
  <c r="H84"/>
  <c r="H80"/>
  <c r="N3" i="16"/>
  <c r="H59" i="9"/>
  <c r="H81"/>
  <c r="H82"/>
  <c r="H61"/>
  <c r="H60"/>
  <c r="H73"/>
  <c r="H65"/>
  <c r="H64"/>
  <c r="H66"/>
  <c r="H86"/>
  <c r="H87"/>
  <c r="H79"/>
  <c r="H77"/>
  <c r="H78"/>
  <c r="H58"/>
  <c r="H70"/>
  <c r="H107" s="1"/>
  <c r="H76"/>
  <c r="H67"/>
  <c r="H62"/>
  <c r="H72"/>
  <c r="H85"/>
  <c r="H56"/>
  <c r="H93" s="1"/>
  <c r="H71"/>
  <c r="H68"/>
  <c r="H105" s="1"/>
  <c r="X22" i="8"/>
  <c r="X27" s="1"/>
  <c r="W142" i="9"/>
  <c r="W63"/>
  <c r="W64"/>
  <c r="W82"/>
  <c r="W77"/>
  <c r="W81"/>
  <c r="W86"/>
  <c r="W65"/>
  <c r="W66"/>
  <c r="W74"/>
  <c r="W80"/>
  <c r="W50"/>
  <c r="W61"/>
  <c r="W59"/>
  <c r="W71"/>
  <c r="W75"/>
  <c r="AC3" i="16"/>
  <c r="W72" i="9"/>
  <c r="W79"/>
  <c r="W56"/>
  <c r="W93" s="1"/>
  <c r="W76"/>
  <c r="W85"/>
  <c r="W62"/>
  <c r="W99" s="1"/>
  <c r="W60"/>
  <c r="W83"/>
  <c r="W58"/>
  <c r="W78"/>
  <c r="W115" s="1"/>
  <c r="W69"/>
  <c r="W70"/>
  <c r="W84"/>
  <c r="W87"/>
  <c r="W124" s="1"/>
  <c r="W73"/>
  <c r="W68"/>
  <c r="W57"/>
  <c r="W67"/>
  <c r="W104" s="1"/>
  <c r="F142"/>
  <c r="G22" i="8"/>
  <c r="G27" s="1"/>
  <c r="F72" i="9"/>
  <c r="F69"/>
  <c r="F80"/>
  <c r="F85"/>
  <c r="F75"/>
  <c r="F83"/>
  <c r="F74"/>
  <c r="F59"/>
  <c r="F86"/>
  <c r="F81"/>
  <c r="F67"/>
  <c r="F71"/>
  <c r="F60"/>
  <c r="F84"/>
  <c r="F121" s="1"/>
  <c r="F76"/>
  <c r="F70"/>
  <c r="F79"/>
  <c r="F58"/>
  <c r="F78"/>
  <c r="F73"/>
  <c r="F65"/>
  <c r="F61"/>
  <c r="F82"/>
  <c r="F66"/>
  <c r="F57"/>
  <c r="F77"/>
  <c r="L3" i="16"/>
  <c r="F63" i="9"/>
  <c r="F68"/>
  <c r="F62"/>
  <c r="F56"/>
  <c r="F93" s="1"/>
  <c r="F64"/>
  <c r="F101" s="1"/>
  <c r="F87"/>
  <c r="H22" i="8"/>
  <c r="H27" s="1"/>
  <c r="G142" i="9"/>
  <c r="U142"/>
  <c r="V22" i="8"/>
  <c r="V27" s="1"/>
  <c r="O22"/>
  <c r="O27" s="1"/>
  <c r="N142" i="9"/>
  <c r="N85"/>
  <c r="N74"/>
  <c r="N64"/>
  <c r="N60"/>
  <c r="N69"/>
  <c r="N57"/>
  <c r="N72"/>
  <c r="N63"/>
  <c r="T3" i="16"/>
  <c r="N86" i="9"/>
  <c r="N67"/>
  <c r="N73"/>
  <c r="N81"/>
  <c r="N50"/>
  <c r="N87"/>
  <c r="N58"/>
  <c r="N65"/>
  <c r="N59"/>
  <c r="N76"/>
  <c r="N62"/>
  <c r="N68"/>
  <c r="N79"/>
  <c r="N83"/>
  <c r="N78"/>
  <c r="N61"/>
  <c r="N66"/>
  <c r="N84"/>
  <c r="N121" s="1"/>
  <c r="N77"/>
  <c r="N70"/>
  <c r="N107" s="1"/>
  <c r="N80"/>
  <c r="N117" s="1"/>
  <c r="N75"/>
  <c r="N56"/>
  <c r="N93" s="1"/>
  <c r="N71"/>
  <c r="N108" s="1"/>
  <c r="N82"/>
  <c r="O142"/>
  <c r="P22" i="8"/>
  <c r="P27" s="1"/>
  <c r="M142" i="9"/>
  <c r="N22" i="8"/>
  <c r="N27" s="1"/>
  <c r="M80" i="9"/>
  <c r="M58"/>
  <c r="M72"/>
  <c r="S3" i="16"/>
  <c r="M70" i="9"/>
  <c r="M81"/>
  <c r="M86"/>
  <c r="M87"/>
  <c r="M74"/>
  <c r="M50"/>
  <c r="M82"/>
  <c r="M78"/>
  <c r="M67"/>
  <c r="M85"/>
  <c r="M76"/>
  <c r="M60"/>
  <c r="M62"/>
  <c r="M57"/>
  <c r="M56"/>
  <c r="M93" s="1"/>
  <c r="M73"/>
  <c r="M71"/>
  <c r="M108" s="1"/>
  <c r="M61"/>
  <c r="M75"/>
  <c r="M66"/>
  <c r="M69"/>
  <c r="M64"/>
  <c r="M68"/>
  <c r="M84"/>
  <c r="M63"/>
  <c r="M100" s="1"/>
  <c r="M79"/>
  <c r="M83"/>
  <c r="M120" s="1"/>
  <c r="M77"/>
  <c r="M59"/>
  <c r="M65"/>
  <c r="M102" s="1"/>
  <c r="R142"/>
  <c r="S22" i="8"/>
  <c r="S27" s="1"/>
  <c r="X84" i="9"/>
  <c r="X76"/>
  <c r="X80"/>
  <c r="X58"/>
  <c r="X62"/>
  <c r="X56"/>
  <c r="X93" s="1"/>
  <c r="X63"/>
  <c r="X77"/>
  <c r="X81"/>
  <c r="X67"/>
  <c r="X78"/>
  <c r="X59"/>
  <c r="X96" s="1"/>
  <c r="X82"/>
  <c r="X119" s="1"/>
  <c r="X72"/>
  <c r="X85"/>
  <c r="X83"/>
  <c r="X64"/>
  <c r="X79"/>
  <c r="X73"/>
  <c r="X75"/>
  <c r="X66"/>
  <c r="X70"/>
  <c r="X71"/>
  <c r="AD3" i="16"/>
  <c r="X87" i="9"/>
  <c r="X57"/>
  <c r="X94" s="1"/>
  <c r="X68"/>
  <c r="X65"/>
  <c r="X86"/>
  <c r="X69"/>
  <c r="X74"/>
  <c r="X111" s="1"/>
  <c r="X50"/>
  <c r="X60"/>
  <c r="X61"/>
  <c r="V142"/>
  <c r="W22" i="8"/>
  <c r="W27" s="1"/>
  <c r="T22"/>
  <c r="T27" s="1"/>
  <c r="S142" i="9"/>
  <c r="S85"/>
  <c r="S84"/>
  <c r="S83"/>
  <c r="S71"/>
  <c r="S82"/>
  <c r="S56"/>
  <c r="S93" s="1"/>
  <c r="S65"/>
  <c r="S50"/>
  <c r="S87"/>
  <c r="S80"/>
  <c r="S66"/>
  <c r="S61"/>
  <c r="S76"/>
  <c r="S79"/>
  <c r="S75"/>
  <c r="S63"/>
  <c r="S77"/>
  <c r="S114" s="1"/>
  <c r="S81"/>
  <c r="S118" s="1"/>
  <c r="S64"/>
  <c r="S59"/>
  <c r="S58"/>
  <c r="S70"/>
  <c r="S60"/>
  <c r="S62"/>
  <c r="S99" s="1"/>
  <c r="S72"/>
  <c r="S67"/>
  <c r="S73"/>
  <c r="S86"/>
  <c r="S68"/>
  <c r="S78"/>
  <c r="S74"/>
  <c r="S111" s="1"/>
  <c r="Y3" i="16"/>
  <c r="S69" i="9"/>
  <c r="S106" s="1"/>
  <c r="S57"/>
  <c r="S94" s="1"/>
  <c r="L22" i="8"/>
  <c r="L27" s="1"/>
  <c r="K142" i="9"/>
  <c r="K83"/>
  <c r="K66"/>
  <c r="K78"/>
  <c r="K76"/>
  <c r="K82"/>
  <c r="K56"/>
  <c r="K93" s="1"/>
  <c r="K75"/>
  <c r="Q3" i="16"/>
  <c r="K58" i="9"/>
  <c r="K60"/>
  <c r="K59"/>
  <c r="K62"/>
  <c r="K81"/>
  <c r="K80"/>
  <c r="K77"/>
  <c r="K63"/>
  <c r="K100" s="1"/>
  <c r="K72"/>
  <c r="K64"/>
  <c r="K68"/>
  <c r="K65"/>
  <c r="K84"/>
  <c r="K121" s="1"/>
  <c r="K74"/>
  <c r="K61"/>
  <c r="K87"/>
  <c r="K73"/>
  <c r="K86"/>
  <c r="K71"/>
  <c r="K85"/>
  <c r="K69"/>
  <c r="K50"/>
  <c r="K79"/>
  <c r="K116" s="1"/>
  <c r="K57"/>
  <c r="K67"/>
  <c r="K70"/>
  <c r="P142"/>
  <c r="Q22" i="8"/>
  <c r="Q27" s="1"/>
  <c r="K22"/>
  <c r="K27" s="1"/>
  <c r="J142" i="9"/>
  <c r="Q142"/>
  <c r="R22" i="8"/>
  <c r="R27" s="1"/>
  <c r="I142" i="9"/>
  <c r="J22" i="8"/>
  <c r="J27" s="1"/>
  <c r="I85" i="9"/>
  <c r="I70"/>
  <c r="I59"/>
  <c r="I75"/>
  <c r="I79"/>
  <c r="I81"/>
  <c r="I84"/>
  <c r="I57"/>
  <c r="I58"/>
  <c r="I73"/>
  <c r="I60"/>
  <c r="I97" s="1"/>
  <c r="I80"/>
  <c r="I63"/>
  <c r="I86"/>
  <c r="I71"/>
  <c r="I64"/>
  <c r="I82"/>
  <c r="I87"/>
  <c r="I124" s="1"/>
  <c r="I61"/>
  <c r="I98" s="1"/>
  <c r="I74"/>
  <c r="I50"/>
  <c r="I78"/>
  <c r="I69"/>
  <c r="I62"/>
  <c r="I67"/>
  <c r="I77"/>
  <c r="I76"/>
  <c r="I83"/>
  <c r="I72"/>
  <c r="I65"/>
  <c r="I66"/>
  <c r="I56"/>
  <c r="I93" s="1"/>
  <c r="I68"/>
  <c r="I105" s="1"/>
  <c r="O3" i="16"/>
  <c r="AA38" i="9"/>
  <c r="Y45"/>
  <c r="X142"/>
  <c r="F64" i="8"/>
  <c r="F63"/>
  <c r="G41"/>
  <c r="F50"/>
  <c r="AA47" i="9"/>
  <c r="H43" i="8"/>
  <c r="G52"/>
  <c r="G64" s="1"/>
  <c r="M11" i="16" s="1"/>
  <c r="H42" i="8"/>
  <c r="G51"/>
  <c r="G63" s="1"/>
  <c r="M10" i="16" s="1"/>
  <c r="E142" i="9"/>
  <c r="F22" i="8"/>
  <c r="AA137" i="9"/>
  <c r="Y48"/>
  <c r="AE7" i="16" s="1"/>
  <c r="K7"/>
  <c r="E68" i="9"/>
  <c r="E81"/>
  <c r="E84"/>
  <c r="E56"/>
  <c r="E93" s="1"/>
  <c r="E76"/>
  <c r="E73"/>
  <c r="E57"/>
  <c r="E66"/>
  <c r="E78"/>
  <c r="E62"/>
  <c r="E58"/>
  <c r="E95" s="1"/>
  <c r="K3" i="16"/>
  <c r="E70" i="9"/>
  <c r="E60"/>
  <c r="E74"/>
  <c r="E69"/>
  <c r="Y44"/>
  <c r="E86"/>
  <c r="E63"/>
  <c r="E71"/>
  <c r="E79"/>
  <c r="E116" s="1"/>
  <c r="E83"/>
  <c r="E64"/>
  <c r="E101" s="1"/>
  <c r="E65"/>
  <c r="E67"/>
  <c r="E61"/>
  <c r="E98" s="1"/>
  <c r="E75"/>
  <c r="E112" s="1"/>
  <c r="E59"/>
  <c r="E72"/>
  <c r="E77"/>
  <c r="E87"/>
  <c r="E85"/>
  <c r="E80"/>
  <c r="E117" s="1"/>
  <c r="E82"/>
  <c r="E119" s="1"/>
  <c r="E50"/>
  <c r="K8" i="16"/>
  <c r="E97" i="8"/>
  <c r="E78"/>
  <c r="E89"/>
  <c r="E86"/>
  <c r="E98"/>
  <c r="E102"/>
  <c r="E99"/>
  <c r="E88"/>
  <c r="E100"/>
  <c r="E137" s="1"/>
  <c r="E76"/>
  <c r="E87"/>
  <c r="E77"/>
  <c r="E82"/>
  <c r="E95"/>
  <c r="E103"/>
  <c r="E79"/>
  <c r="E68"/>
  <c r="E92"/>
  <c r="E96"/>
  <c r="E75"/>
  <c r="E83"/>
  <c r="E120" s="1"/>
  <c r="E104"/>
  <c r="E85"/>
  <c r="E81"/>
  <c r="E94"/>
  <c r="E90"/>
  <c r="E127" s="1"/>
  <c r="E93"/>
  <c r="E91"/>
  <c r="E105"/>
  <c r="E107" s="1"/>
  <c r="E84"/>
  <c r="E101"/>
  <c r="E74"/>
  <c r="E111" s="1"/>
  <c r="E80"/>
  <c r="K12" i="16"/>
  <c r="E51" i="9" l="1"/>
  <c r="F51" s="1"/>
  <c r="E128" i="8"/>
  <c r="K106" i="9"/>
  <c r="X122"/>
  <c r="X100"/>
  <c r="M105"/>
  <c r="M112"/>
  <c r="N105"/>
  <c r="N102"/>
  <c r="F103"/>
  <c r="I111"/>
  <c r="K101"/>
  <c r="X114"/>
  <c r="N96"/>
  <c r="W94"/>
  <c r="H95"/>
  <c r="Q117"/>
  <c r="J100"/>
  <c r="P94"/>
  <c r="V97"/>
  <c r="V100"/>
  <c r="R95"/>
  <c r="O112"/>
  <c r="G95"/>
  <c r="G123"/>
  <c r="T96"/>
  <c r="L116"/>
  <c r="F114"/>
  <c r="K96"/>
  <c r="X123"/>
  <c r="X101"/>
  <c r="W97"/>
  <c r="Q118"/>
  <c r="J114"/>
  <c r="J99"/>
  <c r="P95"/>
  <c r="O99"/>
  <c r="O107"/>
  <c r="U102"/>
  <c r="U116"/>
  <c r="G105"/>
  <c r="G110"/>
  <c r="T103"/>
  <c r="T116"/>
  <c r="K110"/>
  <c r="V108"/>
  <c r="E135" i="8"/>
  <c r="I109" i="9"/>
  <c r="S110"/>
  <c r="S103"/>
  <c r="X118"/>
  <c r="F113"/>
  <c r="W110"/>
  <c r="W112"/>
  <c r="H113"/>
  <c r="H103"/>
  <c r="H97"/>
  <c r="E136" i="8"/>
  <c r="G51" i="9"/>
  <c r="H51" s="1"/>
  <c r="I51" s="1"/>
  <c r="J51" s="1"/>
  <c r="K51" s="1"/>
  <c r="L51" s="1"/>
  <c r="M51" s="1"/>
  <c r="N51" s="1"/>
  <c r="O51" s="1"/>
  <c r="P51" s="1"/>
  <c r="Q51" s="1"/>
  <c r="R51" s="1"/>
  <c r="S51" s="1"/>
  <c r="T51" s="1"/>
  <c r="U51" s="1"/>
  <c r="V51" s="1"/>
  <c r="W51" s="1"/>
  <c r="X51" s="1"/>
  <c r="I102"/>
  <c r="K94"/>
  <c r="K102"/>
  <c r="M116"/>
  <c r="M98"/>
  <c r="N95"/>
  <c r="F107"/>
  <c r="H121"/>
  <c r="Q94"/>
  <c r="Q101"/>
  <c r="J112"/>
  <c r="P121"/>
  <c r="V120"/>
  <c r="O116"/>
  <c r="G108"/>
  <c r="G98"/>
  <c r="G112"/>
  <c r="T94"/>
  <c r="T112"/>
  <c r="E140" i="8"/>
  <c r="V123" i="9"/>
  <c r="R116"/>
  <c r="R107"/>
  <c r="R109"/>
  <c r="O95"/>
  <c r="O110"/>
  <c r="U113"/>
  <c r="U101"/>
  <c r="G120"/>
  <c r="G101"/>
  <c r="T120"/>
  <c r="T123"/>
  <c r="L113"/>
  <c r="Q112"/>
  <c r="Q119"/>
  <c r="Q100"/>
  <c r="Q109"/>
  <c r="Q123"/>
  <c r="Q115"/>
  <c r="J115"/>
  <c r="J105"/>
  <c r="J123"/>
  <c r="J110"/>
  <c r="J120"/>
  <c r="J118"/>
  <c r="J102"/>
  <c r="P123"/>
  <c r="P118"/>
  <c r="P103"/>
  <c r="P96"/>
  <c r="P101"/>
  <c r="P112"/>
  <c r="V94"/>
  <c r="V124"/>
  <c r="V104"/>
  <c r="V106"/>
  <c r="V98"/>
  <c r="V117"/>
  <c r="V110"/>
  <c r="V102"/>
  <c r="R101"/>
  <c r="R110"/>
  <c r="R118"/>
  <c r="R123"/>
  <c r="O113"/>
  <c r="O100"/>
  <c r="O108"/>
  <c r="U117"/>
  <c r="U114"/>
  <c r="U108"/>
  <c r="G100"/>
  <c r="T117"/>
  <c r="T110"/>
  <c r="T119"/>
  <c r="T99"/>
  <c r="L108"/>
  <c r="L94"/>
  <c r="L111"/>
  <c r="L118"/>
  <c r="L97"/>
  <c r="L121"/>
  <c r="S123"/>
  <c r="M114"/>
  <c r="M110"/>
  <c r="N119"/>
  <c r="N114"/>
  <c r="N103"/>
  <c r="N110"/>
  <c r="N123"/>
  <c r="F124"/>
  <c r="F105"/>
  <c r="F98"/>
  <c r="F110"/>
  <c r="F118"/>
  <c r="W107"/>
  <c r="W120"/>
  <c r="W113"/>
  <c r="W103"/>
  <c r="W101"/>
  <c r="H109"/>
  <c r="H104"/>
  <c r="H115"/>
  <c r="H101"/>
  <c r="H98"/>
  <c r="H118"/>
  <c r="H120"/>
  <c r="Q121"/>
  <c r="X97"/>
  <c r="X105"/>
  <c r="M96"/>
  <c r="N112"/>
  <c r="N98"/>
  <c r="V96"/>
  <c r="V103"/>
  <c r="X102"/>
  <c r="X116"/>
  <c r="M124"/>
  <c r="M118"/>
  <c r="V119"/>
  <c r="O122"/>
  <c r="E117" i="8"/>
  <c r="E138"/>
  <c r="E130"/>
  <c r="E122" i="9"/>
  <c r="E114"/>
  <c r="E96"/>
  <c r="E108"/>
  <c r="E106"/>
  <c r="AA142"/>
  <c r="I103"/>
  <c r="I113"/>
  <c r="I119"/>
  <c r="I108"/>
  <c r="I100"/>
  <c r="I95"/>
  <c r="I116"/>
  <c r="K104"/>
  <c r="K108"/>
  <c r="K98"/>
  <c r="K114"/>
  <c r="K118"/>
  <c r="K112"/>
  <c r="S105"/>
  <c r="S109"/>
  <c r="S97"/>
  <c r="S95"/>
  <c r="S101"/>
  <c r="S122"/>
  <c r="X110"/>
  <c r="H122"/>
  <c r="Q107"/>
  <c r="R103"/>
  <c r="O101"/>
  <c r="O123"/>
  <c r="U109"/>
  <c r="U95"/>
  <c r="U124"/>
  <c r="T113"/>
  <c r="T107"/>
  <c r="T115"/>
  <c r="T98"/>
  <c r="L115"/>
  <c r="E116" i="8"/>
  <c r="S115" i="9"/>
  <c r="S104"/>
  <c r="X106"/>
  <c r="X120"/>
  <c r="M121"/>
  <c r="M101"/>
  <c r="M94"/>
  <c r="N99"/>
  <c r="F120"/>
  <c r="W98"/>
  <c r="W123"/>
  <c r="H123"/>
  <c r="Q106"/>
  <c r="I104"/>
  <c r="I106"/>
  <c r="I121"/>
  <c r="I96"/>
  <c r="I122"/>
  <c r="K105"/>
  <c r="K109"/>
  <c r="K95"/>
  <c r="K119"/>
  <c r="K115"/>
  <c r="K120"/>
  <c r="S112"/>
  <c r="S113"/>
  <c r="S124"/>
  <c r="S102"/>
  <c r="S119"/>
  <c r="S120"/>
  <c r="X124"/>
  <c r="X108"/>
  <c r="X103"/>
  <c r="X115"/>
  <c r="X99"/>
  <c r="X117"/>
  <c r="X121"/>
  <c r="M106"/>
  <c r="M99"/>
  <c r="M113"/>
  <c r="M104"/>
  <c r="M119"/>
  <c r="M111"/>
  <c r="M123"/>
  <c r="M107"/>
  <c r="M109"/>
  <c r="M117"/>
  <c r="N120"/>
  <c r="N113"/>
  <c r="N124"/>
  <c r="N118"/>
  <c r="N104"/>
  <c r="N109"/>
  <c r="N106"/>
  <c r="N101"/>
  <c r="N122"/>
  <c r="F99"/>
  <c r="F100"/>
  <c r="F119"/>
  <c r="F102"/>
  <c r="F115"/>
  <c r="F116"/>
  <c r="F97"/>
  <c r="F104"/>
  <c r="F123"/>
  <c r="F111"/>
  <c r="F112"/>
  <c r="F117"/>
  <c r="F109"/>
  <c r="W121"/>
  <c r="W106"/>
  <c r="W95"/>
  <c r="W122"/>
  <c r="W109"/>
  <c r="W96"/>
  <c r="W111"/>
  <c r="W102"/>
  <c r="W118"/>
  <c r="W119"/>
  <c r="W100"/>
  <c r="H108"/>
  <c r="H99"/>
  <c r="H114"/>
  <c r="H124"/>
  <c r="H102"/>
  <c r="H119"/>
  <c r="H96"/>
  <c r="H117"/>
  <c r="H94"/>
  <c r="H100"/>
  <c r="H111"/>
  <c r="H112"/>
  <c r="Q104"/>
  <c r="Q97"/>
  <c r="Q120"/>
  <c r="Q98"/>
  <c r="Q113"/>
  <c r="Q105"/>
  <c r="Q124"/>
  <c r="Q110"/>
  <c r="Q122"/>
  <c r="Q108"/>
  <c r="Q114"/>
  <c r="Q111"/>
  <c r="Q116"/>
  <c r="Q99"/>
  <c r="J124"/>
  <c r="J122"/>
  <c r="J97"/>
  <c r="J98"/>
  <c r="J107"/>
  <c r="J104"/>
  <c r="J101"/>
  <c r="J113"/>
  <c r="J119"/>
  <c r="J116"/>
  <c r="J109"/>
  <c r="P97"/>
  <c r="P104"/>
  <c r="P117"/>
  <c r="P122"/>
  <c r="P98"/>
  <c r="P102"/>
  <c r="P110"/>
  <c r="P99"/>
  <c r="P108"/>
  <c r="V114"/>
  <c r="V105"/>
  <c r="V99"/>
  <c r="V107"/>
  <c r="V109"/>
  <c r="V118"/>
  <c r="V116"/>
  <c r="V101"/>
  <c r="R99"/>
  <c r="R94"/>
  <c r="R117"/>
  <c r="R120"/>
  <c r="R113"/>
  <c r="R121"/>
  <c r="R122"/>
  <c r="R97"/>
  <c r="O119"/>
  <c r="O120"/>
  <c r="O97"/>
  <c r="O98"/>
  <c r="O106"/>
  <c r="O111"/>
  <c r="U103"/>
  <c r="U98"/>
  <c r="U106"/>
  <c r="U118"/>
  <c r="U107"/>
  <c r="U115"/>
  <c r="G121"/>
  <c r="G99"/>
  <c r="G122"/>
  <c r="G109"/>
  <c r="G124"/>
  <c r="G104"/>
  <c r="G94"/>
  <c r="T109"/>
  <c r="T95"/>
  <c r="T118"/>
  <c r="T124"/>
  <c r="L109"/>
  <c r="L100"/>
  <c r="L102"/>
  <c r="L124"/>
  <c r="L117"/>
  <c r="L110"/>
  <c r="L96"/>
  <c r="L107"/>
  <c r="L120"/>
  <c r="AE4" i="16"/>
  <c r="AA45" i="9"/>
  <c r="E121" i="8"/>
  <c r="E141"/>
  <c r="E114"/>
  <c r="E124" i="9"/>
  <c r="E109"/>
  <c r="E104"/>
  <c r="E100"/>
  <c r="E111"/>
  <c r="E107"/>
  <c r="E94"/>
  <c r="I120"/>
  <c r="I114"/>
  <c r="I99"/>
  <c r="I115"/>
  <c r="I101"/>
  <c r="I123"/>
  <c r="I117"/>
  <c r="I110"/>
  <c r="I94"/>
  <c r="I118"/>
  <c r="I112"/>
  <c r="I107"/>
  <c r="K107"/>
  <c r="K122"/>
  <c r="K123"/>
  <c r="K124"/>
  <c r="K111"/>
  <c r="K117"/>
  <c r="K99"/>
  <c r="K97"/>
  <c r="K113"/>
  <c r="K103"/>
  <c r="S107"/>
  <c r="S96"/>
  <c r="S100"/>
  <c r="S116"/>
  <c r="S98"/>
  <c r="S117"/>
  <c r="S108"/>
  <c r="S121"/>
  <c r="X98"/>
  <c r="X107"/>
  <c r="X112"/>
  <c r="X109"/>
  <c r="X104"/>
  <c r="X95"/>
  <c r="X113"/>
  <c r="M103"/>
  <c r="M97"/>
  <c r="M122"/>
  <c r="M115"/>
  <c r="M95"/>
  <c r="N115"/>
  <c r="N116"/>
  <c r="N100"/>
  <c r="N94"/>
  <c r="N97"/>
  <c r="N111"/>
  <c r="F94"/>
  <c r="F95"/>
  <c r="F108"/>
  <c r="F96"/>
  <c r="F122"/>
  <c r="F106"/>
  <c r="W105"/>
  <c r="W116"/>
  <c r="W108"/>
  <c r="W117"/>
  <c r="W114"/>
  <c r="H116"/>
  <c r="H110"/>
  <c r="H106"/>
  <c r="Q103"/>
  <c r="Q95"/>
  <c r="J95"/>
  <c r="J111"/>
  <c r="J106"/>
  <c r="J96"/>
  <c r="P115"/>
  <c r="P107"/>
  <c r="P113"/>
  <c r="P119"/>
  <c r="P105"/>
  <c r="P124"/>
  <c r="P120"/>
  <c r="V112"/>
  <c r="V115"/>
  <c r="V122"/>
  <c r="V95"/>
  <c r="R111"/>
  <c r="R112"/>
  <c r="R115"/>
  <c r="R102"/>
  <c r="R108"/>
  <c r="R104"/>
  <c r="R105"/>
  <c r="R96"/>
  <c r="O114"/>
  <c r="O117"/>
  <c r="O115"/>
  <c r="O105"/>
  <c r="O94"/>
  <c r="O102"/>
  <c r="O124"/>
  <c r="O109"/>
  <c r="U122"/>
  <c r="U94"/>
  <c r="U99"/>
  <c r="U110"/>
  <c r="U100"/>
  <c r="U119"/>
  <c r="U111"/>
  <c r="U123"/>
  <c r="U120"/>
  <c r="U104"/>
  <c r="U96"/>
  <c r="G106"/>
  <c r="G119"/>
  <c r="G96"/>
  <c r="G111"/>
  <c r="G115"/>
  <c r="G107"/>
  <c r="G113"/>
  <c r="G102"/>
  <c r="G97"/>
  <c r="G117"/>
  <c r="T111"/>
  <c r="T121"/>
  <c r="T106"/>
  <c r="T104"/>
  <c r="T101"/>
  <c r="T114"/>
  <c r="T122"/>
  <c r="T97"/>
  <c r="L95"/>
  <c r="L119"/>
  <c r="L114"/>
  <c r="L112"/>
  <c r="L105"/>
  <c r="L103"/>
  <c r="L122"/>
  <c r="L98"/>
  <c r="H41" i="8"/>
  <c r="G50"/>
  <c r="G62" s="1"/>
  <c r="M9" i="16" s="1"/>
  <c r="L10"/>
  <c r="L11"/>
  <c r="I42" i="8"/>
  <c r="H51"/>
  <c r="H63" s="1"/>
  <c r="N10" i="16" s="1"/>
  <c r="I43" i="8"/>
  <c r="H52"/>
  <c r="H64" s="1"/>
  <c r="N11" i="16" s="1"/>
  <c r="F62" i="8"/>
  <c r="E102" i="9"/>
  <c r="E133" i="8"/>
  <c r="E120" i="9"/>
  <c r="E123"/>
  <c r="E97"/>
  <c r="E99"/>
  <c r="E103"/>
  <c r="E110"/>
  <c r="E118"/>
  <c r="AA44"/>
  <c r="Y56"/>
  <c r="Y93" s="1"/>
  <c r="AE3" i="16"/>
  <c r="Y84" i="9"/>
  <c r="Y65"/>
  <c r="Y75"/>
  <c r="Y60"/>
  <c r="Y72"/>
  <c r="Y64"/>
  <c r="Y79"/>
  <c r="Y61"/>
  <c r="Y98" s="1"/>
  <c r="Y80"/>
  <c r="Y81"/>
  <c r="Y78"/>
  <c r="Y71"/>
  <c r="Y83"/>
  <c r="Y67"/>
  <c r="Y70"/>
  <c r="Y87"/>
  <c r="Y69"/>
  <c r="Y59"/>
  <c r="Y76"/>
  <c r="Y113" s="1"/>
  <c r="Y57"/>
  <c r="Y86"/>
  <c r="Y77"/>
  <c r="Y82"/>
  <c r="Y119" s="1"/>
  <c r="Y58"/>
  <c r="Y95" s="1"/>
  <c r="Y68"/>
  <c r="Y105" s="1"/>
  <c r="Y50"/>
  <c r="AA50" s="1"/>
  <c r="Y63"/>
  <c r="Y100" s="1"/>
  <c r="Y62"/>
  <c r="Y99" s="1"/>
  <c r="Y66"/>
  <c r="Y103" s="1"/>
  <c r="Y85"/>
  <c r="Y74"/>
  <c r="Y111" s="1"/>
  <c r="Y73"/>
  <c r="Y110" s="1"/>
  <c r="F27" i="8"/>
  <c r="F40"/>
  <c r="E115" i="9"/>
  <c r="E113"/>
  <c r="E121"/>
  <c r="E105"/>
  <c r="E125" i="8"/>
  <c r="E124"/>
  <c r="E131"/>
  <c r="E122"/>
  <c r="E119"/>
  <c r="E113"/>
  <c r="E139"/>
  <c r="E123"/>
  <c r="E115"/>
  <c r="E118"/>
  <c r="E112"/>
  <c r="E129"/>
  <c r="E132"/>
  <c r="E126"/>
  <c r="E134"/>
  <c r="Y122" i="9" l="1"/>
  <c r="C10"/>
  <c r="Q126"/>
  <c r="X126"/>
  <c r="Y94"/>
  <c r="Y117"/>
  <c r="M126"/>
  <c r="B50"/>
  <c r="V126"/>
  <c r="L126"/>
  <c r="U126"/>
  <c r="F126"/>
  <c r="N126"/>
  <c r="S126"/>
  <c r="K126"/>
  <c r="R126"/>
  <c r="P126"/>
  <c r="T126"/>
  <c r="O126"/>
  <c r="J126"/>
  <c r="H126"/>
  <c r="I126"/>
  <c r="G126"/>
  <c r="W126"/>
  <c r="L9" i="16"/>
  <c r="J43" i="8"/>
  <c r="I52"/>
  <c r="J42"/>
  <c r="I51"/>
  <c r="I63" s="1"/>
  <c r="O10" i="16" s="1"/>
  <c r="I41" i="8"/>
  <c r="H50"/>
  <c r="Y123" i="9"/>
  <c r="E126"/>
  <c r="E127" s="1"/>
  <c r="F127" s="1"/>
  <c r="G127" s="1"/>
  <c r="H127" s="1"/>
  <c r="Y106"/>
  <c r="Y107"/>
  <c r="Y120"/>
  <c r="Y115"/>
  <c r="Y116"/>
  <c r="Y109"/>
  <c r="Y112"/>
  <c r="Y121"/>
  <c r="F49" i="8"/>
  <c r="G40"/>
  <c r="F45"/>
  <c r="E143"/>
  <c r="E144" s="1"/>
  <c r="Y114" i="9"/>
  <c r="Y96"/>
  <c r="Y124"/>
  <c r="Y104"/>
  <c r="Y108"/>
  <c r="Y118"/>
  <c r="Y101"/>
  <c r="Y97"/>
  <c r="Y102"/>
  <c r="I127" l="1"/>
  <c r="J127" s="1"/>
  <c r="K127" s="1"/>
  <c r="L127" s="1"/>
  <c r="M127" s="1"/>
  <c r="N127" s="1"/>
  <c r="O127" s="1"/>
  <c r="P127" s="1"/>
  <c r="Q127" s="1"/>
  <c r="R127" s="1"/>
  <c r="S127" s="1"/>
  <c r="T127" s="1"/>
  <c r="U127" s="1"/>
  <c r="V127" s="1"/>
  <c r="W127" s="1"/>
  <c r="X127" s="1"/>
  <c r="J41" i="8"/>
  <c r="I50"/>
  <c r="I62" s="1"/>
  <c r="O9" i="16" s="1"/>
  <c r="K42" i="8"/>
  <c r="J51"/>
  <c r="K43"/>
  <c r="J52"/>
  <c r="J64" s="1"/>
  <c r="P11" i="16" s="1"/>
  <c r="H62" i="8"/>
  <c r="I64"/>
  <c r="Y127" i="9"/>
  <c r="G49" i="8"/>
  <c r="G45"/>
  <c r="H40"/>
  <c r="F54"/>
  <c r="F65"/>
  <c r="F61"/>
  <c r="O11" i="16" l="1"/>
  <c r="N9"/>
  <c r="L43" i="8"/>
  <c r="K52"/>
  <c r="L42"/>
  <c r="K51"/>
  <c r="K63" s="1"/>
  <c r="Q10" i="16" s="1"/>
  <c r="K41" i="8"/>
  <c r="J50"/>
  <c r="J63"/>
  <c r="F91"/>
  <c r="F67"/>
  <c r="F88"/>
  <c r="F76"/>
  <c r="F94"/>
  <c r="F75"/>
  <c r="L8" i="16"/>
  <c r="F103" i="8"/>
  <c r="F93"/>
  <c r="F95"/>
  <c r="F90"/>
  <c r="F84"/>
  <c r="F97"/>
  <c r="F78"/>
  <c r="F74"/>
  <c r="F111" s="1"/>
  <c r="F105"/>
  <c r="F107" s="1"/>
  <c r="F81"/>
  <c r="F80"/>
  <c r="F86"/>
  <c r="F99"/>
  <c r="F79"/>
  <c r="F82"/>
  <c r="F119" s="1"/>
  <c r="F85"/>
  <c r="F100"/>
  <c r="F101"/>
  <c r="F104"/>
  <c r="F96"/>
  <c r="F102"/>
  <c r="F139" s="1"/>
  <c r="F83"/>
  <c r="F89"/>
  <c r="F126" s="1"/>
  <c r="F87"/>
  <c r="F124" s="1"/>
  <c r="F98"/>
  <c r="F135" s="1"/>
  <c r="F77"/>
  <c r="F92"/>
  <c r="F129" s="1"/>
  <c r="H49"/>
  <c r="H45"/>
  <c r="I40"/>
  <c r="G61"/>
  <c r="G54"/>
  <c r="G65"/>
  <c r="M12" i="16" s="1"/>
  <c r="L12"/>
  <c r="F137" i="8" l="1"/>
  <c r="F141"/>
  <c r="F114"/>
  <c r="F120"/>
  <c r="F116"/>
  <c r="F133"/>
  <c r="F122"/>
  <c r="F132"/>
  <c r="F138"/>
  <c r="F118"/>
  <c r="P10" i="16"/>
  <c r="L41" i="8"/>
  <c r="K50"/>
  <c r="K62" s="1"/>
  <c r="Q9" i="16" s="1"/>
  <c r="M42" i="8"/>
  <c r="L51"/>
  <c r="M43"/>
  <c r="L52"/>
  <c r="L64" s="1"/>
  <c r="R11" i="16" s="1"/>
  <c r="J62" i="8"/>
  <c r="K64"/>
  <c r="G104"/>
  <c r="G99"/>
  <c r="G83"/>
  <c r="G91"/>
  <c r="G75"/>
  <c r="G101"/>
  <c r="G88"/>
  <c r="G93"/>
  <c r="G80"/>
  <c r="G85"/>
  <c r="G98"/>
  <c r="G77"/>
  <c r="G87"/>
  <c r="G67"/>
  <c r="G79"/>
  <c r="G105"/>
  <c r="G107" s="1"/>
  <c r="G96"/>
  <c r="G74"/>
  <c r="G111" s="1"/>
  <c r="G86"/>
  <c r="G123" s="1"/>
  <c r="G97"/>
  <c r="G78"/>
  <c r="G89"/>
  <c r="G126" s="1"/>
  <c r="G100"/>
  <c r="G137" s="1"/>
  <c r="G81"/>
  <c r="G118" s="1"/>
  <c r="G92"/>
  <c r="G103"/>
  <c r="G84"/>
  <c r="G121" s="1"/>
  <c r="G95"/>
  <c r="G76"/>
  <c r="G113" s="1"/>
  <c r="M8" i="16"/>
  <c r="G90" i="8"/>
  <c r="G102"/>
  <c r="G139" s="1"/>
  <c r="G82"/>
  <c r="G94"/>
  <c r="G131" s="1"/>
  <c r="F123"/>
  <c r="F134"/>
  <c r="F127"/>
  <c r="F130"/>
  <c r="F131"/>
  <c r="F125"/>
  <c r="F128"/>
  <c r="I49"/>
  <c r="I45"/>
  <c r="J40"/>
  <c r="H61"/>
  <c r="H54"/>
  <c r="H65"/>
  <c r="F68"/>
  <c r="G68" s="1"/>
  <c r="F136"/>
  <c r="F117"/>
  <c r="F115"/>
  <c r="F121"/>
  <c r="F140"/>
  <c r="F112"/>
  <c r="F113"/>
  <c r="G129" l="1"/>
  <c r="G115"/>
  <c r="G119"/>
  <c r="G127"/>
  <c r="G134"/>
  <c r="Q11" i="16"/>
  <c r="P9"/>
  <c r="N43" i="8"/>
  <c r="M52"/>
  <c r="N42"/>
  <c r="M51"/>
  <c r="M63" s="1"/>
  <c r="S10" i="16" s="1"/>
  <c r="M41" i="8"/>
  <c r="L50"/>
  <c r="L63"/>
  <c r="F143"/>
  <c r="F144" s="1"/>
  <c r="N12" i="16"/>
  <c r="H103" i="8"/>
  <c r="N8" i="16"/>
  <c r="H105" i="8"/>
  <c r="H90"/>
  <c r="H74"/>
  <c r="H111" s="1"/>
  <c r="H93"/>
  <c r="H98"/>
  <c r="H81"/>
  <c r="H99"/>
  <c r="H88"/>
  <c r="H101"/>
  <c r="H102"/>
  <c r="H91"/>
  <c r="H85"/>
  <c r="H86"/>
  <c r="H123" s="1"/>
  <c r="H75"/>
  <c r="H84"/>
  <c r="H97"/>
  <c r="H96"/>
  <c r="H87"/>
  <c r="H94"/>
  <c r="H131" s="1"/>
  <c r="H104"/>
  <c r="H77"/>
  <c r="H82"/>
  <c r="H119" s="1"/>
  <c r="H95"/>
  <c r="H92"/>
  <c r="H89"/>
  <c r="H126" s="1"/>
  <c r="H83"/>
  <c r="H79"/>
  <c r="H76"/>
  <c r="H78"/>
  <c r="H115" s="1"/>
  <c r="H67"/>
  <c r="H100"/>
  <c r="H137" s="1"/>
  <c r="H80"/>
  <c r="H107"/>
  <c r="H68"/>
  <c r="G133"/>
  <c r="G116"/>
  <c r="G124"/>
  <c r="G135"/>
  <c r="G117"/>
  <c r="G125"/>
  <c r="G112"/>
  <c r="G120"/>
  <c r="G141"/>
  <c r="J45"/>
  <c r="K40"/>
  <c r="J49"/>
  <c r="I65"/>
  <c r="O12" i="16" s="1"/>
  <c r="I61" i="8"/>
  <c r="I54"/>
  <c r="G132"/>
  <c r="G140"/>
  <c r="G114"/>
  <c r="G122"/>
  <c r="G130"/>
  <c r="G138"/>
  <c r="G128"/>
  <c r="G136"/>
  <c r="H136" l="1"/>
  <c r="H128"/>
  <c r="H120"/>
  <c r="H132"/>
  <c r="H113"/>
  <c r="H129"/>
  <c r="H141"/>
  <c r="H112"/>
  <c r="R10" i="16"/>
  <c r="N41" i="8"/>
  <c r="M50"/>
  <c r="M62" s="1"/>
  <c r="S9" i="16" s="1"/>
  <c r="O42" i="8"/>
  <c r="N51"/>
  <c r="N63" s="1"/>
  <c r="T10" i="16" s="1"/>
  <c r="O43" i="8"/>
  <c r="N52"/>
  <c r="N64" s="1"/>
  <c r="T11" i="16" s="1"/>
  <c r="L62" i="8"/>
  <c r="M64"/>
  <c r="G143"/>
  <c r="G144" s="1"/>
  <c r="O8" i="16"/>
  <c r="I102" i="8"/>
  <c r="I81"/>
  <c r="I88"/>
  <c r="I104"/>
  <c r="I99"/>
  <c r="I80"/>
  <c r="I87"/>
  <c r="I101"/>
  <c r="I78"/>
  <c r="I96"/>
  <c r="I98"/>
  <c r="I94"/>
  <c r="I83"/>
  <c r="I95"/>
  <c r="I132" s="1"/>
  <c r="I89"/>
  <c r="I126" s="1"/>
  <c r="I100"/>
  <c r="I79"/>
  <c r="I116" s="1"/>
  <c r="I76"/>
  <c r="I85"/>
  <c r="I90"/>
  <c r="I103"/>
  <c r="I140" s="1"/>
  <c r="I77"/>
  <c r="I114" s="1"/>
  <c r="I75"/>
  <c r="I67"/>
  <c r="I84"/>
  <c r="I121" s="1"/>
  <c r="I93"/>
  <c r="I91"/>
  <c r="I74"/>
  <c r="I111" s="1"/>
  <c r="I82"/>
  <c r="I119" s="1"/>
  <c r="I105"/>
  <c r="I107" s="1"/>
  <c r="I97"/>
  <c r="I86"/>
  <c r="I92"/>
  <c r="I129" s="1"/>
  <c r="J61"/>
  <c r="J65"/>
  <c r="P12" i="16" s="1"/>
  <c r="J54" i="8"/>
  <c r="K49"/>
  <c r="K45"/>
  <c r="L40"/>
  <c r="H116"/>
  <c r="I68"/>
  <c r="H117"/>
  <c r="H143" s="1"/>
  <c r="H144" s="1"/>
  <c r="H124"/>
  <c r="H134"/>
  <c r="H122"/>
  <c r="H139"/>
  <c r="H125"/>
  <c r="H118"/>
  <c r="H130"/>
  <c r="H127"/>
  <c r="H114"/>
  <c r="H133"/>
  <c r="H121"/>
  <c r="H138"/>
  <c r="H135"/>
  <c r="H140"/>
  <c r="I134" l="1"/>
  <c r="I128"/>
  <c r="I123"/>
  <c r="I137"/>
  <c r="S11" i="16"/>
  <c r="R9"/>
  <c r="P43" i="8"/>
  <c r="O52"/>
  <c r="O64" s="1"/>
  <c r="U11" i="16" s="1"/>
  <c r="P42" i="8"/>
  <c r="O51"/>
  <c r="O63" s="1"/>
  <c r="U10" i="16" s="1"/>
  <c r="O41" i="8"/>
  <c r="N50"/>
  <c r="I127"/>
  <c r="I112"/>
  <c r="I122"/>
  <c r="I120"/>
  <c r="I135"/>
  <c r="I115"/>
  <c r="I124"/>
  <c r="I136"/>
  <c r="I125"/>
  <c r="I139"/>
  <c r="L45"/>
  <c r="M40"/>
  <c r="L49"/>
  <c r="K54"/>
  <c r="K65"/>
  <c r="K61"/>
  <c r="J80"/>
  <c r="J82"/>
  <c r="J97"/>
  <c r="J103"/>
  <c r="J81"/>
  <c r="J118" s="1"/>
  <c r="J99"/>
  <c r="J93"/>
  <c r="J104"/>
  <c r="J141" s="1"/>
  <c r="J90"/>
  <c r="J75"/>
  <c r="J91"/>
  <c r="J76"/>
  <c r="J113" s="1"/>
  <c r="J85"/>
  <c r="J96"/>
  <c r="J105"/>
  <c r="P8" i="16"/>
  <c r="J84" i="8"/>
  <c r="J98"/>
  <c r="J135" s="1"/>
  <c r="J74"/>
  <c r="J111" s="1"/>
  <c r="J92"/>
  <c r="J129" s="1"/>
  <c r="J94"/>
  <c r="J131" s="1"/>
  <c r="J89"/>
  <c r="J100"/>
  <c r="J137" s="1"/>
  <c r="J79"/>
  <c r="J101"/>
  <c r="J78"/>
  <c r="J77"/>
  <c r="J114" s="1"/>
  <c r="J88"/>
  <c r="J67"/>
  <c r="J102"/>
  <c r="J83"/>
  <c r="J120" s="1"/>
  <c r="J95"/>
  <c r="J132" s="1"/>
  <c r="J87"/>
  <c r="J86"/>
  <c r="J68"/>
  <c r="J107"/>
  <c r="I130"/>
  <c r="I113"/>
  <c r="I131"/>
  <c r="I133"/>
  <c r="I138"/>
  <c r="I117"/>
  <c r="I141"/>
  <c r="I118"/>
  <c r="J123" l="1"/>
  <c r="J128"/>
  <c r="J138"/>
  <c r="J139"/>
  <c r="P41"/>
  <c r="O50"/>
  <c r="O62" s="1"/>
  <c r="U9" i="16" s="1"/>
  <c r="Q42" i="8"/>
  <c r="P51"/>
  <c r="P63" s="1"/>
  <c r="V10" i="16" s="1"/>
  <c r="Q43" i="8"/>
  <c r="P52"/>
  <c r="P64" s="1"/>
  <c r="V11" i="16" s="1"/>
  <c r="N62" i="8"/>
  <c r="I143"/>
  <c r="I144" s="1"/>
  <c r="Q12" i="16"/>
  <c r="L65" i="8"/>
  <c r="R12" i="16" s="1"/>
  <c r="L61" i="8"/>
  <c r="L54"/>
  <c r="J124"/>
  <c r="J121"/>
  <c r="J122"/>
  <c r="J127"/>
  <c r="J130"/>
  <c r="J134"/>
  <c r="J117"/>
  <c r="K103"/>
  <c r="K67"/>
  <c r="K68" s="1"/>
  <c r="K81"/>
  <c r="K77"/>
  <c r="K98"/>
  <c r="K86"/>
  <c r="K90"/>
  <c r="K75"/>
  <c r="Q8" i="16"/>
  <c r="K102" i="8"/>
  <c r="K99"/>
  <c r="K94"/>
  <c r="K101"/>
  <c r="K105"/>
  <c r="K107" s="1"/>
  <c r="K83"/>
  <c r="K96"/>
  <c r="K76"/>
  <c r="K113" s="1"/>
  <c r="K88"/>
  <c r="K74"/>
  <c r="K111" s="1"/>
  <c r="K80"/>
  <c r="K91"/>
  <c r="K128" s="1"/>
  <c r="K95"/>
  <c r="K132" s="1"/>
  <c r="K78"/>
  <c r="K115" s="1"/>
  <c r="K87"/>
  <c r="K100"/>
  <c r="K137" s="1"/>
  <c r="K85"/>
  <c r="K92"/>
  <c r="K93"/>
  <c r="K84"/>
  <c r="K121" s="1"/>
  <c r="K82"/>
  <c r="K119" s="1"/>
  <c r="K97"/>
  <c r="K134" s="1"/>
  <c r="K104"/>
  <c r="K141" s="1"/>
  <c r="K89"/>
  <c r="K79"/>
  <c r="K116" s="1"/>
  <c r="M49"/>
  <c r="M45"/>
  <c r="N40"/>
  <c r="J125"/>
  <c r="J115"/>
  <c r="J116"/>
  <c r="J126"/>
  <c r="J133"/>
  <c r="J112"/>
  <c r="J136"/>
  <c r="J140"/>
  <c r="J119"/>
  <c r="K129" l="1"/>
  <c r="K136"/>
  <c r="K124"/>
  <c r="K126"/>
  <c r="T9" i="16"/>
  <c r="R43" i="8"/>
  <c r="Q52"/>
  <c r="Q64" s="1"/>
  <c r="W11" i="16" s="1"/>
  <c r="R42" i="8"/>
  <c r="Q51"/>
  <c r="Q63" s="1"/>
  <c r="W10" i="16" s="1"/>
  <c r="Q41" i="8"/>
  <c r="P50"/>
  <c r="P62" s="1"/>
  <c r="V9" i="16" s="1"/>
  <c r="J143" i="8"/>
  <c r="J144" s="1"/>
  <c r="L93"/>
  <c r="L104"/>
  <c r="L85"/>
  <c r="L82"/>
  <c r="L74"/>
  <c r="L111" s="1"/>
  <c r="L102"/>
  <c r="L88"/>
  <c r="L94"/>
  <c r="L91"/>
  <c r="L86"/>
  <c r="L123" s="1"/>
  <c r="L99"/>
  <c r="L76"/>
  <c r="L100"/>
  <c r="L137" s="1"/>
  <c r="L97"/>
  <c r="L79"/>
  <c r="L89"/>
  <c r="L80"/>
  <c r="L117" s="1"/>
  <c r="L92"/>
  <c r="L78"/>
  <c r="L75"/>
  <c r="R8" i="16"/>
  <c r="L96" i="8"/>
  <c r="L83"/>
  <c r="L120" s="1"/>
  <c r="L105"/>
  <c r="L107" s="1"/>
  <c r="L67"/>
  <c r="L68" s="1"/>
  <c r="L84"/>
  <c r="L87"/>
  <c r="L98"/>
  <c r="L103"/>
  <c r="L140" s="1"/>
  <c r="L81"/>
  <c r="L95"/>
  <c r="L132" s="1"/>
  <c r="L77"/>
  <c r="L114" s="1"/>
  <c r="L101"/>
  <c r="L138" s="1"/>
  <c r="L90"/>
  <c r="L127" s="1"/>
  <c r="K120"/>
  <c r="K138"/>
  <c r="K127"/>
  <c r="K135"/>
  <c r="K118"/>
  <c r="K140"/>
  <c r="N49"/>
  <c r="N45"/>
  <c r="O40"/>
  <c r="M65"/>
  <c r="S12" i="16" s="1"/>
  <c r="M54" i="8"/>
  <c r="M61"/>
  <c r="K130"/>
  <c r="K122"/>
  <c r="K117"/>
  <c r="K125"/>
  <c r="K133"/>
  <c r="K131"/>
  <c r="K139"/>
  <c r="K112"/>
  <c r="K123"/>
  <c r="K114"/>
  <c r="L118" l="1"/>
  <c r="L121"/>
  <c r="L129"/>
  <c r="L135"/>
  <c r="L112"/>
  <c r="L126"/>
  <c r="L131"/>
  <c r="L124"/>
  <c r="R41"/>
  <c r="Q50"/>
  <c r="Q62" s="1"/>
  <c r="W9" i="16" s="1"/>
  <c r="S42" i="8"/>
  <c r="R51"/>
  <c r="R63" s="1"/>
  <c r="X10" i="16" s="1"/>
  <c r="S43" i="8"/>
  <c r="R52"/>
  <c r="R64" s="1"/>
  <c r="X11" i="16" s="1"/>
  <c r="K143" i="8"/>
  <c r="K144" s="1"/>
  <c r="O49"/>
  <c r="O45"/>
  <c r="P40"/>
  <c r="N61"/>
  <c r="N65"/>
  <c r="T12" i="16" s="1"/>
  <c r="N54" i="8"/>
  <c r="L115"/>
  <c r="L116"/>
  <c r="L136"/>
  <c r="L128"/>
  <c r="L125"/>
  <c r="L122"/>
  <c r="L130"/>
  <c r="M84"/>
  <c r="M77"/>
  <c r="M105"/>
  <c r="M107" s="1"/>
  <c r="M87"/>
  <c r="M67"/>
  <c r="M68" s="1"/>
  <c r="M102"/>
  <c r="M95"/>
  <c r="M78"/>
  <c r="M75"/>
  <c r="M86"/>
  <c r="M79"/>
  <c r="M92"/>
  <c r="M89"/>
  <c r="M100"/>
  <c r="M85"/>
  <c r="M76"/>
  <c r="M103"/>
  <c r="M97"/>
  <c r="M90"/>
  <c r="M88"/>
  <c r="M125" s="1"/>
  <c r="M81"/>
  <c r="M94"/>
  <c r="M91"/>
  <c r="M82"/>
  <c r="S8" i="16"/>
  <c r="M99" i="8"/>
  <c r="M101"/>
  <c r="M93"/>
  <c r="M130" s="1"/>
  <c r="M98"/>
  <c r="M83"/>
  <c r="M96"/>
  <c r="M133" s="1"/>
  <c r="M74"/>
  <c r="M111" s="1"/>
  <c r="M104"/>
  <c r="M141" s="1"/>
  <c r="M80"/>
  <c r="M117" s="1"/>
  <c r="L133"/>
  <c r="L134"/>
  <c r="L113"/>
  <c r="L139"/>
  <c r="L119"/>
  <c r="L141"/>
  <c r="M120" l="1"/>
  <c r="M127"/>
  <c r="M122"/>
  <c r="M115"/>
  <c r="M128"/>
  <c r="M135"/>
  <c r="M138"/>
  <c r="M140"/>
  <c r="M119"/>
  <c r="M113"/>
  <c r="M116"/>
  <c r="T43"/>
  <c r="S52"/>
  <c r="S64" s="1"/>
  <c r="Y11" i="16" s="1"/>
  <c r="T42" i="8"/>
  <c r="S51"/>
  <c r="S63" s="1"/>
  <c r="Y10" i="16" s="1"/>
  <c r="S41" i="8"/>
  <c r="R50"/>
  <c r="R62" s="1"/>
  <c r="X9" i="16" s="1"/>
  <c r="L143" i="8"/>
  <c r="L144" s="1"/>
  <c r="N87"/>
  <c r="N77"/>
  <c r="N105"/>
  <c r="N107" s="1"/>
  <c r="N101"/>
  <c r="N88"/>
  <c r="N125" s="1"/>
  <c r="N93"/>
  <c r="N67"/>
  <c r="N68" s="1"/>
  <c r="N96"/>
  <c r="N79"/>
  <c r="N80"/>
  <c r="N104"/>
  <c r="N102"/>
  <c r="N139" s="1"/>
  <c r="N99"/>
  <c r="N94"/>
  <c r="N131" s="1"/>
  <c r="N82"/>
  <c r="N83"/>
  <c r="T8" i="16"/>
  <c r="N91" i="8"/>
  <c r="N100"/>
  <c r="N137" s="1"/>
  <c r="N97"/>
  <c r="N134" s="1"/>
  <c r="N75"/>
  <c r="N84"/>
  <c r="N121" s="1"/>
  <c r="N81"/>
  <c r="N76"/>
  <c r="N85"/>
  <c r="N78"/>
  <c r="N115" s="1"/>
  <c r="N89"/>
  <c r="N126" s="1"/>
  <c r="N98"/>
  <c r="N95"/>
  <c r="N90"/>
  <c r="N103"/>
  <c r="N140" s="1"/>
  <c r="N86"/>
  <c r="N74"/>
  <c r="N111" s="1"/>
  <c r="N92"/>
  <c r="N129" s="1"/>
  <c r="M136"/>
  <c r="M131"/>
  <c r="M134"/>
  <c r="M137"/>
  <c r="M129"/>
  <c r="M123"/>
  <c r="M139"/>
  <c r="M124"/>
  <c r="M114"/>
  <c r="P45"/>
  <c r="Q40"/>
  <c r="P49"/>
  <c r="O54"/>
  <c r="O65"/>
  <c r="U12" i="16" s="1"/>
  <c r="O61" i="8"/>
  <c r="M118"/>
  <c r="M126"/>
  <c r="M112"/>
  <c r="M132"/>
  <c r="M121"/>
  <c r="N123" l="1"/>
  <c r="N113"/>
  <c r="N127"/>
  <c r="N118"/>
  <c r="N135"/>
  <c r="N132"/>
  <c r="N120"/>
  <c r="N117"/>
  <c r="T41"/>
  <c r="S50"/>
  <c r="S62" s="1"/>
  <c r="Y9" i="16" s="1"/>
  <c r="U42" i="8"/>
  <c r="T51"/>
  <c r="T63" s="1"/>
  <c r="Z10" i="16" s="1"/>
  <c r="U43" i="8"/>
  <c r="T52"/>
  <c r="T64" s="1"/>
  <c r="Z11" i="16" s="1"/>
  <c r="M143" i="8"/>
  <c r="M144" s="1"/>
  <c r="O74"/>
  <c r="O111" s="1"/>
  <c r="O104"/>
  <c r="O80"/>
  <c r="O86"/>
  <c r="O105"/>
  <c r="O107" s="1"/>
  <c r="O75"/>
  <c r="O89"/>
  <c r="O100"/>
  <c r="O97"/>
  <c r="O91"/>
  <c r="O103"/>
  <c r="O84"/>
  <c r="O81"/>
  <c r="O118" s="1"/>
  <c r="O94"/>
  <c r="O98"/>
  <c r="O78"/>
  <c r="O101"/>
  <c r="O82"/>
  <c r="O79"/>
  <c r="O92"/>
  <c r="O85"/>
  <c r="O88"/>
  <c r="O93"/>
  <c r="O76"/>
  <c r="O67"/>
  <c r="O68" s="1"/>
  <c r="U8" i="16"/>
  <c r="O77" i="8"/>
  <c r="O90"/>
  <c r="O127" s="1"/>
  <c r="O83"/>
  <c r="O99"/>
  <c r="O136" s="1"/>
  <c r="O102"/>
  <c r="O96"/>
  <c r="O87"/>
  <c r="O95"/>
  <c r="O132" s="1"/>
  <c r="Q49"/>
  <c r="Q45"/>
  <c r="R40"/>
  <c r="N128"/>
  <c r="N133"/>
  <c r="N130"/>
  <c r="N138"/>
  <c r="N114"/>
  <c r="P54"/>
  <c r="P61"/>
  <c r="P65"/>
  <c r="V12" i="16" s="1"/>
  <c r="N122" i="8"/>
  <c r="N112"/>
  <c r="N119"/>
  <c r="N136"/>
  <c r="N141"/>
  <c r="N116"/>
  <c r="N124"/>
  <c r="O124" l="1"/>
  <c r="O135"/>
  <c r="O112"/>
  <c r="O139"/>
  <c r="O113"/>
  <c r="O129"/>
  <c r="O120"/>
  <c r="O114"/>
  <c r="O130"/>
  <c r="O122"/>
  <c r="O116"/>
  <c r="O138"/>
  <c r="O119"/>
  <c r="V43"/>
  <c r="U52"/>
  <c r="U64" s="1"/>
  <c r="AA11" i="16" s="1"/>
  <c r="V42" i="8"/>
  <c r="U51"/>
  <c r="U63" s="1"/>
  <c r="AA10" i="16" s="1"/>
  <c r="U41" i="8"/>
  <c r="T50"/>
  <c r="T62" s="1"/>
  <c r="Z9" i="16" s="1"/>
  <c r="N143" i="8"/>
  <c r="N144" s="1"/>
  <c r="P74"/>
  <c r="P111" s="1"/>
  <c r="P89"/>
  <c r="P98"/>
  <c r="P97"/>
  <c r="P93"/>
  <c r="P103"/>
  <c r="P82"/>
  <c r="P81"/>
  <c r="P83"/>
  <c r="P86"/>
  <c r="P94"/>
  <c r="P131" s="1"/>
  <c r="P100"/>
  <c r="P102"/>
  <c r="P90"/>
  <c r="P127" s="1"/>
  <c r="P75"/>
  <c r="P112" s="1"/>
  <c r="P84"/>
  <c r="V8" i="16"/>
  <c r="P88" i="8"/>
  <c r="P105"/>
  <c r="P107" s="1"/>
  <c r="P96"/>
  <c r="P76"/>
  <c r="P91"/>
  <c r="P128" s="1"/>
  <c r="P99"/>
  <c r="P136" s="1"/>
  <c r="P80"/>
  <c r="P67"/>
  <c r="P68" s="1"/>
  <c r="P77"/>
  <c r="P87"/>
  <c r="P101"/>
  <c r="P138" s="1"/>
  <c r="P95"/>
  <c r="P78"/>
  <c r="P115" s="1"/>
  <c r="P104"/>
  <c r="P85"/>
  <c r="P122" s="1"/>
  <c r="P79"/>
  <c r="P92"/>
  <c r="P129" s="1"/>
  <c r="O133"/>
  <c r="O125"/>
  <c r="O115"/>
  <c r="O131"/>
  <c r="O121"/>
  <c r="O128"/>
  <c r="O137"/>
  <c r="O123"/>
  <c r="O141"/>
  <c r="R45"/>
  <c r="S40"/>
  <c r="R49"/>
  <c r="Q54"/>
  <c r="Q61"/>
  <c r="Q65"/>
  <c r="W12" i="16" s="1"/>
  <c r="O140" i="8"/>
  <c r="O134"/>
  <c r="O126"/>
  <c r="O117"/>
  <c r="P141" l="1"/>
  <c r="P124"/>
  <c r="P132"/>
  <c r="P113"/>
  <c r="P120"/>
  <c r="P114"/>
  <c r="P121"/>
  <c r="V41"/>
  <c r="U50"/>
  <c r="U62" s="1"/>
  <c r="AA9" i="16" s="1"/>
  <c r="W42" i="8"/>
  <c r="V51"/>
  <c r="V63" s="1"/>
  <c r="AB10" i="16" s="1"/>
  <c r="W43" i="8"/>
  <c r="V52"/>
  <c r="V64" s="1"/>
  <c r="AB11" i="16" s="1"/>
  <c r="O143" i="8"/>
  <c r="O144" s="1"/>
  <c r="Q98"/>
  <c r="Q88"/>
  <c r="Q90"/>
  <c r="Q85"/>
  <c r="Q103"/>
  <c r="Q99"/>
  <c r="Q136" s="1"/>
  <c r="Q87"/>
  <c r="Q78"/>
  <c r="Q95"/>
  <c r="Q92"/>
  <c r="Q93"/>
  <c r="Q84"/>
  <c r="Q79"/>
  <c r="Q75"/>
  <c r="W8" i="16"/>
  <c r="Q101" i="8"/>
  <c r="Q94"/>
  <c r="Q131" s="1"/>
  <c r="Q89"/>
  <c r="Q126" s="1"/>
  <c r="Q86"/>
  <c r="Q67"/>
  <c r="Q68" s="1"/>
  <c r="Q82"/>
  <c r="Q97"/>
  <c r="Q74"/>
  <c r="Q111" s="1"/>
  <c r="Q96"/>
  <c r="Q91"/>
  <c r="Q128" s="1"/>
  <c r="Q104"/>
  <c r="Q141" s="1"/>
  <c r="Q83"/>
  <c r="Q80"/>
  <c r="Q81"/>
  <c r="Q76"/>
  <c r="Q113" s="1"/>
  <c r="Q77"/>
  <c r="Q102"/>
  <c r="Q139" s="1"/>
  <c r="Q100"/>
  <c r="Q105"/>
  <c r="Q107" s="1"/>
  <c r="R54"/>
  <c r="R65"/>
  <c r="X12" i="16" s="1"/>
  <c r="R61" i="8"/>
  <c r="P117"/>
  <c r="P133"/>
  <c r="P125"/>
  <c r="P137"/>
  <c r="P123"/>
  <c r="P118"/>
  <c r="P140"/>
  <c r="P134"/>
  <c r="P126"/>
  <c r="S49"/>
  <c r="S45"/>
  <c r="T40"/>
  <c r="P116"/>
  <c r="P139"/>
  <c r="P119"/>
  <c r="P130"/>
  <c r="P135"/>
  <c r="Q120" l="1"/>
  <c r="Q117"/>
  <c r="Q133"/>
  <c r="Q137"/>
  <c r="Q123"/>
  <c r="Q116"/>
  <c r="Q130"/>
  <c r="X43"/>
  <c r="W52"/>
  <c r="W64" s="1"/>
  <c r="AC11" i="16" s="1"/>
  <c r="X42" i="8"/>
  <c r="W51"/>
  <c r="W63" s="1"/>
  <c r="AC10" i="16" s="1"/>
  <c r="W41" i="8"/>
  <c r="V50"/>
  <c r="V62" s="1"/>
  <c r="AB9" i="16" s="1"/>
  <c r="P143" i="8"/>
  <c r="P144" s="1"/>
  <c r="Q134"/>
  <c r="Q138"/>
  <c r="Q112"/>
  <c r="Q121"/>
  <c r="Q129"/>
  <c r="Q115"/>
  <c r="Q122"/>
  <c r="Q125"/>
  <c r="T45"/>
  <c r="U40"/>
  <c r="T49"/>
  <c r="S65"/>
  <c r="Y12" i="16" s="1"/>
  <c r="S61" i="8"/>
  <c r="S54"/>
  <c r="R99"/>
  <c r="R97"/>
  <c r="R79"/>
  <c r="R85"/>
  <c r="R74"/>
  <c r="R111" s="1"/>
  <c r="R100"/>
  <c r="R137" s="1"/>
  <c r="R103"/>
  <c r="R94"/>
  <c r="R83"/>
  <c r="R81"/>
  <c r="R90"/>
  <c r="R96"/>
  <c r="R104"/>
  <c r="R141" s="1"/>
  <c r="R86"/>
  <c r="R123" s="1"/>
  <c r="R78"/>
  <c r="R87"/>
  <c r="R80"/>
  <c r="R117" s="1"/>
  <c r="R98"/>
  <c r="R135" s="1"/>
  <c r="R102"/>
  <c r="R91"/>
  <c r="R128" s="1"/>
  <c r="R89"/>
  <c r="X8" i="16"/>
  <c r="R77" i="8"/>
  <c r="R93"/>
  <c r="R76"/>
  <c r="R67"/>
  <c r="R68" s="1"/>
  <c r="R95"/>
  <c r="R132" s="1"/>
  <c r="R101"/>
  <c r="R138" s="1"/>
  <c r="R75"/>
  <c r="R112" s="1"/>
  <c r="R88"/>
  <c r="R125" s="1"/>
  <c r="R105"/>
  <c r="R107" s="1"/>
  <c r="R92"/>
  <c r="R129" s="1"/>
  <c r="R84"/>
  <c r="R121" s="1"/>
  <c r="R82"/>
  <c r="R119" s="1"/>
  <c r="Q114"/>
  <c r="Q118"/>
  <c r="Q119"/>
  <c r="Q132"/>
  <c r="Q124"/>
  <c r="Q140"/>
  <c r="Q127"/>
  <c r="Q135"/>
  <c r="R124" l="1"/>
  <c r="X41"/>
  <c r="W50"/>
  <c r="W62" s="1"/>
  <c r="AC9" i="16" s="1"/>
  <c r="AA42" i="8"/>
  <c r="Y63" s="1"/>
  <c r="AE10" i="16" s="1"/>
  <c r="X51" i="8"/>
  <c r="AA43"/>
  <c r="Y64" s="1"/>
  <c r="AE11" i="16" s="1"/>
  <c r="X52" i="8"/>
  <c r="Q143"/>
  <c r="Q144" s="1"/>
  <c r="U49"/>
  <c r="U45"/>
  <c r="V40"/>
  <c r="R130"/>
  <c r="R133"/>
  <c r="R118"/>
  <c r="R131"/>
  <c r="R122"/>
  <c r="R134"/>
  <c r="S96"/>
  <c r="S94"/>
  <c r="S100"/>
  <c r="S82"/>
  <c r="S88"/>
  <c r="S86"/>
  <c r="S92"/>
  <c r="S74"/>
  <c r="S111" s="1"/>
  <c r="S91"/>
  <c r="S67"/>
  <c r="S68" s="1"/>
  <c r="S97"/>
  <c r="S134" s="1"/>
  <c r="S87"/>
  <c r="S98"/>
  <c r="S104"/>
  <c r="S102"/>
  <c r="S101"/>
  <c r="S138" s="1"/>
  <c r="S93"/>
  <c r="S130" s="1"/>
  <c r="S75"/>
  <c r="S79"/>
  <c r="S103"/>
  <c r="S95"/>
  <c r="S132" s="1"/>
  <c r="S85"/>
  <c r="S81"/>
  <c r="S80"/>
  <c r="S78"/>
  <c r="S84"/>
  <c r="S99"/>
  <c r="S136" s="1"/>
  <c r="S83"/>
  <c r="S120" s="1"/>
  <c r="S105"/>
  <c r="S107" s="1"/>
  <c r="S76"/>
  <c r="S113" s="1"/>
  <c r="Y8" i="16"/>
  <c r="S77" i="8"/>
  <c r="S114" s="1"/>
  <c r="S89"/>
  <c r="S126" s="1"/>
  <c r="S90"/>
  <c r="T65"/>
  <c r="Z12" i="16" s="1"/>
  <c r="T54" i="8"/>
  <c r="T61"/>
  <c r="R113"/>
  <c r="R114"/>
  <c r="R126"/>
  <c r="R139"/>
  <c r="R115"/>
  <c r="R127"/>
  <c r="R120"/>
  <c r="R140"/>
  <c r="R116"/>
  <c r="R136"/>
  <c r="S124" l="1"/>
  <c r="S115"/>
  <c r="S135"/>
  <c r="S112"/>
  <c r="S118"/>
  <c r="S139"/>
  <c r="AA41"/>
  <c r="Y62" s="1"/>
  <c r="AE9" i="16" s="1"/>
  <c r="X50" i="8"/>
  <c r="X64"/>
  <c r="AA52"/>
  <c r="AB52" s="1"/>
  <c r="X63"/>
  <c r="AA51"/>
  <c r="AB51" s="1"/>
  <c r="R143"/>
  <c r="R144" s="1"/>
  <c r="S116"/>
  <c r="S128"/>
  <c r="S129"/>
  <c r="S125"/>
  <c r="S137"/>
  <c r="S133"/>
  <c r="T89"/>
  <c r="T102"/>
  <c r="T84"/>
  <c r="T82"/>
  <c r="T76"/>
  <c r="T81"/>
  <c r="T104"/>
  <c r="T94"/>
  <c r="T99"/>
  <c r="T98"/>
  <c r="T96"/>
  <c r="T91"/>
  <c r="T80"/>
  <c r="T103"/>
  <c r="T140" s="1"/>
  <c r="T83"/>
  <c r="T120" s="1"/>
  <c r="T95"/>
  <c r="T132" s="1"/>
  <c r="T101"/>
  <c r="T75"/>
  <c r="Z8" i="16"/>
  <c r="T67" i="8"/>
  <c r="T68" s="1"/>
  <c r="T87"/>
  <c r="T93"/>
  <c r="T105"/>
  <c r="T107" s="1"/>
  <c r="T79"/>
  <c r="T85"/>
  <c r="T122" s="1"/>
  <c r="T78"/>
  <c r="T86"/>
  <c r="T123" s="1"/>
  <c r="T97"/>
  <c r="T77"/>
  <c r="T114" s="1"/>
  <c r="T100"/>
  <c r="T137" s="1"/>
  <c r="T88"/>
  <c r="T125" s="1"/>
  <c r="T92"/>
  <c r="T129" s="1"/>
  <c r="T90"/>
  <c r="T127" s="1"/>
  <c r="T74"/>
  <c r="T111" s="1"/>
  <c r="V45"/>
  <c r="W40"/>
  <c r="V49"/>
  <c r="U65"/>
  <c r="AA12" i="16" s="1"/>
  <c r="U61" i="8"/>
  <c r="U54"/>
  <c r="S127"/>
  <c r="S121"/>
  <c r="S117"/>
  <c r="S122"/>
  <c r="S140"/>
  <c r="S141"/>
  <c r="S123"/>
  <c r="S119"/>
  <c r="S131"/>
  <c r="T134" l="1"/>
  <c r="S143"/>
  <c r="S144" s="1"/>
  <c r="AD10" i="16"/>
  <c r="AA63" i="8"/>
  <c r="AD11" i="16"/>
  <c r="AA64" i="8"/>
  <c r="X62"/>
  <c r="AA50"/>
  <c r="AB50" s="1"/>
  <c r="W45"/>
  <c r="X40"/>
  <c r="W49"/>
  <c r="T115"/>
  <c r="T116"/>
  <c r="T130"/>
  <c r="T112"/>
  <c r="T128"/>
  <c r="T135"/>
  <c r="T131"/>
  <c r="T118"/>
  <c r="T119"/>
  <c r="T139"/>
  <c r="U103"/>
  <c r="U104"/>
  <c r="U100"/>
  <c r="U102"/>
  <c r="U77"/>
  <c r="U79"/>
  <c r="U101"/>
  <c r="U138" s="1"/>
  <c r="U97"/>
  <c r="U87"/>
  <c r="U81"/>
  <c r="U96"/>
  <c r="U94"/>
  <c r="U88"/>
  <c r="U125" s="1"/>
  <c r="U95"/>
  <c r="U92"/>
  <c r="U82"/>
  <c r="U119" s="1"/>
  <c r="U80"/>
  <c r="U117" s="1"/>
  <c r="U78"/>
  <c r="U115" s="1"/>
  <c r="U84"/>
  <c r="U74"/>
  <c r="U111" s="1"/>
  <c r="U98"/>
  <c r="U105"/>
  <c r="U107" s="1"/>
  <c r="U76"/>
  <c r="U91"/>
  <c r="U67"/>
  <c r="U68" s="1"/>
  <c r="U83"/>
  <c r="U120" s="1"/>
  <c r="AA8" i="16"/>
  <c r="U75" i="8"/>
  <c r="U112" s="1"/>
  <c r="U99"/>
  <c r="U136" s="1"/>
  <c r="U93"/>
  <c r="U85"/>
  <c r="U122" s="1"/>
  <c r="U89"/>
  <c r="U90"/>
  <c r="U86"/>
  <c r="V54"/>
  <c r="V61"/>
  <c r="V65"/>
  <c r="AB12" i="16" s="1"/>
  <c r="T124" i="8"/>
  <c r="T138"/>
  <c r="T117"/>
  <c r="T133"/>
  <c r="T136"/>
  <c r="T141"/>
  <c r="T113"/>
  <c r="T121"/>
  <c r="T126"/>
  <c r="U135" l="1"/>
  <c r="U132"/>
  <c r="U126"/>
  <c r="U130"/>
  <c r="U141"/>
  <c r="AD9" i="16"/>
  <c r="AA62" i="8"/>
  <c r="T143"/>
  <c r="T144" s="1"/>
  <c r="U127"/>
  <c r="U113"/>
  <c r="V99"/>
  <c r="V79"/>
  <c r="V75"/>
  <c r="V76"/>
  <c r="V87"/>
  <c r="V85"/>
  <c r="V94"/>
  <c r="V90"/>
  <c r="V98"/>
  <c r="V78"/>
  <c r="V74"/>
  <c r="V111" s="1"/>
  <c r="V84"/>
  <c r="V82"/>
  <c r="V95"/>
  <c r="V91"/>
  <c r="V128" s="1"/>
  <c r="AB8" i="16"/>
  <c r="V96" i="8"/>
  <c r="V133" s="1"/>
  <c r="V86"/>
  <c r="V123" s="1"/>
  <c r="V101"/>
  <c r="V81"/>
  <c r="V77"/>
  <c r="V114" s="1"/>
  <c r="V103"/>
  <c r="V83"/>
  <c r="V120" s="1"/>
  <c r="V105"/>
  <c r="V107" s="1"/>
  <c r="V92"/>
  <c r="V129" s="1"/>
  <c r="V100"/>
  <c r="V137" s="1"/>
  <c r="V80"/>
  <c r="V117" s="1"/>
  <c r="V104"/>
  <c r="V88"/>
  <c r="V125" s="1"/>
  <c r="V102"/>
  <c r="V139" s="1"/>
  <c r="V67"/>
  <c r="V68" s="1"/>
  <c r="V97"/>
  <c r="V93"/>
  <c r="V130" s="1"/>
  <c r="V89"/>
  <c r="AA40"/>
  <c r="X49"/>
  <c r="X45"/>
  <c r="U123"/>
  <c r="U128"/>
  <c r="U131"/>
  <c r="U118"/>
  <c r="U134"/>
  <c r="U116"/>
  <c r="U139"/>
  <c r="W61"/>
  <c r="W65"/>
  <c r="AC12" i="16" s="1"/>
  <c r="W54" i="8"/>
  <c r="U121"/>
  <c r="U129"/>
  <c r="U133"/>
  <c r="U124"/>
  <c r="U114"/>
  <c r="U137"/>
  <c r="U140"/>
  <c r="V126" l="1"/>
  <c r="V134"/>
  <c r="V141"/>
  <c r="V132"/>
  <c r="U143"/>
  <c r="U144" s="1"/>
  <c r="W97"/>
  <c r="W96"/>
  <c r="W67"/>
  <c r="W68" s="1"/>
  <c r="W86"/>
  <c r="W92"/>
  <c r="W75"/>
  <c r="W84"/>
  <c r="W99"/>
  <c r="W81"/>
  <c r="W80"/>
  <c r="W90"/>
  <c r="W82"/>
  <c r="W98"/>
  <c r="W135" s="1"/>
  <c r="W93"/>
  <c r="W74"/>
  <c r="W111" s="1"/>
  <c r="W85"/>
  <c r="W122" s="1"/>
  <c r="W89"/>
  <c r="AC8" i="16"/>
  <c r="W76" i="8"/>
  <c r="W77"/>
  <c r="W104"/>
  <c r="W94"/>
  <c r="W131" s="1"/>
  <c r="W83"/>
  <c r="W87"/>
  <c r="W124" s="1"/>
  <c r="W88"/>
  <c r="W125" s="1"/>
  <c r="W101"/>
  <c r="W79"/>
  <c r="W103"/>
  <c r="W102"/>
  <c r="W139" s="1"/>
  <c r="W78"/>
  <c r="W91"/>
  <c r="W128" s="1"/>
  <c r="W95"/>
  <c r="W132" s="1"/>
  <c r="W105"/>
  <c r="W107" s="1"/>
  <c r="W100"/>
  <c r="W137" s="1"/>
  <c r="X65"/>
  <c r="X54"/>
  <c r="AA54" s="1"/>
  <c r="X61"/>
  <c r="AA49"/>
  <c r="AB49" s="1"/>
  <c r="V140"/>
  <c r="V118"/>
  <c r="V121"/>
  <c r="V115"/>
  <c r="V127"/>
  <c r="V122"/>
  <c r="V113"/>
  <c r="V116"/>
  <c r="AA45"/>
  <c r="Y61"/>
  <c r="Y65"/>
  <c r="AE12" i="16" s="1"/>
  <c r="V138" i="8"/>
  <c r="V119"/>
  <c r="V135"/>
  <c r="V131"/>
  <c r="V124"/>
  <c r="V112"/>
  <c r="V136"/>
  <c r="W130" l="1"/>
  <c r="W115"/>
  <c r="W120"/>
  <c r="W113"/>
  <c r="W119"/>
  <c r="V143"/>
  <c r="V144" s="1"/>
  <c r="W134"/>
  <c r="Y81"/>
  <c r="Y105"/>
  <c r="Y94"/>
  <c r="Y74"/>
  <c r="Y111" s="1"/>
  <c r="Y76"/>
  <c r="Y96"/>
  <c r="Y92"/>
  <c r="Y101"/>
  <c r="Y86"/>
  <c r="Y84"/>
  <c r="Y82"/>
  <c r="Y119" s="1"/>
  <c r="Y78"/>
  <c r="Y103"/>
  <c r="Y85"/>
  <c r="Y122" s="1"/>
  <c r="Y89"/>
  <c r="Y104"/>
  <c r="Y98"/>
  <c r="Y75"/>
  <c r="Y112" s="1"/>
  <c r="Y83"/>
  <c r="Y120" s="1"/>
  <c r="Y93"/>
  <c r="Y90"/>
  <c r="Y102"/>
  <c r="Y139" s="1"/>
  <c r="Y97"/>
  <c r="Y134" s="1"/>
  <c r="Y100"/>
  <c r="Y88"/>
  <c r="Y99"/>
  <c r="Y136" s="1"/>
  <c r="Y95"/>
  <c r="Y132" s="1"/>
  <c r="AE8" i="16"/>
  <c r="Y79" i="8"/>
  <c r="Y116" s="1"/>
  <c r="Y67"/>
  <c r="Y77"/>
  <c r="Y114" s="1"/>
  <c r="Y87"/>
  <c r="Y124" s="1"/>
  <c r="Y80"/>
  <c r="Y117" s="1"/>
  <c r="Y91"/>
  <c r="Y128" s="1"/>
  <c r="W140"/>
  <c r="W138"/>
  <c r="W114"/>
  <c r="W117"/>
  <c r="W136"/>
  <c r="W112"/>
  <c r="W123"/>
  <c r="W133"/>
  <c r="X80"/>
  <c r="X77"/>
  <c r="X78"/>
  <c r="X103"/>
  <c r="X98"/>
  <c r="X101"/>
  <c r="X95"/>
  <c r="X105"/>
  <c r="X107" s="1"/>
  <c r="X81"/>
  <c r="X118" s="1"/>
  <c r="X94"/>
  <c r="X74"/>
  <c r="X111" s="1"/>
  <c r="X104"/>
  <c r="X141" s="1"/>
  <c r="X82"/>
  <c r="X119" s="1"/>
  <c r="X100"/>
  <c r="X90"/>
  <c r="X75"/>
  <c r="X112" s="1"/>
  <c r="AD8" i="16"/>
  <c r="X84" i="8"/>
  <c r="X89"/>
  <c r="X97"/>
  <c r="X92"/>
  <c r="X87"/>
  <c r="X79"/>
  <c r="X116" s="1"/>
  <c r="X76"/>
  <c r="X113" s="1"/>
  <c r="X86"/>
  <c r="X85"/>
  <c r="X122" s="1"/>
  <c r="X96"/>
  <c r="X133" s="1"/>
  <c r="X93"/>
  <c r="X130" s="1"/>
  <c r="X67"/>
  <c r="X102"/>
  <c r="X139" s="1"/>
  <c r="X99"/>
  <c r="X83"/>
  <c r="X120" s="1"/>
  <c r="X91"/>
  <c r="X128" s="1"/>
  <c r="X88"/>
  <c r="X125" s="1"/>
  <c r="AA61"/>
  <c r="AD12" i="16"/>
  <c r="AA65" i="8"/>
  <c r="W116"/>
  <c r="W141"/>
  <c r="W126"/>
  <c r="W127"/>
  <c r="W118"/>
  <c r="W121"/>
  <c r="W129"/>
  <c r="AA67" l="1"/>
  <c r="C10"/>
  <c r="Y130"/>
  <c r="X136"/>
  <c r="Y127"/>
  <c r="X124"/>
  <c r="X115"/>
  <c r="Y141"/>
  <c r="W143"/>
  <c r="W144" s="1"/>
  <c r="X134"/>
  <c r="X121"/>
  <c r="X137"/>
  <c r="X131"/>
  <c r="X138"/>
  <c r="X140"/>
  <c r="X114"/>
  <c r="Y137"/>
  <c r="Y115"/>
  <c r="Y121"/>
  <c r="Y138"/>
  <c r="Y133"/>
  <c r="X68"/>
  <c r="AA68"/>
  <c r="B67"/>
  <c r="X123"/>
  <c r="X129"/>
  <c r="X126"/>
  <c r="X127"/>
  <c r="X132"/>
  <c r="X135"/>
  <c r="X117"/>
  <c r="Y125"/>
  <c r="Y135"/>
  <c r="Y126"/>
  <c r="Y140"/>
  <c r="Y123"/>
  <c r="Y129"/>
  <c r="Y113"/>
  <c r="Y131"/>
  <c r="Y118"/>
  <c r="Y144" l="1"/>
  <c r="X143"/>
  <c r="X144" s="1"/>
</calcChain>
</file>

<file path=xl/comments1.xml><?xml version="1.0" encoding="utf-8"?>
<comments xmlns="http://schemas.openxmlformats.org/spreadsheetml/2006/main">
  <authors>
    <author>Tina Jayaweera</author>
  </authors>
  <commentList>
    <comment ref="E21" authorId="0">
      <text>
        <r>
          <rPr>
            <b/>
            <sz val="9"/>
            <color indexed="81"/>
            <rFont val="Tahoma"/>
            <family val="2"/>
          </rPr>
          <t>Tina Jayaweera:</t>
        </r>
        <r>
          <rPr>
            <sz val="9"/>
            <color indexed="81"/>
            <rFont val="Tahoma"/>
            <family val="2"/>
          </rPr>
          <t xml:space="preserve">
Homes built in 2016 won't become eligible until 2017</t>
        </r>
      </text>
    </comment>
  </commentList>
</comments>
</file>

<file path=xl/comments2.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9"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9"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9"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9"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s>
  <commentList>
    <comment ref="J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4.xml><?xml version="1.0" encoding="utf-8"?>
<comments xmlns="http://schemas.openxmlformats.org/spreadsheetml/2006/main">
  <authors>
    <author>Tina Jayaweera</author>
  </authors>
  <commentList>
    <comment ref="H4" authorId="0">
      <text>
        <r>
          <rPr>
            <b/>
            <sz val="9"/>
            <color indexed="81"/>
            <rFont val="Tahoma"/>
            <family val="2"/>
          </rPr>
          <t>Tina Jayaweera:</t>
        </r>
        <r>
          <rPr>
            <sz val="9"/>
            <color indexed="81"/>
            <rFont val="Tahoma"/>
            <family val="2"/>
          </rPr>
          <t xml:space="preserve">
Based on Cadmus MI study, flow per person per aerator</t>
        </r>
      </text>
    </comment>
    <comment ref="K4" authorId="0">
      <text>
        <r>
          <rPr>
            <b/>
            <sz val="9"/>
            <color indexed="81"/>
            <rFont val="Tahoma"/>
            <family val="2"/>
          </rPr>
          <t>Tina Jayaweera:</t>
        </r>
        <r>
          <rPr>
            <sz val="9"/>
            <color indexed="81"/>
            <rFont val="Tahoma"/>
            <family val="2"/>
          </rPr>
          <t xml:space="preserve">
Changed to 50% to be close to MI temp of 86F</t>
        </r>
      </text>
    </comment>
    <comment ref="H5" authorId="0">
      <text>
        <r>
          <rPr>
            <b/>
            <sz val="9"/>
            <color indexed="81"/>
            <rFont val="Tahoma"/>
            <family val="2"/>
          </rPr>
          <t>Tina Jayaweera:</t>
        </r>
        <r>
          <rPr>
            <sz val="9"/>
            <color indexed="81"/>
            <rFont val="Tahoma"/>
            <family val="2"/>
          </rPr>
          <t xml:space="preserve">
Based on Cadmus MI study, flow per person per aerator</t>
        </r>
      </text>
    </comment>
    <comment ref="K5" authorId="0">
      <text>
        <r>
          <rPr>
            <b/>
            <sz val="9"/>
            <color indexed="81"/>
            <rFont val="Tahoma"/>
            <family val="2"/>
          </rPr>
          <t>Tina Jayaweera:</t>
        </r>
        <r>
          <rPr>
            <sz val="9"/>
            <color indexed="81"/>
            <rFont val="Tahoma"/>
            <family val="2"/>
          </rPr>
          <t xml:space="preserve">
Changed to 50% to be close to MI temp of 86F</t>
        </r>
      </text>
    </comment>
    <comment ref="H6" authorId="0">
      <text>
        <r>
          <rPr>
            <b/>
            <sz val="9"/>
            <color indexed="81"/>
            <rFont val="Tahoma"/>
            <family val="2"/>
          </rPr>
          <t>Tina Jayaweera:</t>
        </r>
        <r>
          <rPr>
            <sz val="9"/>
            <color indexed="81"/>
            <rFont val="Tahoma"/>
            <family val="2"/>
          </rPr>
          <t xml:space="preserve">
Based on Cadmus MI study</t>
        </r>
      </text>
    </comment>
    <comment ref="K6" authorId="0">
      <text>
        <r>
          <rPr>
            <b/>
            <sz val="9"/>
            <color indexed="81"/>
            <rFont val="Tahoma"/>
            <family val="2"/>
          </rPr>
          <t>Tina Jayaweera:</t>
        </r>
        <r>
          <rPr>
            <sz val="9"/>
            <color indexed="81"/>
            <rFont val="Tahoma"/>
            <family val="2"/>
          </rPr>
          <t xml:space="preserve">
Changed to 50% to be close to MI temp of 86F</t>
        </r>
      </text>
    </comment>
    <comment ref="H7" authorId="0">
      <text>
        <r>
          <rPr>
            <b/>
            <sz val="9"/>
            <color indexed="81"/>
            <rFont val="Tahoma"/>
            <family val="2"/>
          </rPr>
          <t>Tina Jayaweera:</t>
        </r>
        <r>
          <rPr>
            <sz val="9"/>
            <color indexed="81"/>
            <rFont val="Tahoma"/>
            <family val="2"/>
          </rPr>
          <t xml:space="preserve">
Based on Cadmus MI study, flow per person per aerator</t>
        </r>
      </text>
    </comment>
    <comment ref="K7" authorId="0">
      <text>
        <r>
          <rPr>
            <b/>
            <sz val="9"/>
            <color indexed="81"/>
            <rFont val="Tahoma"/>
            <family val="2"/>
          </rPr>
          <t>Tina Jayaweera:</t>
        </r>
        <r>
          <rPr>
            <sz val="9"/>
            <color indexed="81"/>
            <rFont val="Tahoma"/>
            <family val="2"/>
          </rPr>
          <t xml:space="preserve">
Changed to 50% to be close to MI temp of 86F</t>
        </r>
      </text>
    </comment>
    <comment ref="H8" authorId="0">
      <text>
        <r>
          <rPr>
            <b/>
            <sz val="9"/>
            <color indexed="81"/>
            <rFont val="Tahoma"/>
            <family val="2"/>
          </rPr>
          <t>Tina Jayaweera:</t>
        </r>
        <r>
          <rPr>
            <sz val="9"/>
            <color indexed="81"/>
            <rFont val="Tahoma"/>
            <family val="2"/>
          </rPr>
          <t xml:space="preserve">
Based on Cadmus MI study, flow per person per aerator</t>
        </r>
      </text>
    </comment>
    <comment ref="K8" authorId="0">
      <text>
        <r>
          <rPr>
            <b/>
            <sz val="9"/>
            <color indexed="81"/>
            <rFont val="Tahoma"/>
            <family val="2"/>
          </rPr>
          <t>Tina Jayaweera:</t>
        </r>
        <r>
          <rPr>
            <sz val="9"/>
            <color indexed="81"/>
            <rFont val="Tahoma"/>
            <family val="2"/>
          </rPr>
          <t xml:space="preserve">
Changed to 50% to be close to MI temp of 86F</t>
        </r>
      </text>
    </comment>
    <comment ref="H9" authorId="0">
      <text>
        <r>
          <rPr>
            <b/>
            <sz val="9"/>
            <color indexed="81"/>
            <rFont val="Tahoma"/>
            <family val="2"/>
          </rPr>
          <t>Tina Jayaweera:</t>
        </r>
        <r>
          <rPr>
            <sz val="9"/>
            <color indexed="81"/>
            <rFont val="Tahoma"/>
            <family val="2"/>
          </rPr>
          <t xml:space="preserve">
Based on Cadmus MI study, flow per person per aerator</t>
        </r>
      </text>
    </comment>
    <comment ref="K9" authorId="0">
      <text>
        <r>
          <rPr>
            <b/>
            <sz val="9"/>
            <color indexed="81"/>
            <rFont val="Tahoma"/>
            <family val="2"/>
          </rPr>
          <t>Tina Jayaweera:</t>
        </r>
        <r>
          <rPr>
            <sz val="9"/>
            <color indexed="81"/>
            <rFont val="Tahoma"/>
            <family val="2"/>
          </rPr>
          <t xml:space="preserve">
Changed to 50% to be close to MI temp of 86F</t>
        </r>
      </text>
    </comment>
    <comment ref="H10" authorId="0">
      <text>
        <r>
          <rPr>
            <b/>
            <sz val="9"/>
            <color indexed="81"/>
            <rFont val="Tahoma"/>
            <family val="2"/>
          </rPr>
          <t>Tina Jayaweera:</t>
        </r>
        <r>
          <rPr>
            <sz val="9"/>
            <color indexed="81"/>
            <rFont val="Tahoma"/>
            <family val="2"/>
          </rPr>
          <t xml:space="preserve">
Based on Cadmus MI study, flow per person per aerator</t>
        </r>
      </text>
    </comment>
    <comment ref="K10" authorId="0">
      <text>
        <r>
          <rPr>
            <b/>
            <sz val="9"/>
            <color indexed="81"/>
            <rFont val="Tahoma"/>
            <family val="2"/>
          </rPr>
          <t>Tina Jayaweera:</t>
        </r>
        <r>
          <rPr>
            <sz val="9"/>
            <color indexed="81"/>
            <rFont val="Tahoma"/>
            <family val="2"/>
          </rPr>
          <t xml:space="preserve">
Changed to 50% to be close to MI temp of 86F</t>
        </r>
      </text>
    </comment>
    <comment ref="Q16" authorId="0">
      <text>
        <r>
          <rPr>
            <b/>
            <sz val="9"/>
            <color indexed="81"/>
            <rFont val="Tahoma"/>
            <family val="2"/>
          </rPr>
          <t>Tina Jayaweera:</t>
        </r>
        <r>
          <rPr>
            <sz val="9"/>
            <color indexed="81"/>
            <rFont val="Tahoma"/>
            <family val="2"/>
          </rPr>
          <t xml:space="preserve">
avg WH temp from RBSA
</t>
        </r>
      </text>
    </comment>
    <comment ref="Q17" authorId="0">
      <text>
        <r>
          <rPr>
            <b/>
            <sz val="9"/>
            <color indexed="81"/>
            <rFont val="Tahoma"/>
            <family val="2"/>
          </rPr>
          <t>Tina Jayaweera:</t>
        </r>
        <r>
          <rPr>
            <sz val="9"/>
            <color indexed="81"/>
            <rFont val="Tahoma"/>
            <family val="2"/>
          </rPr>
          <t xml:space="preserve">
ranges bewteen 48-55, but to use 75F, select 53</t>
        </r>
      </text>
    </comment>
  </commentList>
</comments>
</file>

<file path=xl/comments5.xml><?xml version="1.0" encoding="utf-8"?>
<comments xmlns="http://schemas.openxmlformats.org/spreadsheetml/2006/main">
  <authors>
    <author>Adam Shick</author>
  </authors>
  <commentList>
    <comment ref="H4" authorId="0">
      <text>
        <r>
          <rPr>
            <b/>
            <sz val="9"/>
            <color indexed="81"/>
            <rFont val="Tahoma"/>
            <family val="2"/>
          </rPr>
          <t>Adam Shick:</t>
        </r>
        <r>
          <rPr>
            <sz val="9"/>
            <color indexed="81"/>
            <rFont val="Tahoma"/>
            <family val="2"/>
          </rPr>
          <t xml:space="preserve">
RA baseline flow rate is used here, although its not clear how that value was calculated. It looks close to the RBSA oregon averages,  but not exactly the same</t>
        </r>
      </text>
    </comment>
    <comment ref="I4" authorId="0">
      <text>
        <r>
          <rPr>
            <b/>
            <sz val="9"/>
            <color indexed="81"/>
            <rFont val="Tahoma"/>
            <family val="2"/>
          </rPr>
          <t>Adam Shick:</t>
        </r>
        <r>
          <rPr>
            <sz val="9"/>
            <color indexed="81"/>
            <rFont val="Tahoma"/>
            <family val="2"/>
          </rPr>
          <t xml:space="preserve">
In Situ Flow rate, not rated flow rate (90% of rated flow rate)</t>
        </r>
      </text>
    </comment>
    <comment ref="H10" authorId="0">
      <text>
        <r>
          <rPr>
            <b/>
            <sz val="9"/>
            <color indexed="81"/>
            <rFont val="Tahoma"/>
            <family val="2"/>
          </rPr>
          <t>Adam Shick:</t>
        </r>
        <r>
          <rPr>
            <sz val="9"/>
            <color indexed="81"/>
            <rFont val="Tahoma"/>
            <family val="2"/>
          </rPr>
          <t xml:space="preserve">
RA baseline flow rate is used here, although its not clear how that value was calculated. It looks close to the RBSA oregon averages,  but not exactly the same</t>
        </r>
      </text>
    </comment>
    <comment ref="J15" authorId="0">
      <text>
        <r>
          <rPr>
            <b/>
            <sz val="9"/>
            <color indexed="81"/>
            <rFont val="Tahoma"/>
            <family val="2"/>
          </rPr>
          <t>Adam Shick:</t>
        </r>
        <r>
          <rPr>
            <sz val="9"/>
            <color indexed="81"/>
            <rFont val="Tahoma"/>
            <family val="2"/>
          </rPr>
          <t xml:space="preserve">
Should we use the 1.5 GPM rate, or a linearly extrapolated 1.0 GPM rate?</t>
        </r>
      </text>
    </comment>
  </commentList>
</comments>
</file>

<file path=xl/sharedStrings.xml><?xml version="1.0" encoding="utf-8"?>
<sst xmlns="http://schemas.openxmlformats.org/spreadsheetml/2006/main" count="1323" uniqueCount="595">
  <si>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</si>
  <si>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</si>
  <si>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</si>
  <si>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</si>
  <si>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</si>
  <si>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</si>
  <si>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</si>
  <si>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</si>
  <si>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</si>
  <si>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</si>
  <si>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</si>
  <si>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</si>
  <si>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</si>
  <si>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</si>
  <si>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</si>
  <si>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</si>
  <si>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</si>
  <si>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</si>
  <si>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</si>
  <si>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</si>
  <si>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</si>
  <si>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</si>
  <si>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</si>
  <si>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</si>
  <si>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</si>
  <si>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</si>
  <si>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</si>
  <si>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</si>
  <si>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</si>
  <si>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</si>
  <si>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</si>
  <si>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</si>
  <si>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</si>
  <si>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</si>
  <si>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</si>
  <si>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</si>
  <si>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</si>
  <si>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</si>
  <si>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</si>
  <si>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</si>
  <si>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</si>
  <si>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</si>
  <si>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</si>
  <si>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</si>
  <si>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</si>
  <si>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</si>
  <si>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</si>
  <si>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</si>
  <si>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</si>
  <si>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</si>
  <si>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</si>
  <si>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</si>
  <si>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From ETO Assessment</t>
  </si>
  <si>
    <t>ResDHW</t>
  </si>
  <si>
    <t>Units Per Home</t>
  </si>
  <si>
    <t>Source</t>
  </si>
  <si>
    <t>RBSA</t>
  </si>
  <si>
    <t>Manuf</t>
  </si>
  <si>
    <t>avg home</t>
  </si>
  <si>
    <t>sq ft</t>
  </si>
  <si>
    <t>sqft</t>
  </si>
  <si>
    <t>New</t>
  </si>
  <si>
    <t>Methodology</t>
  </si>
  <si>
    <t>Retrofit</t>
  </si>
  <si>
    <t>Retro</t>
  </si>
  <si>
    <t>Measure Bundle</t>
  </si>
  <si>
    <t>Report Year</t>
  </si>
  <si>
    <t>REG_TOTAL_STOCK_# HOMES</t>
  </si>
  <si>
    <t>Total Regional Stock</t>
  </si>
  <si>
    <t>Applicability</t>
  </si>
  <si>
    <t>MAX</t>
  </si>
  <si>
    <t>Achievability =&gt;</t>
  </si>
  <si>
    <t>Homes Treated Max</t>
  </si>
  <si>
    <t>SUPPLY CURVE SAVINGS BY BUNDLE</t>
  </si>
  <si>
    <t>kWh per home</t>
  </si>
  <si>
    <t>lvlcost</t>
  </si>
  <si>
    <t>segment</t>
  </si>
  <si>
    <t>measure</t>
  </si>
  <si>
    <t>RECOMBINE MEASURE BUNDLES INTO SUPPLY CURVE CUMULATIVE</t>
  </si>
  <si>
    <t>Block 1: &lt;= 0 mills/kWh</t>
  </si>
  <si>
    <t>&gt;=-9999</t>
  </si>
  <si>
    <t>&lt;=0</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</si>
  <si>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</si>
  <si>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</si>
  <si>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</si>
  <si>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</si>
  <si>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</si>
  <si>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</si>
  <si>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</si>
  <si>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</si>
  <si>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</si>
  <si>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</si>
  <si>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</si>
  <si>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</si>
  <si>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</si>
  <si>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</si>
  <si>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</si>
  <si>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</si>
  <si>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</si>
  <si>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</si>
  <si>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</si>
  <si>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</si>
  <si>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</si>
  <si>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</si>
  <si>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</si>
  <si>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</si>
  <si>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</si>
  <si>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</si>
  <si>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</si>
  <si>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</si>
  <si>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</si>
  <si>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</si>
  <si>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</si>
  <si>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</si>
  <si>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</si>
  <si>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</si>
  <si>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</si>
  <si>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</si>
  <si>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</si>
  <si>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</si>
  <si>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</si>
  <si>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</si>
  <si>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</si>
  <si>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</si>
  <si>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</si>
  <si>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</si>
  <si>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</si>
  <si>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</si>
  <si>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</si>
  <si>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</si>
  <si>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</si>
  <si>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</si>
  <si>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</si>
  <si>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</si>
  <si>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</si>
  <si>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</si>
  <si>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</si>
  <si>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</si>
  <si>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</si>
  <si>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</si>
  <si>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</si>
  <si>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&gt;200</t>
  </si>
  <si>
    <t>&lt;=9999</t>
  </si>
  <si>
    <t>RECOMBINE MEASURE BUNDLES INTO SUPPLY CURVE INCREMENTAL</t>
  </si>
  <si>
    <t>Total per Year</t>
  </si>
  <si>
    <t>Total Cumulative</t>
  </si>
  <si>
    <t>New Homes only.  Also use this to calculate New Homes not addressed due to acheivability, and send that to the Retrofit pool.</t>
  </si>
  <si>
    <t># homes</t>
  </si>
  <si>
    <t>REG_TOTAL_STOCK_FLOOR</t>
  </si>
  <si>
    <t>SC_New</t>
  </si>
  <si>
    <t>CALCULATE # HOMES NOT ADDRESSED BY MEASURE AND ADD TO RETROFIT POOL</t>
  </si>
  <si>
    <t># HOMES RESIDUAL &amp; AVAILABLE TO NR/RETROFIT POOL</t>
  </si>
  <si>
    <t>APPLICABLE NEW STOCK MINUS TREATED</t>
  </si>
  <si>
    <t>Homes</t>
  </si>
  <si>
    <t>Total Residual to NR/Retro Pool</t>
  </si>
  <si>
    <t>UNITS PER HOME</t>
  </si>
  <si>
    <t># HOMES</t>
  </si>
  <si>
    <t>EXISTING HOMES</t>
  </si>
  <si>
    <t>UNTREATED NEW HOMES</t>
  </si>
  <si>
    <t>='[7P Forecasts D1.xlsx]Res Forecast (Base Case)'!$D$5</t>
  </si>
  <si>
    <t>Aerators</t>
  </si>
  <si>
    <t>Channel</t>
  </si>
  <si>
    <t>Occupancy</t>
  </si>
  <si>
    <t>% of Max Flow</t>
  </si>
  <si>
    <t>Annualized Occupancy (days)</t>
  </si>
  <si>
    <t>Flow Duration (min.)</t>
  </si>
  <si>
    <t>Baseline Flow Rate (GPM)</t>
  </si>
  <si>
    <t>New Flow Rate (GPM)</t>
  </si>
  <si>
    <t>% Hot Water</t>
  </si>
  <si>
    <t>DHW Efficiency</t>
  </si>
  <si>
    <t>Install Rate</t>
  </si>
  <si>
    <t>Site kWh Savings</t>
  </si>
  <si>
    <t>Site Therm Savings</t>
  </si>
  <si>
    <t>Sewer Savings (kWh)</t>
  </si>
  <si>
    <t>Water Savings (gal)</t>
  </si>
  <si>
    <t>1.5 GPM Kitchen Aerator- Electric DHW- SF/MF</t>
  </si>
  <si>
    <t>Custom Kit</t>
  </si>
  <si>
    <t>1.5 GPM Kitchen Aerator- Gas DHW- SF/MF</t>
  </si>
  <si>
    <t>1.0 GPM Bath Aerator- Electric DHW- SF/MF</t>
  </si>
  <si>
    <t>1.0 GPM Bath Aerator- Gas DHW- SF/MF</t>
  </si>
  <si>
    <t>Assumptions</t>
  </si>
  <si>
    <t>Conversions</t>
  </si>
  <si>
    <t>Housing Stock Split- from Resource Assessment</t>
  </si>
  <si>
    <t>Specific Weight of Water (lbs./gal.)</t>
  </si>
  <si>
    <t>Multifamily</t>
  </si>
  <si>
    <t>BTU per kWh</t>
  </si>
  <si>
    <t>Average Occupancy- RTF</t>
  </si>
  <si>
    <t>SF/MF Blended Average</t>
  </si>
  <si>
    <t>Sewer Savings Rate (kWh/gal)- RTF</t>
  </si>
  <si>
    <t>Sewer Bill Savings Rate ($/gal)- ETO Assumption</t>
  </si>
  <si>
    <t>% Hot Water- Any Showerhead- RTF</t>
  </si>
  <si>
    <t>2.0 GPM</t>
  </si>
  <si>
    <t>1.75 GPM</t>
  </si>
  <si>
    <t>1.5 GPM</t>
  </si>
  <si>
    <t>**not shown in RTF workbook bc no 1.0 GPM showerheads</t>
  </si>
  <si>
    <t>1.25 GPM</t>
  </si>
  <si>
    <t>?</t>
  </si>
  <si>
    <t>1.0 GPM</t>
  </si>
  <si>
    <t>Kitchen Aerator Baseline Flow Rate- Collected by CSG in HERs</t>
  </si>
  <si>
    <t>Bath Aerator Baseline Flow Rate- collected by CSG in HERs</t>
  </si>
  <si>
    <t>Water Temp Rise (outlet minus inlet, deg F)</t>
  </si>
  <si>
    <t>ETO CEC 2015 Customizable Energy Saver Kits-140822 REVISED</t>
  </si>
  <si>
    <t>Showerheads</t>
  </si>
  <si>
    <t>Customizable Kit Installation Rates- 2013 Existing Homes Process Evaluation</t>
  </si>
  <si>
    <t>Actual Install Rate</t>
  </si>
  <si>
    <t>Planned Install Rate</t>
  </si>
  <si>
    <t>Average of Planned/Actual</t>
  </si>
  <si>
    <t xml:space="preserve">Bath aerators </t>
  </si>
  <si>
    <t>Kitchen aerators</t>
  </si>
  <si>
    <t>A-lamp bulbs</t>
  </si>
  <si>
    <t>Standard CFL bulbs</t>
  </si>
  <si>
    <t>Globe bulbs</t>
  </si>
  <si>
    <t>Reflector bulbs</t>
  </si>
  <si>
    <t>Candelabra bulbs</t>
  </si>
  <si>
    <t>ESK install rates for true-up.msg</t>
  </si>
  <si>
    <t>Installation Rates- RTF</t>
  </si>
  <si>
    <t>2.0 gpm rated</t>
  </si>
  <si>
    <t>1.75 gpm rated</t>
  </si>
  <si>
    <t>1.5 gpm rated</t>
  </si>
  <si>
    <t>Residential Retail</t>
  </si>
  <si>
    <t>lower uptake with lower gpm for retail to address concerns of lower satisfaction at lower flow rates</t>
  </si>
  <si>
    <t>Residential Mail-by-Request</t>
  </si>
  <si>
    <t>changed mail-by-request Install Rate from 60% to 76% based on "PSE 2008LowFlowShowerheadSurveyResults.pdf" as per recommendation</t>
  </si>
  <si>
    <t>Residential Direct Install</t>
  </si>
  <si>
    <t>90% value from 2007 analysis is retained - "SPU Showerhead/Aerator Pilot Program, Summary I: 93% of survey respondents installed and retained one or more showerheads they received. Result rounded down to 90%."</t>
  </si>
  <si>
    <t>Commercial Retail</t>
  </si>
  <si>
    <t>Commercial Mail-by-Request</t>
  </si>
  <si>
    <t>Commercial Direct Install</t>
  </si>
  <si>
    <t>SOURCE</t>
  </si>
  <si>
    <t>ETO Blessing Memo</t>
  </si>
  <si>
    <t>Aerator 2.48 to 1.0 GPM</t>
  </si>
  <si>
    <t>Temp</t>
  </si>
  <si>
    <t>%</t>
  </si>
  <si>
    <t>Product</t>
  </si>
  <si>
    <t>Hot water</t>
  </si>
  <si>
    <t>Cold water</t>
  </si>
  <si>
    <t>Weighted Avg</t>
  </si>
  <si>
    <t>deg F</t>
  </si>
  <si>
    <t>Email from Ted Light to explain the 68% assumption for % hot water</t>
  </si>
  <si>
    <t>Blessing memo doc assumes 104F</t>
  </si>
  <si>
    <t>Blessing Memo Doc:</t>
  </si>
  <si>
    <t>Residential direct install aerator.docx</t>
  </si>
  <si>
    <t>Measure Life</t>
  </si>
  <si>
    <t>years</t>
  </si>
  <si>
    <t>Cost</t>
  </si>
  <si>
    <t>NonE benefits</t>
  </si>
  <si>
    <t>kWh/yr</t>
  </si>
  <si>
    <t>reduced h2o &amp; WW treatment</t>
  </si>
  <si>
    <t>Electric WH</t>
  </si>
  <si>
    <t>from HPWH RTF UES workbook</t>
  </si>
  <si>
    <r>
      <t xml:space="preserve">Outlet water temperature of 122 °F to 127 °F based on measurements from </t>
    </r>
    <r>
      <rPr>
        <i/>
        <sz val="10"/>
        <rFont val="Arial"/>
        <family val="2"/>
      </rPr>
      <t xml:space="preserve">Quaid, Maureen, Rick Kunkle and Brian Lagerberg, 1991. RCDP 2 Appliance Analysis, Washington State Energy Office, August 1991
</t>
    </r>
    <r>
      <rPr>
        <sz val="10"/>
        <rFont val="Arial"/>
        <family val="2"/>
      </rPr>
      <t>Inlet Water Temperature of 52 °F based on average of outdoor temperatures + 2 °F based on</t>
    </r>
    <r>
      <rPr>
        <i/>
        <sz val="10"/>
        <rFont val="Arial"/>
        <family val="2"/>
      </rPr>
      <t xml:space="preserve"> Roos, Carolyn and David Baylon, 1993. Non-Space Heating Electrical Consumption in Manufactured Homes RCDP Cycle II. Ecotope Inc. May 1993.</t>
    </r>
  </si>
  <si>
    <t>Measure:</t>
  </si>
  <si>
    <t>Item</t>
  </si>
  <si>
    <t>Methods &amp; Sources</t>
  </si>
  <si>
    <t>Note</t>
  </si>
  <si>
    <t>7P Updates</t>
  </si>
  <si>
    <t>Measures Described</t>
  </si>
  <si>
    <t>Energy Savings Calculation Basis</t>
  </si>
  <si>
    <t>Applicable Stock</t>
  </si>
  <si>
    <t>Baseline Saturation</t>
  </si>
  <si>
    <t>Baseline HVAC Loads</t>
  </si>
  <si>
    <t>NA</t>
  </si>
  <si>
    <t>Permutations</t>
  </si>
  <si>
    <t>Costs</t>
  </si>
  <si>
    <t>Savings Shape</t>
  </si>
  <si>
    <t>Achievable Ramp Rate</t>
  </si>
  <si>
    <t>Faucet aerator for bathroom use, reducing GPM from 2.5 to 1.0</t>
  </si>
  <si>
    <t>Source of baseline saturation from Seattle PUC Study of Market Penetration of Water Efficient Fixtures, 2004 - no more recent data available</t>
  </si>
  <si>
    <t>ETO CPA assumes 65% saturation of measure</t>
  </si>
  <si>
    <t>Includes wastewater savings</t>
  </si>
  <si>
    <t>Retro or LO</t>
  </si>
  <si>
    <t>Early Retrofit Parameters</t>
  </si>
  <si>
    <t>R or L</t>
  </si>
  <si>
    <t>Savings 2
(kWh)</t>
  </si>
  <si>
    <t>Remaining
Life (yrs)</t>
  </si>
  <si>
    <t>Salvage Value ($)</t>
  </si>
  <si>
    <t>R</t>
  </si>
  <si>
    <t>aMW</t>
  </si>
  <si>
    <t>Existing</t>
  </si>
  <si>
    <t>R-All-WH-ERWH-All-All-R</t>
  </si>
  <si>
    <t>TRC Net Levelized Cost (Net of All Benefits)</t>
  </si>
  <si>
    <t>New measure in 7P</t>
  </si>
  <si>
    <t>One only</t>
  </si>
  <si>
    <t>DHW - ERWH</t>
  </si>
  <si>
    <t>for HPWH</t>
  </si>
  <si>
    <t>Bathroom Aerator 1.0 GPM HPWH</t>
  </si>
  <si>
    <t>weighted average &gt;&gt;</t>
  </si>
  <si>
    <t>HPWH</t>
  </si>
  <si>
    <t>based on % less than 55gal</t>
  </si>
  <si>
    <t>based on % greater than 55gal</t>
  </si>
  <si>
    <t>Single Family Bathroom Aerator 1.0 GPM HPWH</t>
  </si>
  <si>
    <t>Based on engineering calculation using Energy Trust blessing memo, Cadmus MI water metering study</t>
  </si>
  <si>
    <t>RBSA on electric WH saturation, # of bathrooms/home,  added in iteration for 1.5GPM for HPWH using steady state efficiency factor of 200%</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</si>
  <si>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</si>
  <si>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</si>
  <si>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</si>
  <si>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</si>
  <si>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</si>
  <si>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</si>
  <si>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</si>
  <si>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</si>
  <si>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</si>
  <si>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</si>
  <si>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</si>
  <si>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</si>
  <si>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</si>
  <si>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</si>
  <si>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</si>
  <si>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</si>
  <si>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</si>
  <si>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</si>
  <si>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</si>
  <si>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</si>
  <si>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</si>
  <si>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</si>
  <si>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</si>
  <si>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</si>
  <si>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</si>
  <si>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</si>
  <si>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</si>
  <si>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</si>
  <si>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</si>
  <si>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</si>
  <si>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</si>
  <si>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Savings Allocation by Category and Month for Segments 1</t>
  </si>
  <si>
    <t>Savings Allocation by Category and Month for Segments 2</t>
  </si>
  <si>
    <t>Wholesale KW</t>
  </si>
  <si>
    <t>Block 2: 0-10 mills/kWh</t>
  </si>
  <si>
    <t>Ramp Rate</t>
  </si>
  <si>
    <t>Resource Type</t>
  </si>
  <si>
    <t>Measure Category</t>
  </si>
  <si>
    <t>Sector</t>
  </si>
  <si>
    <t>End Use</t>
  </si>
  <si>
    <t>kW per unit</t>
  </si>
  <si>
    <t>kWh per unit</t>
  </si>
  <si>
    <t>Residential</t>
  </si>
  <si>
    <t>R-All-WH-HPWH-All-All-R</t>
  </si>
  <si>
    <t>End Use:</t>
  </si>
  <si>
    <t>RBSA - set equal to # of Showerheads, as RBSA does not include data on # of bathrooms</t>
  </si>
  <si>
    <t>Bathroom Aerator 1.0 GPM AnyWH</t>
  </si>
  <si>
    <t>Single Family Bathroom Aerator 1.0 GPM AnyWH</t>
  </si>
  <si>
    <t>Manufactured Bathroom Aerator 1.0 GPM AnyWH</t>
  </si>
  <si>
    <t>Multifamily - Low Rise Bathroom Aerator 1.0 GPM AnyWH</t>
  </si>
  <si>
    <t>Multifamily - High Rise Bathroom Aerator 1.0 GPM AnyWH</t>
  </si>
  <si>
    <t>nyWH</t>
  </si>
  <si>
    <t>RTF Assumptions</t>
  </si>
  <si>
    <t>Col Water</t>
  </si>
  <si>
    <t>Delta</t>
  </si>
  <si>
    <t>but RTF uses 75F delta assumption</t>
  </si>
  <si>
    <t>from RTF SIW</t>
  </si>
  <si>
    <t>in 2012 dollars for combined water &amp; wastewater price (per 1000gals)</t>
  </si>
  <si>
    <t>same assumption as showerheads</t>
  </si>
  <si>
    <t>gas</t>
  </si>
  <si>
    <t>1.0 GPM Kitchen Aerator- Gas DHW- SF/MF</t>
  </si>
  <si>
    <t>Average Occupancy- from RBSA</t>
  </si>
  <si>
    <t>Saturation - from RBSA</t>
  </si>
  <si>
    <t>% Max Flow</t>
  </si>
  <si>
    <t xml:space="preserve">Recommend using this BPA 1993 report values "Bath Faucet User Setting Flow Rate" divided by "Bath Faucet Full Throttle Flow Rate"  http://www.bpa.gov/EE/Utility/research-archive/Documents/energy-efficient-showerhead-faucet-aerator-metering-study-multifamily-residences.pdf; </t>
  </si>
  <si>
    <t>Average of the Pre/Post mean values gives roughly 0.593</t>
  </si>
  <si>
    <t>The water temperature rise source is based on 1991/1993 source data and is difficult to read as it is currently presented.  Additionally the % hot water is unsourced. Currently the average water temperature at the bathroom sink is 88.25F which is reasonable. Recommend using the Building America DHW Event Schedule Generator to determine the average water main temperature: http://energy.gov/eere/buildings/downloads/building-america-dhw-event-schedule-generator. Recommend removing the hot water % factor and using an average water temperature at the faucet instead. The Cadmus MI report has this value as 86F and can be found on the Tab MI approximately around cell AB52</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</si>
  <si>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</si>
  <si>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</si>
  <si>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</si>
  <si>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</si>
  <si>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</si>
  <si>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</si>
  <si>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</si>
  <si>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</si>
  <si>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</si>
  <si>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</si>
  <si>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</si>
  <si>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</si>
  <si>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</si>
  <si>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\\nas2\Q\SeventhPlan\Conservation Analysis\Global EE Inputs\MC Files\MC_AND_LOADSHAPE_v3.0_24segment-7P-D9 - NewSegValues.xlsx</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</si>
  <si>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</si>
  <si>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</si>
  <si>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</si>
  <si>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</si>
  <si>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</si>
  <si>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</si>
  <si>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</si>
  <si>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</si>
  <si>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</si>
  <si>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</si>
  <si>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</si>
  <si>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</si>
  <si>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</si>
  <si>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</si>
  <si>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</si>
  <si>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</si>
  <si>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</si>
  <si>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</si>
  <si>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</si>
  <si>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</si>
  <si>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</si>
  <si>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</si>
  <si>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</si>
  <si>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</si>
  <si>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</si>
  <si>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</si>
  <si>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</si>
  <si>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</si>
  <si>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</si>
  <si>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</si>
  <si>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</si>
  <si>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</si>
  <si>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</si>
  <si>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</si>
  <si>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</si>
  <si>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</si>
  <si>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</si>
  <si>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</si>
  <si>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</si>
  <si>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</si>
  <si>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</si>
  <si>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</si>
  <si>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</si>
  <si>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</si>
  <si>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</si>
  <si>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</si>
  <si>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</si>
  <si>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</si>
  <si>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</si>
  <si>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</si>
  <si>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</si>
  <si>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</si>
  <si>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</si>
  <si>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</si>
  <si>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</si>
  <si>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</si>
  <si>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</si>
  <si>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</si>
  <si>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</si>
  <si>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</si>
  <si>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</si>
  <si>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</si>
  <si>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</si>
  <si>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</si>
  <si>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</si>
  <si>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</si>
  <si>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</si>
  <si>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</si>
  <si>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</si>
  <si>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</si>
  <si>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</si>
  <si>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</si>
  <si>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</si>
  <si>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</si>
  <si>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</si>
  <si>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</si>
  <si>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</si>
  <si>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</si>
  <si>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</si>
  <si>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</si>
  <si>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</si>
  <si>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</si>
  <si>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</si>
  <si>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</si>
  <si>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</si>
  <si>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</si>
  <si>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</si>
  <si>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</si>
  <si>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</si>
  <si>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</si>
  <si>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</si>
  <si>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</si>
  <si>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</si>
  <si>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</si>
  <si>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</si>
  <si>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</si>
  <si>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</si>
  <si>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</si>
  <si>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</si>
  <si>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</si>
  <si>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</si>
  <si>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</si>
  <si>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</si>
  <si>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</si>
  <si>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</si>
  <si>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</si>
  <si>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</si>
  <si>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</si>
  <si>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</si>
  <si>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</si>
  <si>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</si>
  <si>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</si>
  <si>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</si>
  <si>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</si>
  <si>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</si>
  <si>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</si>
  <si>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</si>
  <si>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</si>
  <si>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</si>
  <si>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</si>
  <si>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</si>
  <si>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</si>
  <si>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</si>
  <si>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</si>
  <si>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</si>
  <si>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</si>
  <si>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</si>
  <si>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</si>
  <si>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</si>
  <si>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</si>
  <si>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</si>
  <si>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</si>
  <si>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</si>
  <si>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</si>
  <si>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</si>
  <si>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</si>
  <si>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</si>
  <si>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</si>
  <si>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</si>
  <si>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</si>
  <si>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</si>
  <si>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</si>
  <si>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</si>
  <si>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</si>
  <si>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</si>
  <si>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</si>
  <si>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</si>
  <si>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</si>
  <si>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</si>
  <si>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</si>
  <si>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</si>
  <si>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</si>
  <si>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</si>
  <si>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</si>
  <si>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</si>
  <si>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</si>
  <si>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</si>
  <si>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</si>
  <si>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</si>
  <si>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</si>
  <si>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</si>
  <si>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</si>
  <si>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</si>
  <si>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</si>
  <si>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</si>
  <si>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</si>
  <si>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</si>
  <si>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</si>
  <si>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 &lt;= 10 mills/kWh</t>
  </si>
  <si>
    <t>Block 22: &gt; 200 mills/kWh</t>
  </si>
  <si>
    <t>3Slow</t>
  </si>
  <si>
    <t>Aerators are a commonly used water saving measure. ETO and others have program, but not RTF UES</t>
  </si>
  <si>
    <t>From ETO:</t>
  </si>
  <si>
    <t>Total Aerators</t>
  </si>
  <si>
    <t>Building Type/Install</t>
  </si>
  <si>
    <t>Grand Total</t>
  </si>
  <si>
    <t>Com Bldg</t>
  </si>
  <si>
    <t>DI</t>
  </si>
  <si>
    <t xml:space="preserve">                            119 </t>
  </si>
  <si>
    <t xml:space="preserve">         554 </t>
  </si>
  <si>
    <t xml:space="preserve">           321 </t>
  </si>
  <si>
    <t xml:space="preserve">         329 </t>
  </si>
  <si>
    <t xml:space="preserve">           749 </t>
  </si>
  <si>
    <t xml:space="preserve">             2,072 </t>
  </si>
  <si>
    <t>Mfg Homes</t>
  </si>
  <si>
    <t xml:space="preserve">                        4,150 </t>
  </si>
  <si>
    <t xml:space="preserve">     8,827 </t>
  </si>
  <si>
    <t xml:space="preserve">       5,392 </t>
  </si>
  <si>
    <t xml:space="preserve">     1,777 </t>
  </si>
  <si>
    <t xml:space="preserve">       1,113 </t>
  </si>
  <si>
    <t xml:space="preserve">          21,259 </t>
  </si>
  <si>
    <t xml:space="preserve">                      16,495 </t>
  </si>
  <si>
    <t xml:space="preserve">   34,581 </t>
  </si>
  <si>
    <t xml:space="preserve">     35,977 </t>
  </si>
  <si>
    <t xml:space="preserve">   33,134 </t>
  </si>
  <si>
    <t xml:space="preserve">     44,861 </t>
  </si>
  <si>
    <t xml:space="preserve">        165,048 </t>
  </si>
  <si>
    <t>Kit</t>
  </si>
  <si>
    <t xml:space="preserve">                            897 </t>
  </si>
  <si>
    <t xml:space="preserve">                897 </t>
  </si>
  <si>
    <t>SF Homes</t>
  </si>
  <si>
    <t xml:space="preserve">                        8,787 </t>
  </si>
  <si>
    <t xml:space="preserve">     9,629 </t>
  </si>
  <si>
    <t xml:space="preserve">     15,565 </t>
  </si>
  <si>
    <t xml:space="preserve">     3,324 </t>
  </si>
  <si>
    <t xml:space="preserve">       1,819 </t>
  </si>
  <si>
    <t xml:space="preserve">          39,124 </t>
  </si>
  <si>
    <t xml:space="preserve">                            239 </t>
  </si>
  <si>
    <t xml:space="preserve">         362 </t>
  </si>
  <si>
    <t xml:space="preserve">   126,301 </t>
  </si>
  <si>
    <t xml:space="preserve">   38,359 </t>
  </si>
  <si>
    <t xml:space="preserve">     97,632 </t>
  </si>
  <si>
    <t xml:space="preserve">        262,893 </t>
  </si>
  <si>
    <t xml:space="preserve">                      30,687 </t>
  </si>
  <si>
    <t xml:space="preserve">   53,953 </t>
  </si>
  <si>
    <t xml:space="preserve">   183,556 </t>
  </si>
  <si>
    <t xml:space="preserve">   76,923 </t>
  </si>
  <si>
    <t xml:space="preserve">   146,174 </t>
  </si>
  <si>
    <t xml:space="preserve">        491,293 </t>
  </si>
  <si>
    <t>Friday, 6 March , 2015 at 1:51 PM</t>
  </si>
  <si>
    <t>Total Max Potential (aMW)</t>
  </si>
</sst>
</file>

<file path=xl/styles.xml><?xml version="1.0" encoding="utf-8"?>
<styleSheet xmlns="http://schemas.openxmlformats.org/spreadsheetml/2006/main">
  <numFmts count="19">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quot;$&quot;* #,##0_);_(&quot;$&quot;* \(#,##0\);_(&quot;$&quot;* &quot;-&quot;??_);_(@_)"/>
    <numFmt numFmtId="169" formatCode="m/d/\ h:mm"/>
    <numFmt numFmtId="170" formatCode="0.000"/>
    <numFmt numFmtId="171" formatCode="_(* #,##0.0_);_(* \(#,##0.0\);_(* &quot;-&quot;?_);_(@_)"/>
    <numFmt numFmtId="172" formatCode="_(* #,##0.00000_);_(* \(#,##0.00000\);_(* &quot;-&quot;??_);_(@_)"/>
    <numFmt numFmtId="173" formatCode="_(* #,##0_);_(* \(#,##0\);_(* &quot;-&quot;??_);_(@_)"/>
    <numFmt numFmtId="174" formatCode="mmm\-yyyy"/>
    <numFmt numFmtId="175" formatCode="&quot;$&quot;#,##0.00"/>
    <numFmt numFmtId="176" formatCode="0.0;[Red]\-0.0"/>
    <numFmt numFmtId="177" formatCode="\ "/>
  </numFmts>
  <fonts count="70">
    <font>
      <sz val="10"/>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b/>
      <sz val="14"/>
      <color theme="6" tint="-0.499984740745262"/>
      <name val="Calibri"/>
      <family val="2"/>
      <scheme val="minor"/>
    </font>
    <font>
      <sz val="11"/>
      <name val="Calibri"/>
      <family val="2"/>
      <scheme val="minor"/>
    </font>
    <font>
      <b/>
      <sz val="11"/>
      <name val="Calibri"/>
      <family val="2"/>
      <scheme val="minor"/>
    </font>
    <font>
      <b/>
      <sz val="14"/>
      <color theme="3"/>
      <name val="Calibri"/>
      <family val="2"/>
      <scheme val="minor"/>
    </font>
    <font>
      <b/>
      <sz val="11"/>
      <color rgb="FF1D1B11"/>
      <name val="Calibri"/>
      <family val="2"/>
      <scheme val="minor"/>
    </font>
    <font>
      <sz val="11"/>
      <color rgb="FF1D1B11"/>
      <name val="Calibri"/>
      <family val="2"/>
      <scheme val="minor"/>
    </font>
    <font>
      <sz val="11"/>
      <color rgb="FF000000"/>
      <name val="Calibri"/>
      <family val="2"/>
      <scheme val="minor"/>
    </font>
    <font>
      <u/>
      <sz val="10"/>
      <color theme="10"/>
      <name val="Arial"/>
      <family val="2"/>
    </font>
    <font>
      <b/>
      <sz val="11"/>
      <name val="Calibri"/>
      <family val="2"/>
    </font>
    <font>
      <sz val="11"/>
      <name val="Calibri"/>
      <family val="2"/>
    </font>
    <font>
      <sz val="11"/>
      <color rgb="FF000000"/>
      <name val="Calibri"/>
      <family val="2"/>
    </font>
    <font>
      <i/>
      <sz val="10"/>
      <name val="Arial"/>
      <family val="2"/>
    </font>
    <font>
      <b/>
      <sz val="14"/>
      <color theme="1"/>
      <name val="Calibri"/>
      <family val="2"/>
      <scheme val="minor"/>
    </font>
    <font>
      <sz val="11"/>
      <color indexed="8"/>
      <name val="Calibri"/>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62"/>
      <name val="Calibri"/>
      <family val="2"/>
    </font>
    <font>
      <b/>
      <sz val="11"/>
      <color indexed="56"/>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b/>
      <sz val="11"/>
      <color indexed="8"/>
      <name val="Calibri"/>
      <family val="2"/>
    </font>
    <font>
      <sz val="11"/>
      <color indexed="10"/>
      <name val="Calibri"/>
      <family val="2"/>
    </font>
    <font>
      <sz val="10"/>
      <name val="굴림"/>
      <family val="3"/>
      <charset val="129"/>
    </font>
    <font>
      <b/>
      <i/>
      <sz val="11"/>
      <name val="Calibri"/>
      <family val="2"/>
    </font>
    <font>
      <sz val="10"/>
      <color indexed="10"/>
      <name val="Arial"/>
      <family val="2"/>
    </font>
    <font>
      <b/>
      <sz val="11"/>
      <color rgb="FF000000"/>
      <name val="Calibri"/>
      <family val="2"/>
    </font>
  </fonts>
  <fills count="68">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4BACC6"/>
        <bgColor indexed="64"/>
      </patternFill>
    </fill>
    <fill>
      <patternFill patternType="solid">
        <fgColor rgb="FFE9F1F5"/>
        <bgColor indexed="64"/>
      </patternFill>
    </fill>
    <fill>
      <patternFill patternType="solid">
        <fgColor rgb="FFFFFFFF"/>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DDEBF7"/>
        <bgColor indexed="64"/>
      </patternFill>
    </fill>
  </fills>
  <borders count="5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9"/>
      </left>
      <right style="thick">
        <color indexed="9"/>
      </right>
      <top style="thick">
        <color indexed="9"/>
      </top>
      <bottom style="thick">
        <color indexed="9"/>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thick">
        <color indexed="9"/>
      </right>
      <top style="medium">
        <color indexed="64"/>
      </top>
      <bottom style="medium">
        <color indexed="64"/>
      </bottom>
      <diagonal/>
    </border>
    <border>
      <left style="thick">
        <color indexed="9"/>
      </left>
      <right style="thick">
        <color indexed="9"/>
      </right>
      <top style="medium">
        <color indexed="64"/>
      </top>
      <bottom style="medium">
        <color indexed="64"/>
      </bottom>
      <diagonal/>
    </border>
    <border>
      <left style="thick">
        <color indexed="9"/>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9BC2E6"/>
      </bottom>
      <diagonal/>
    </border>
    <border>
      <left/>
      <right/>
      <top style="medium">
        <color rgb="FF9BC2E6"/>
      </top>
      <bottom/>
      <diagonal/>
    </border>
  </borders>
  <cellStyleXfs count="367">
    <xf numFmtId="0" fontId="0" fillId="0" borderId="0">
      <alignment readingOrder="1"/>
    </xf>
    <xf numFmtId="44" fontId="4" fillId="0" borderId="0" applyFont="0" applyFill="0" applyBorder="0" applyAlignment="0" applyProtection="0"/>
    <xf numFmtId="0" fontId="2" fillId="0" borderId="0"/>
    <xf numFmtId="0" fontId="4" fillId="0" borderId="0"/>
    <xf numFmtId="0" fontId="4" fillId="0" borderId="0"/>
    <xf numFmtId="0" fontId="4" fillId="9" borderId="0" applyNumberFormat="0" applyAlignment="0">
      <alignment horizontal="right"/>
    </xf>
    <xf numFmtId="0" fontId="4" fillId="8" borderId="0" applyNumberFormat="0" applyAlignment="0"/>
    <xf numFmtId="169" fontId="14" fillId="0" borderId="0"/>
    <xf numFmtId="0" fontId="15" fillId="0" borderId="0">
      <alignment horizontal="center" wrapText="1"/>
    </xf>
    <xf numFmtId="9" fontId="4" fillId="0" borderId="0" applyFont="0" applyFill="0" applyBorder="0" applyAlignment="0" applyProtection="0"/>
    <xf numFmtId="0" fontId="19" fillId="0" borderId="0"/>
    <xf numFmtId="9" fontId="19" fillId="0" borderId="0" applyFont="0" applyFill="0" applyBorder="0" applyAlignment="0" applyProtection="0"/>
    <xf numFmtId="43" fontId="19" fillId="0" borderId="0" applyFont="0" applyFill="0" applyBorder="0" applyAlignment="0" applyProtection="0"/>
    <xf numFmtId="0" fontId="27" fillId="0" borderId="0" applyNumberFormat="0" applyFill="0" applyBorder="0" applyAlignment="0" applyProtection="0"/>
    <xf numFmtId="0" fontId="4" fillId="0" borderId="0">
      <alignment readingOrder="1"/>
    </xf>
    <xf numFmtId="0" fontId="4" fillId="0" borderId="0">
      <alignment readingOrder="1"/>
    </xf>
    <xf numFmtId="0" fontId="4" fillId="0" borderId="0">
      <alignment readingOrder="1"/>
    </xf>
    <xf numFmtId="0" fontId="33" fillId="20" borderId="0" applyNumberFormat="0" applyBorder="0" applyAlignment="0" applyProtection="0"/>
    <xf numFmtId="0" fontId="33" fillId="21" borderId="0" applyNumberFormat="0" applyBorder="0" applyAlignment="0" applyProtection="0"/>
    <xf numFmtId="0" fontId="34" fillId="22" borderId="0" applyNumberFormat="0" applyBorder="0" applyAlignment="0" applyProtection="0"/>
    <xf numFmtId="0" fontId="33" fillId="23" borderId="0" applyNumberFormat="0" applyBorder="0" applyAlignment="0" applyProtection="0"/>
    <xf numFmtId="0" fontId="34" fillId="24" borderId="0" applyNumberFormat="0" applyBorder="0" applyAlignment="0" applyProtection="0"/>
    <xf numFmtId="0" fontId="33" fillId="25" borderId="0" applyNumberFormat="0" applyBorder="0" applyAlignment="0" applyProtection="0"/>
    <xf numFmtId="0" fontId="33" fillId="23" borderId="0" applyNumberFormat="0" applyBorder="0" applyAlignment="0" applyProtection="0"/>
    <xf numFmtId="0" fontId="34" fillId="26" borderId="0" applyNumberFormat="0" applyBorder="0" applyAlignment="0" applyProtection="0"/>
    <xf numFmtId="0" fontId="33" fillId="27" borderId="0" applyNumberFormat="0" applyBorder="0" applyAlignment="0" applyProtection="0"/>
    <xf numFmtId="0" fontId="33" fillId="21" borderId="0" applyNumberFormat="0" applyBorder="0" applyAlignment="0" applyProtection="0"/>
    <xf numFmtId="0" fontId="34" fillId="22" borderId="0" applyNumberFormat="0" applyBorder="0" applyAlignment="0" applyProtection="0"/>
    <xf numFmtId="0" fontId="33" fillId="28" borderId="0" applyNumberFormat="0" applyBorder="0" applyAlignment="0" applyProtection="0"/>
    <xf numFmtId="0" fontId="34" fillId="28" borderId="0" applyNumberFormat="0" applyBorder="0" applyAlignment="0" applyProtection="0"/>
    <xf numFmtId="0" fontId="33" fillId="24" borderId="0" applyNumberFormat="0" applyBorder="0" applyAlignment="0" applyProtection="0"/>
    <xf numFmtId="0" fontId="34" fillId="24"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4" fillId="30" borderId="0" applyNumberFormat="0" applyBorder="0" applyAlignment="0" applyProtection="0"/>
    <xf numFmtId="0" fontId="33" fillId="31" borderId="0" applyNumberFormat="0" applyBorder="0" applyAlignment="0" applyProtection="0"/>
    <xf numFmtId="0" fontId="33" fillId="23" borderId="0" applyNumberFormat="0" applyBorder="0" applyAlignment="0" applyProtection="0"/>
    <xf numFmtId="0" fontId="34" fillId="31" borderId="0" applyNumberFormat="0" applyBorder="0" applyAlignment="0" applyProtection="0"/>
    <xf numFmtId="0" fontId="33" fillId="32" borderId="0" applyNumberFormat="0" applyBorder="0" applyAlignment="0" applyProtection="0"/>
    <xf numFmtId="0" fontId="33" fillId="23" borderId="0" applyNumberFormat="0" applyBorder="0" applyAlignment="0" applyProtection="0"/>
    <xf numFmtId="0" fontId="34" fillId="33" borderId="0" applyNumberFormat="0" applyBorder="0" applyAlignment="0" applyProtection="0"/>
    <xf numFmtId="0" fontId="33" fillId="27" borderId="0" applyNumberFormat="0" applyBorder="0" applyAlignment="0" applyProtection="0"/>
    <xf numFmtId="0" fontId="33" fillId="30" borderId="0" applyNumberFormat="0" applyBorder="0" applyAlignment="0" applyProtection="0"/>
    <xf numFmtId="0" fontId="34" fillId="30" borderId="0" applyNumberFormat="0" applyBorder="0" applyAlignment="0" applyProtection="0"/>
    <xf numFmtId="0" fontId="33" fillId="29" borderId="0" applyNumberFormat="0" applyBorder="0" applyAlignment="0" applyProtection="0"/>
    <xf numFmtId="0" fontId="34" fillId="29" borderId="0" applyNumberFormat="0" applyBorder="0" applyAlignment="0" applyProtection="0"/>
    <xf numFmtId="0" fontId="33" fillId="34" borderId="0" applyNumberFormat="0" applyBorder="0" applyAlignment="0" applyProtection="0"/>
    <xf numFmtId="0" fontId="33" fillId="24" borderId="0" applyNumberFormat="0" applyBorder="0" applyAlignment="0" applyProtection="0"/>
    <xf numFmtId="0" fontId="34" fillId="24"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1" borderId="0" applyNumberFormat="0" applyBorder="0" applyAlignment="0" applyProtection="0"/>
    <xf numFmtId="0" fontId="35" fillId="23" borderId="0" applyNumberFormat="0" applyBorder="0" applyAlignment="0" applyProtection="0"/>
    <xf numFmtId="0" fontId="35" fillId="31" borderId="0" applyNumberFormat="0" applyBorder="0" applyAlignment="0" applyProtection="0"/>
    <xf numFmtId="0" fontId="35" fillId="32" borderId="0" applyNumberFormat="0" applyBorder="0" applyAlignment="0" applyProtection="0"/>
    <xf numFmtId="0" fontId="35" fillId="23"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11" fillId="41" borderId="0" applyNumberFormat="0" applyBorder="0" applyAlignment="0" applyProtection="0"/>
    <xf numFmtId="0" fontId="35" fillId="42"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11" fillId="44" borderId="0" applyNumberFormat="0" applyBorder="0" applyAlignment="0" applyProtection="0"/>
    <xf numFmtId="0" fontId="35" fillId="45" borderId="0" applyNumberFormat="0" applyBorder="0" applyAlignment="0" applyProtection="0"/>
    <xf numFmtId="0" fontId="35" fillId="45"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11" fillId="47" borderId="0" applyNumberFormat="0" applyBorder="0" applyAlignment="0" applyProtection="0"/>
    <xf numFmtId="0" fontId="35" fillId="48" borderId="0" applyNumberFormat="0" applyBorder="0" applyAlignment="0" applyProtection="0"/>
    <xf numFmtId="0" fontId="35" fillId="23" borderId="0" applyNumberFormat="0" applyBorder="0" applyAlignment="0" applyProtection="0"/>
    <xf numFmtId="0" fontId="35" fillId="48"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11" fillId="50" borderId="0" applyNumberFormat="0" applyBorder="0" applyAlignment="0" applyProtection="0"/>
    <xf numFmtId="0" fontId="35" fillId="37"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9" fillId="52" borderId="0" applyNumberFormat="0" applyBorder="0" applyAlignment="0" applyProtection="0"/>
    <xf numFmtId="0" fontId="9" fillId="40" borderId="0" applyNumberFormat="0" applyBorder="0" applyAlignment="0" applyProtection="0"/>
    <xf numFmtId="0" fontId="11" fillId="53"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11" fillId="56"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6" fillId="23" borderId="0" applyNumberFormat="0" applyBorder="0" applyAlignment="0" applyProtection="0"/>
    <xf numFmtId="0" fontId="36" fillId="27" borderId="0" applyNumberFormat="0" applyBorder="0" applyAlignment="0" applyProtection="0"/>
    <xf numFmtId="0" fontId="36" fillId="23" borderId="0" applyNumberFormat="0" applyBorder="0" applyAlignment="0" applyProtection="0"/>
    <xf numFmtId="0" fontId="37" fillId="30" borderId="23" applyNumberFormat="0" applyAlignment="0" applyProtection="0"/>
    <xf numFmtId="0" fontId="37" fillId="21" borderId="23" applyNumberFormat="0" applyAlignment="0" applyProtection="0"/>
    <xf numFmtId="0" fontId="37" fillId="21" borderId="23" applyNumberFormat="0" applyAlignment="0" applyProtection="0"/>
    <xf numFmtId="0" fontId="38" fillId="58" borderId="24" applyNumberFormat="0" applyAlignment="0" applyProtection="0"/>
    <xf numFmtId="0" fontId="38" fillId="58" borderId="24" applyNumberFormat="0" applyAlignment="0" applyProtection="0"/>
    <xf numFmtId="41" fontId="3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0" fillId="59" borderId="0" applyNumberFormat="0" applyBorder="0" applyAlignment="0" applyProtection="0"/>
    <xf numFmtId="0" fontId="40" fillId="60" borderId="0" applyNumberFormat="0" applyBorder="0" applyAlignment="0" applyProtection="0"/>
    <xf numFmtId="0" fontId="40" fillId="61"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3" fillId="0" borderId="25" applyNumberFormat="0" applyFill="0" applyAlignment="0" applyProtection="0"/>
    <xf numFmtId="0" fontId="44" fillId="0" borderId="26" applyNumberFormat="0" applyFill="0" applyAlignment="0" applyProtection="0"/>
    <xf numFmtId="0" fontId="44" fillId="0" borderId="26" applyNumberFormat="0" applyFill="0" applyAlignment="0" applyProtection="0"/>
    <xf numFmtId="0" fontId="6" fillId="62" borderId="27">
      <alignment horizontal="left"/>
    </xf>
    <xf numFmtId="0" fontId="45" fillId="0" borderId="28" applyNumberFormat="0" applyFill="0" applyAlignment="0" applyProtection="0"/>
    <xf numFmtId="0" fontId="46" fillId="0" borderId="29" applyNumberFormat="0" applyFill="0" applyAlignment="0" applyProtection="0"/>
    <xf numFmtId="0" fontId="47" fillId="0" borderId="30" applyNumberFormat="0" applyFill="0" applyAlignment="0" applyProtection="0"/>
    <xf numFmtId="0" fontId="47" fillId="0" borderId="30"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24" borderId="23" applyNumberFormat="0" applyAlignment="0" applyProtection="0"/>
    <xf numFmtId="0" fontId="53" fillId="24" borderId="23" applyNumberFormat="0" applyAlignment="0" applyProtection="0"/>
    <xf numFmtId="0" fontId="54" fillId="0" borderId="31" applyNumberFormat="0" applyFill="0" applyAlignment="0" applyProtection="0"/>
    <xf numFmtId="0" fontId="54" fillId="0" borderId="31" applyNumberFormat="0" applyFill="0" applyAlignment="0" applyProtection="0"/>
    <xf numFmtId="0" fontId="55" fillId="33" borderId="0" applyNumberFormat="0" applyBorder="0" applyAlignment="0" applyProtection="0"/>
    <xf numFmtId="0" fontId="55" fillId="33" borderId="0" applyNumberFormat="0" applyBorder="0" applyAlignment="0" applyProtection="0"/>
    <xf numFmtId="0" fontId="33" fillId="0" borderId="0"/>
    <xf numFmtId="0" fontId="4" fillId="0" borderId="0"/>
    <xf numFmtId="0" fontId="33" fillId="0" borderId="0"/>
    <xf numFmtId="0" fontId="33" fillId="0" borderId="0"/>
    <xf numFmtId="0" fontId="4" fillId="0" borderId="0"/>
    <xf numFmtId="0" fontId="4" fillId="0" borderId="0">
      <alignment readingOrder="1"/>
    </xf>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4" fillId="0" borderId="0">
      <alignment readingOrder="1"/>
    </xf>
    <xf numFmtId="0" fontId="19" fillId="0" borderId="0"/>
    <xf numFmtId="0" fontId="4" fillId="0" borderId="0"/>
    <xf numFmtId="0" fontId="4" fillId="0" borderId="0"/>
    <xf numFmtId="0" fontId="4" fillId="0" borderId="0"/>
    <xf numFmtId="0" fontId="4" fillId="0" borderId="0"/>
    <xf numFmtId="0" fontId="4" fillId="0" borderId="0"/>
    <xf numFmtId="0" fontId="4" fillId="0" borderId="0">
      <alignment readingOrder="1"/>
    </xf>
    <xf numFmtId="0" fontId="4" fillId="0" borderId="0"/>
    <xf numFmtId="0" fontId="33" fillId="0" borderId="0"/>
    <xf numFmtId="0" fontId="33" fillId="0" borderId="0"/>
    <xf numFmtId="0" fontId="19" fillId="0" borderId="0"/>
    <xf numFmtId="0" fontId="19" fillId="0" borderId="0"/>
    <xf numFmtId="0" fontId="19" fillId="0" borderId="0"/>
    <xf numFmtId="0" fontId="19" fillId="0" borderId="0"/>
    <xf numFmtId="0" fontId="4" fillId="0" borderId="0">
      <alignment readingOrder="1"/>
    </xf>
    <xf numFmtId="0" fontId="4" fillId="0" borderId="0">
      <alignment readingOrder="1"/>
    </xf>
    <xf numFmtId="0" fontId="4" fillId="0" borderId="0">
      <alignment readingOrder="1"/>
    </xf>
    <xf numFmtId="0" fontId="19" fillId="0" borderId="0"/>
    <xf numFmtId="0" fontId="19" fillId="0" borderId="0"/>
    <xf numFmtId="0" fontId="4" fillId="0" borderId="0">
      <alignment readingOrder="1"/>
    </xf>
    <xf numFmtId="0" fontId="33" fillId="0" borderId="0"/>
    <xf numFmtId="0" fontId="4" fillId="0" borderId="0">
      <alignment readingOrder="1"/>
    </xf>
    <xf numFmtId="0" fontId="19" fillId="0" borderId="0"/>
    <xf numFmtId="0" fontId="19" fillId="0" borderId="0"/>
    <xf numFmtId="0" fontId="4" fillId="0" borderId="0">
      <alignment readingOrder="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alignment readingOrder="1"/>
    </xf>
    <xf numFmtId="0" fontId="4" fillId="0" borderId="0"/>
    <xf numFmtId="0" fontId="56" fillId="0" borderId="0"/>
    <xf numFmtId="0" fontId="57" fillId="0" borderId="0"/>
    <xf numFmtId="0" fontId="57" fillId="0" borderId="0"/>
    <xf numFmtId="0" fontId="57" fillId="0" borderId="0"/>
    <xf numFmtId="0" fontId="4" fillId="0" borderId="0"/>
    <xf numFmtId="0" fontId="4" fillId="0" borderId="0"/>
    <xf numFmtId="0" fontId="4" fillId="0" borderId="0"/>
    <xf numFmtId="0" fontId="57" fillId="0" borderId="0"/>
    <xf numFmtId="0" fontId="57"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alignment readingOrder="1"/>
    </xf>
    <xf numFmtId="0" fontId="4" fillId="0" borderId="0"/>
    <xf numFmtId="0" fontId="4" fillId="0" borderId="0"/>
    <xf numFmtId="0" fontId="3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19" fillId="0" borderId="0"/>
    <xf numFmtId="0" fontId="33" fillId="0" borderId="0"/>
    <xf numFmtId="0" fontId="19" fillId="0" borderId="0"/>
    <xf numFmtId="0" fontId="4" fillId="0" borderId="0" applyNumberFormat="0" applyFill="0" applyBorder="0" applyAlignment="0" applyProtection="0"/>
    <xf numFmtId="0" fontId="19" fillId="0" borderId="0"/>
    <xf numFmtId="0" fontId="19" fillId="0" borderId="0"/>
    <xf numFmtId="0" fontId="39" fillId="0" borderId="0"/>
    <xf numFmtId="0" fontId="19" fillId="0" borderId="0"/>
    <xf numFmtId="0" fontId="19" fillId="0" borderId="0"/>
    <xf numFmtId="0" fontId="4" fillId="0" borderId="0">
      <alignment readingOrder="1"/>
    </xf>
    <xf numFmtId="0" fontId="19" fillId="0" borderId="0"/>
    <xf numFmtId="0" fontId="19" fillId="0" borderId="0"/>
    <xf numFmtId="0" fontId="19" fillId="0" borderId="0"/>
    <xf numFmtId="0" fontId="19" fillId="0" borderId="0"/>
    <xf numFmtId="0" fontId="19"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4" fillId="0" borderId="0"/>
    <xf numFmtId="0" fontId="19" fillId="0" borderId="0"/>
    <xf numFmtId="0" fontId="19" fillId="0" borderId="0"/>
    <xf numFmtId="0" fontId="4" fillId="0" borderId="0"/>
    <xf numFmtId="0" fontId="33" fillId="0" borderId="0"/>
    <xf numFmtId="0" fontId="33" fillId="0" borderId="0"/>
    <xf numFmtId="0" fontId="19" fillId="0" borderId="0"/>
    <xf numFmtId="0" fontId="58" fillId="0" borderId="0"/>
    <xf numFmtId="0" fontId="33" fillId="0" borderId="0"/>
    <xf numFmtId="0" fontId="33" fillId="0" borderId="0"/>
    <xf numFmtId="0" fontId="33" fillId="0" borderId="0"/>
    <xf numFmtId="0" fontId="33" fillId="0" borderId="0"/>
    <xf numFmtId="0" fontId="4" fillId="0" borderId="0">
      <alignment readingOrder="1"/>
    </xf>
    <xf numFmtId="0" fontId="4" fillId="0" borderId="0">
      <alignment readingOrder="1"/>
    </xf>
    <xf numFmtId="0" fontId="4" fillId="0" borderId="0">
      <alignment readingOrder="1"/>
    </xf>
    <xf numFmtId="0" fontId="33" fillId="26" borderId="32" applyNumberFormat="0" applyFont="0" applyAlignment="0" applyProtection="0"/>
    <xf numFmtId="0" fontId="4" fillId="26" borderId="32" applyNumberFormat="0" applyFont="0" applyAlignment="0" applyProtection="0"/>
    <xf numFmtId="0" fontId="33" fillId="26" borderId="32" applyNumberFormat="0" applyFont="0" applyAlignment="0" applyProtection="0"/>
    <xf numFmtId="0" fontId="59" fillId="30" borderId="33" applyNumberFormat="0" applyAlignment="0" applyProtection="0"/>
    <xf numFmtId="0" fontId="59" fillId="21" borderId="33" applyNumberFormat="0" applyAlignment="0" applyProtection="0"/>
    <xf numFmtId="0" fontId="59" fillId="21" borderId="33" applyNumberFormat="0" applyAlignment="0" applyProtection="0"/>
    <xf numFmtId="9" fontId="3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60" fillId="0" borderId="0" applyNumberFormat="0" applyFill="0" applyBorder="0" applyAlignment="0" applyProtection="0"/>
    <xf numFmtId="0" fontId="61" fillId="0" borderId="0"/>
    <xf numFmtId="0" fontId="62" fillId="0" borderId="0"/>
    <xf numFmtId="174" fontId="4" fillId="0" borderId="0" applyFill="0" applyBorder="0" applyAlignment="0" applyProtection="0">
      <alignment wrapText="1"/>
    </xf>
    <xf numFmtId="0" fontId="60"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0" borderId="34" applyNumberFormat="0" applyFill="0" applyAlignment="0" applyProtection="0"/>
    <xf numFmtId="0" fontId="64" fillId="0" borderId="35" applyNumberFormat="0" applyFill="0" applyAlignment="0" applyProtection="0"/>
    <xf numFmtId="0" fontId="59" fillId="0" borderId="35"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0">
      <alignment vertical="center"/>
    </xf>
    <xf numFmtId="0" fontId="4" fillId="0" borderId="0"/>
    <xf numFmtId="0" fontId="4" fillId="0" borderId="0"/>
    <xf numFmtId="43" fontId="4" fillId="0" borderId="0" applyFont="0" applyFill="0" applyBorder="0" applyAlignment="0" applyProtection="0"/>
  </cellStyleXfs>
  <cellXfs count="253">
    <xf numFmtId="0" fontId="0" fillId="0" borderId="0" xfId="0"/>
    <xf numFmtId="0" fontId="3" fillId="0" borderId="0" xfId="2" applyFont="1"/>
    <xf numFmtId="0" fontId="5" fillId="0" borderId="0" xfId="3" applyFont="1"/>
    <xf numFmtId="0" fontId="4" fillId="0" borderId="0" xfId="2" applyFont="1"/>
    <xf numFmtId="5" fontId="4" fillId="0" borderId="0" xfId="2" applyNumberFormat="1" applyFont="1"/>
    <xf numFmtId="164" fontId="4" fillId="0" borderId="0" xfId="2" applyNumberFormat="1" applyFont="1"/>
    <xf numFmtId="164" fontId="5" fillId="0" borderId="0" xfId="2" applyNumberFormat="1" applyFont="1"/>
    <xf numFmtId="0" fontId="4" fillId="0" borderId="0" xfId="2" applyFont="1" applyFill="1"/>
    <xf numFmtId="165" fontId="4" fillId="0" borderId="0" xfId="2" applyNumberFormat="1" applyFont="1"/>
    <xf numFmtId="0" fontId="0" fillId="0" borderId="0" xfId="0">
      <alignment readingOrder="1"/>
    </xf>
    <xf numFmtId="0" fontId="3"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2" applyFont="1" applyAlignment="1">
      <alignment horizontal="center"/>
    </xf>
    <xf numFmtId="0" fontId="6" fillId="2" borderId="1" xfId="2" applyFont="1" applyFill="1" applyBorder="1" applyAlignment="1">
      <alignment horizontal="centerContinuous"/>
    </xf>
    <xf numFmtId="0" fontId="7" fillId="2" borderId="1" xfId="2" applyFont="1" applyFill="1" applyBorder="1" applyAlignment="1">
      <alignment horizontal="centerContinuous"/>
    </xf>
    <xf numFmtId="0" fontId="7" fillId="2" borderId="2" xfId="2" applyFont="1" applyFill="1" applyBorder="1" applyAlignment="1">
      <alignment horizontal="centerContinuous"/>
    </xf>
    <xf numFmtId="0" fontId="8" fillId="2" borderId="3" xfId="2" applyFont="1" applyFill="1" applyBorder="1" applyAlignment="1">
      <alignment horizontal="centerContinuous"/>
    </xf>
    <xf numFmtId="0" fontId="6" fillId="0" borderId="0"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4" fillId="0" borderId="0" xfId="2" applyFont="1" applyFill="1" applyBorder="1"/>
    <xf numFmtId="0" fontId="9" fillId="5" borderId="5" xfId="2" applyFont="1" applyFill="1" applyBorder="1" applyAlignment="1">
      <alignment horizontal="center" wrapText="1"/>
    </xf>
    <xf numFmtId="0" fontId="9" fillId="5" borderId="5" xfId="0" applyFont="1" applyFill="1" applyBorder="1" applyAlignment="1">
      <alignment horizontal="center" wrapText="1"/>
    </xf>
    <xf numFmtId="0" fontId="9" fillId="0" borderId="0" xfId="2" applyFont="1" applyFill="1" applyBorder="1" applyAlignment="1">
      <alignment horizontal="center" wrapText="1"/>
    </xf>
    <xf numFmtId="0" fontId="4" fillId="6" borderId="0" xfId="4" applyFont="1" applyFill="1" applyBorder="1" applyAlignment="1">
      <alignment wrapText="1"/>
    </xf>
    <xf numFmtId="1" fontId="4" fillId="6" borderId="0" xfId="4" applyNumberFormat="1" applyFont="1" applyFill="1" applyBorder="1" applyAlignment="1">
      <alignment wrapText="1"/>
    </xf>
    <xf numFmtId="168" fontId="4" fillId="6" borderId="0" xfId="1" applyNumberFormat="1" applyFont="1" applyFill="1" applyBorder="1" applyAlignment="1">
      <alignment wrapText="1"/>
    </xf>
    <xf numFmtId="2" fontId="4" fillId="6" borderId="0" xfId="4" applyNumberFormat="1" applyFont="1" applyFill="1" applyBorder="1" applyAlignment="1">
      <alignment wrapText="1"/>
    </xf>
    <xf numFmtId="0" fontId="0" fillId="0" borderId="0" xfId="0" applyFill="1" applyBorder="1">
      <alignment readingOrder="1"/>
    </xf>
    <xf numFmtId="164" fontId="8" fillId="0" borderId="0" xfId="0" applyNumberFormat="1" applyFont="1" applyFill="1" applyBorder="1">
      <alignment readingOrder="1"/>
    </xf>
    <xf numFmtId="2" fontId="0" fillId="0" borderId="0" xfId="0" applyNumberFormat="1" applyFill="1" applyBorder="1">
      <alignment readingOrder="1"/>
    </xf>
    <xf numFmtId="0" fontId="11" fillId="0" borderId="0" xfId="0" applyFont="1" applyFill="1" applyBorder="1" applyAlignment="1">
      <alignment horizontal="center" wrapText="1" readingOrder="1"/>
    </xf>
    <xf numFmtId="0" fontId="11" fillId="7" borderId="6" xfId="0" applyFont="1" applyFill="1" applyBorder="1" applyAlignment="1">
      <alignment horizontal="left" readingOrder="1"/>
    </xf>
    <xf numFmtId="0" fontId="11" fillId="7" borderId="7" xfId="0" applyFont="1" applyFill="1" applyBorder="1" applyAlignment="1">
      <alignment horizontal="center" wrapText="1" readingOrder="1"/>
    </xf>
    <xf numFmtId="164" fontId="0" fillId="0" borderId="0" xfId="0" applyNumberFormat="1">
      <alignment readingOrder="1"/>
    </xf>
    <xf numFmtId="0" fontId="9" fillId="8" borderId="5" xfId="0" applyFont="1" applyFill="1" applyBorder="1" applyAlignment="1">
      <alignment horizontal="center" wrapText="1" readingOrder="1"/>
    </xf>
    <xf numFmtId="0" fontId="9" fillId="8" borderId="7" xfId="0" applyFont="1" applyFill="1" applyBorder="1" applyAlignment="1">
      <alignment horizontal="center" wrapText="1" readingOrder="1"/>
    </xf>
    <xf numFmtId="164" fontId="9" fillId="8" borderId="7" xfId="0" applyNumberFormat="1" applyFont="1" applyFill="1" applyBorder="1" applyAlignment="1">
      <alignment horizontal="center" wrapText="1" readingOrder="1"/>
    </xf>
    <xf numFmtId="164" fontId="8" fillId="0" borderId="0" xfId="0" applyNumberFormat="1" applyFont="1">
      <alignment readingOrder="1"/>
    </xf>
    <xf numFmtId="164" fontId="9" fillId="9" borderId="8" xfId="0" applyNumberFormat="1" applyFont="1" applyFill="1" applyBorder="1" applyAlignment="1">
      <alignment horizontal="centerContinuous" wrapText="1" readingOrder="1"/>
    </xf>
    <xf numFmtId="1" fontId="0" fillId="0" borderId="0" xfId="0" applyNumberFormat="1">
      <alignment readingOrder="1"/>
    </xf>
    <xf numFmtId="0" fontId="9" fillId="9" borderId="5" xfId="0" applyFont="1" applyFill="1" applyBorder="1" applyAlignment="1">
      <alignment horizontal="center" wrapText="1" readingOrder="1"/>
    </xf>
    <xf numFmtId="0" fontId="9" fillId="9" borderId="7" xfId="0" applyFont="1" applyFill="1" applyBorder="1" applyAlignment="1">
      <alignment horizontal="center" wrapText="1" readingOrder="1"/>
    </xf>
    <xf numFmtId="164" fontId="9" fillId="9" borderId="7" xfId="0" applyNumberFormat="1" applyFont="1" applyFill="1" applyBorder="1" applyAlignment="1">
      <alignment horizontal="center" wrapText="1" readingOrder="1"/>
    </xf>
    <xf numFmtId="164" fontId="9" fillId="9" borderId="9" xfId="0" applyNumberFormat="1" applyFont="1" applyFill="1" applyBorder="1" applyAlignment="1">
      <alignment horizontal="centerContinuous" wrapText="1" readingOrder="1"/>
    </xf>
    <xf numFmtId="164" fontId="9" fillId="9" borderId="10" xfId="0" applyNumberFormat="1" applyFont="1" applyFill="1" applyBorder="1" applyAlignment="1">
      <alignment horizontal="centerContinuous" wrapText="1" readingOrder="1"/>
    </xf>
    <xf numFmtId="170" fontId="0" fillId="0" borderId="0" xfId="0" applyNumberFormat="1"/>
    <xf numFmtId="2" fontId="0" fillId="0" borderId="0" xfId="0" applyNumberFormat="1"/>
    <xf numFmtId="0" fontId="10" fillId="0" borderId="0" xfId="0" applyFont="1">
      <alignment readingOrder="1"/>
    </xf>
    <xf numFmtId="49" fontId="0" fillId="0" borderId="0" xfId="0" applyNumberFormat="1">
      <alignment readingOrder="1"/>
    </xf>
    <xf numFmtId="9" fontId="10" fillId="0" borderId="0" xfId="0" applyNumberFormat="1" applyFont="1">
      <alignment readingOrder="1"/>
    </xf>
    <xf numFmtId="0" fontId="0" fillId="5" borderId="0" xfId="0" applyFill="1">
      <alignment readingOrder="1"/>
    </xf>
    <xf numFmtId="1" fontId="10"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71" fontId="0" fillId="0" borderId="0" xfId="0" applyNumberFormat="1">
      <alignment readingOrder="1"/>
    </xf>
    <xf numFmtId="1" fontId="0" fillId="0" borderId="0" xfId="0" applyNumberFormat="1" applyFont="1">
      <alignment readingOrder="1"/>
    </xf>
    <xf numFmtId="0" fontId="0" fillId="13" borderId="0" xfId="0" applyFill="1">
      <alignment readingOrder="1"/>
    </xf>
    <xf numFmtId="0" fontId="0" fillId="0" borderId="0" xfId="0" quotePrefix="1" applyFill="1">
      <alignment readingOrder="1"/>
    </xf>
    <xf numFmtId="0" fontId="18" fillId="6" borderId="5" xfId="0" applyFont="1" applyFill="1" applyBorder="1"/>
    <xf numFmtId="9" fontId="4" fillId="14" borderId="0" xfId="9" applyFill="1" applyAlignment="1">
      <alignment horizontal="center" readingOrder="1"/>
    </xf>
    <xf numFmtId="1" fontId="0" fillId="11" borderId="0" xfId="0" applyNumberFormat="1" applyFill="1" applyAlignment="1">
      <alignment horizontal="center" readingOrder="1"/>
    </xf>
    <xf numFmtId="0" fontId="18" fillId="15" borderId="1" xfId="0" applyFont="1" applyFill="1" applyBorder="1"/>
    <xf numFmtId="0" fontId="18" fillId="15" borderId="4" xfId="0" applyFont="1" applyFill="1" applyBorder="1"/>
    <xf numFmtId="0" fontId="18" fillId="15" borderId="3" xfId="0" applyFont="1" applyFill="1" applyBorder="1"/>
    <xf numFmtId="0" fontId="18" fillId="15" borderId="11" xfId="0" applyFont="1" applyFill="1" applyBorder="1"/>
    <xf numFmtId="0" fontId="18" fillId="15" borderId="12" xfId="0" applyFont="1" applyFill="1" applyBorder="1"/>
    <xf numFmtId="0" fontId="18" fillId="15" borderId="13" xfId="0" applyFont="1" applyFill="1" applyBorder="1"/>
    <xf numFmtId="0" fontId="18" fillId="15" borderId="5" xfId="0" applyFont="1" applyFill="1" applyBorder="1"/>
    <xf numFmtId="0" fontId="18" fillId="14" borderId="5" xfId="0" applyFont="1" applyFill="1" applyBorder="1"/>
    <xf numFmtId="164" fontId="18" fillId="14" borderId="5" xfId="0" applyNumberFormat="1" applyFont="1" applyFill="1" applyBorder="1"/>
    <xf numFmtId="164" fontId="0" fillId="16" borderId="0" xfId="0" applyNumberFormat="1" applyFill="1" applyAlignment="1">
      <alignment horizontal="center" readingOrder="1"/>
    </xf>
    <xf numFmtId="9" fontId="18" fillId="15" borderId="5" xfId="9" applyFont="1" applyFill="1" applyBorder="1"/>
    <xf numFmtId="1" fontId="0" fillId="14" borderId="0" xfId="0" applyNumberFormat="1" applyFill="1" applyAlignment="1">
      <alignment horizontal="center" readingOrder="1"/>
    </xf>
    <xf numFmtId="0" fontId="20" fillId="0" borderId="0" xfId="10" applyFont="1"/>
    <xf numFmtId="0" fontId="21" fillId="0" borderId="0" xfId="10" applyFont="1" applyFill="1" applyBorder="1"/>
    <xf numFmtId="0" fontId="19" fillId="0" borderId="0" xfId="10"/>
    <xf numFmtId="0" fontId="19" fillId="0" borderId="0" xfId="10" applyAlignment="1">
      <alignment horizontal="center"/>
    </xf>
    <xf numFmtId="0" fontId="22" fillId="0" borderId="5" xfId="10" applyFont="1" applyBorder="1" applyAlignment="1">
      <alignment horizontal="center" vertical="center"/>
    </xf>
    <xf numFmtId="0" fontId="18" fillId="0" borderId="5" xfId="10" applyFont="1" applyFill="1" applyBorder="1" applyAlignment="1">
      <alignment horizontal="center" vertical="center"/>
    </xf>
    <xf numFmtId="0" fontId="22" fillId="0" borderId="5" xfId="10" applyFont="1" applyBorder="1" applyAlignment="1">
      <alignment horizontal="center" vertical="center" wrapText="1"/>
    </xf>
    <xf numFmtId="0" fontId="22" fillId="0" borderId="2" xfId="10" applyFont="1" applyBorder="1" applyAlignment="1">
      <alignment horizontal="center" vertical="center" wrapText="1"/>
    </xf>
    <xf numFmtId="0" fontId="22" fillId="0" borderId="5" xfId="10" applyFont="1" applyFill="1" applyBorder="1" applyAlignment="1">
      <alignment horizontal="center" vertical="center" wrapText="1"/>
    </xf>
    <xf numFmtId="0" fontId="21" fillId="0" borderId="5" xfId="10" applyFont="1" applyBorder="1"/>
    <xf numFmtId="0" fontId="21" fillId="0" borderId="5" xfId="10" applyFont="1" applyBorder="1" applyAlignment="1">
      <alignment horizontal="left" vertical="center"/>
    </xf>
    <xf numFmtId="2" fontId="19" fillId="0" borderId="5" xfId="10" applyNumberFormat="1" applyFont="1" applyBorder="1" applyAlignment="1">
      <alignment horizontal="center"/>
    </xf>
    <xf numFmtId="9" fontId="0" fillId="0" borderId="5" xfId="11" applyFont="1" applyFill="1" applyBorder="1" applyAlignment="1">
      <alignment horizontal="center"/>
    </xf>
    <xf numFmtId="1" fontId="19" fillId="0" borderId="5" xfId="10" applyNumberFormat="1" applyFont="1" applyFill="1" applyBorder="1" applyAlignment="1">
      <alignment horizontal="center"/>
    </xf>
    <xf numFmtId="0" fontId="19" fillId="0" borderId="5" xfId="10" applyFont="1" applyFill="1" applyBorder="1" applyAlignment="1">
      <alignment horizontal="center"/>
    </xf>
    <xf numFmtId="2" fontId="0" fillId="0" borderId="5" xfId="12" applyNumberFormat="1" applyFont="1" applyFill="1" applyBorder="1" applyAlignment="1">
      <alignment horizontal="center"/>
    </xf>
    <xf numFmtId="10" fontId="0" fillId="0" borderId="5" xfId="11" applyNumberFormat="1" applyFont="1" applyFill="1" applyBorder="1"/>
    <xf numFmtId="9" fontId="19" fillId="0" borderId="5" xfId="10" applyNumberFormat="1" applyFont="1" applyFill="1" applyBorder="1" applyAlignment="1">
      <alignment horizontal="center"/>
    </xf>
    <xf numFmtId="4" fontId="0" fillId="0" borderId="5" xfId="12" applyNumberFormat="1" applyFont="1" applyBorder="1" applyAlignment="1">
      <alignment horizontal="center"/>
    </xf>
    <xf numFmtId="4" fontId="19" fillId="0" borderId="5" xfId="10" applyNumberFormat="1" applyBorder="1" applyAlignment="1">
      <alignment horizontal="center"/>
    </xf>
    <xf numFmtId="9" fontId="0" fillId="0" borderId="0" xfId="11" applyFont="1" applyAlignment="1">
      <alignment horizontal="center"/>
    </xf>
    <xf numFmtId="4" fontId="19" fillId="0" borderId="0" xfId="10" applyNumberFormat="1" applyAlignment="1">
      <alignment horizontal="center"/>
    </xf>
    <xf numFmtId="164" fontId="19" fillId="0" borderId="5" xfId="10" applyNumberFormat="1" applyFont="1" applyFill="1" applyBorder="1" applyAlignment="1">
      <alignment horizontal="center"/>
    </xf>
    <xf numFmtId="10" fontId="19" fillId="0" borderId="5" xfId="10" applyNumberFormat="1" applyBorder="1"/>
    <xf numFmtId="0" fontId="18" fillId="0" borderId="0" xfId="10" applyFont="1"/>
    <xf numFmtId="0" fontId="22" fillId="0" borderId="0" xfId="10" applyFont="1"/>
    <xf numFmtId="0" fontId="19" fillId="0" borderId="0" xfId="10" applyFont="1"/>
    <xf numFmtId="0" fontId="21" fillId="0" borderId="5" xfId="10" applyFont="1" applyBorder="1" applyAlignment="1">
      <alignment horizontal="center" vertical="center"/>
    </xf>
    <xf numFmtId="9" fontId="19" fillId="0" borderId="5" xfId="10" applyNumberFormat="1" applyFont="1" applyBorder="1" applyAlignment="1">
      <alignment horizontal="center" vertical="center"/>
    </xf>
    <xf numFmtId="0" fontId="19" fillId="0" borderId="5" xfId="10" applyBorder="1"/>
    <xf numFmtId="43" fontId="0" fillId="0" borderId="5" xfId="12" applyFont="1" applyBorder="1" applyAlignment="1">
      <alignment horizontal="center"/>
    </xf>
    <xf numFmtId="0" fontId="21" fillId="0" borderId="5" xfId="10" applyFont="1" applyFill="1" applyBorder="1" applyAlignment="1">
      <alignment horizontal="center" vertical="center"/>
    </xf>
    <xf numFmtId="43" fontId="19" fillId="0" borderId="5" xfId="10" applyNumberFormat="1" applyBorder="1"/>
    <xf numFmtId="172" fontId="0" fillId="0" borderId="5" xfId="12" applyNumberFormat="1" applyFont="1" applyBorder="1"/>
    <xf numFmtId="0" fontId="19" fillId="0" borderId="5" xfId="10" applyFont="1" applyBorder="1" applyAlignment="1">
      <alignment horizontal="center" vertical="center"/>
    </xf>
    <xf numFmtId="10" fontId="0" fillId="0" borderId="5" xfId="11" applyNumberFormat="1" applyFont="1" applyBorder="1" applyAlignment="1">
      <alignment horizontal="center" vertical="center"/>
    </xf>
    <xf numFmtId="10" fontId="19" fillId="0" borderId="0" xfId="10" applyNumberFormat="1"/>
    <xf numFmtId="0" fontId="19" fillId="0" borderId="5" xfId="10" applyFont="1" applyFill="1" applyBorder="1" applyAlignment="1">
      <alignment horizontal="center" vertical="center"/>
    </xf>
    <xf numFmtId="0" fontId="19" fillId="0" borderId="5" xfId="10" applyBorder="1" applyAlignment="1">
      <alignment horizontal="center"/>
    </xf>
    <xf numFmtId="0" fontId="22" fillId="0" borderId="0" xfId="10" applyFont="1" applyFill="1" applyBorder="1" applyAlignment="1">
      <alignment horizontal="left" vertical="center"/>
    </xf>
    <xf numFmtId="0" fontId="23" fillId="0" borderId="0" xfId="10" applyFont="1"/>
    <xf numFmtId="170" fontId="19" fillId="0" borderId="5" xfId="10" applyNumberFormat="1" applyFont="1" applyFill="1" applyBorder="1" applyAlignment="1">
      <alignment horizontal="center"/>
    </xf>
    <xf numFmtId="2" fontId="19" fillId="0" borderId="5" xfId="10" applyNumberFormat="1" applyFont="1" applyFill="1" applyBorder="1" applyAlignment="1">
      <alignment horizontal="center"/>
    </xf>
    <xf numFmtId="10" fontId="0" fillId="0" borderId="5" xfId="11" applyNumberFormat="1" applyFont="1" applyFill="1" applyBorder="1" applyAlignment="1">
      <alignment horizontal="center"/>
    </xf>
    <xf numFmtId="0" fontId="21" fillId="17" borderId="5" xfId="10" applyFont="1" applyFill="1" applyBorder="1" applyAlignment="1">
      <alignment vertical="top" wrapText="1"/>
    </xf>
    <xf numFmtId="0" fontId="24" fillId="17" borderId="5" xfId="10" applyFont="1" applyFill="1" applyBorder="1" applyAlignment="1">
      <alignment horizontal="center" vertical="center" wrapText="1"/>
    </xf>
    <xf numFmtId="0" fontId="25" fillId="18" borderId="5" xfId="10" applyFont="1" applyFill="1" applyBorder="1" applyAlignment="1">
      <alignment vertical="center"/>
    </xf>
    <xf numFmtId="9" fontId="25" fillId="18" borderId="5" xfId="10" applyNumberFormat="1" applyFont="1" applyFill="1" applyBorder="1" applyAlignment="1">
      <alignment horizontal="center" vertical="center" wrapText="1"/>
    </xf>
    <xf numFmtId="9" fontId="21" fillId="18" borderId="5" xfId="10" applyNumberFormat="1" applyFont="1" applyFill="1" applyBorder="1" applyAlignment="1">
      <alignment horizontal="center" vertical="center" wrapText="1"/>
    </xf>
    <xf numFmtId="0" fontId="25" fillId="19" borderId="5" xfId="10" applyFont="1" applyFill="1" applyBorder="1" applyAlignment="1">
      <alignment vertical="center"/>
    </xf>
    <xf numFmtId="9" fontId="25" fillId="19" borderId="5" xfId="10" applyNumberFormat="1" applyFont="1" applyFill="1" applyBorder="1" applyAlignment="1">
      <alignment horizontal="center" vertical="center" wrapText="1"/>
    </xf>
    <xf numFmtId="9" fontId="26" fillId="19" borderId="5" xfId="10" applyNumberFormat="1" applyFont="1" applyFill="1" applyBorder="1" applyAlignment="1">
      <alignment horizontal="center" vertical="center" wrapText="1"/>
    </xf>
    <xf numFmtId="9" fontId="26" fillId="18" borderId="5" xfId="10" applyNumberFormat="1" applyFont="1" applyFill="1" applyBorder="1" applyAlignment="1">
      <alignment horizontal="center" vertical="center" wrapText="1"/>
    </xf>
    <xf numFmtId="0" fontId="27" fillId="0" borderId="0" xfId="13"/>
    <xf numFmtId="0" fontId="21" fillId="0" borderId="0" xfId="10" applyFont="1"/>
    <xf numFmtId="173" fontId="21" fillId="0" borderId="0" xfId="12" applyNumberFormat="1" applyFont="1"/>
    <xf numFmtId="0" fontId="28" fillId="5" borderId="14" xfId="14" applyFont="1" applyFill="1" applyBorder="1" applyAlignment="1">
      <alignment horizontal="center" wrapText="1" readingOrder="1"/>
    </xf>
    <xf numFmtId="0" fontId="29" fillId="0" borderId="0" xfId="14" applyFont="1">
      <alignment readingOrder="1"/>
    </xf>
    <xf numFmtId="0" fontId="28" fillId="5" borderId="15" xfId="14" applyFont="1" applyFill="1" applyBorder="1" applyAlignment="1">
      <alignment readingOrder="1"/>
    </xf>
    <xf numFmtId="0" fontId="28" fillId="5" borderId="16" xfId="14" applyFont="1" applyFill="1" applyBorder="1" applyAlignment="1">
      <alignment readingOrder="1"/>
    </xf>
    <xf numFmtId="0" fontId="28" fillId="5" borderId="17" xfId="14" applyFont="1" applyFill="1" applyBorder="1" applyAlignment="1">
      <alignment readingOrder="1"/>
    </xf>
    <xf numFmtId="9" fontId="29" fillId="8" borderId="14" xfId="14" applyNumberFormat="1" applyFont="1" applyFill="1" applyBorder="1" applyAlignment="1">
      <alignment horizontal="center" readingOrder="1"/>
    </xf>
    <xf numFmtId="0" fontId="29" fillId="0" borderId="0" xfId="0" applyFont="1"/>
    <xf numFmtId="0" fontId="19" fillId="0" borderId="1" xfId="10" applyBorder="1"/>
    <xf numFmtId="0" fontId="19" fillId="0" borderId="4" xfId="10" applyBorder="1"/>
    <xf numFmtId="0" fontId="19" fillId="0" borderId="3" xfId="10" applyBorder="1"/>
    <xf numFmtId="0" fontId="29" fillId="0" borderId="18" xfId="0" applyFont="1" applyBorder="1"/>
    <xf numFmtId="0" fontId="30" fillId="0" borderId="0" xfId="0" applyFont="1" applyBorder="1"/>
    <xf numFmtId="0" fontId="30" fillId="0" borderId="0" xfId="0" applyFont="1" applyBorder="1" applyAlignment="1">
      <alignment horizontal="center"/>
    </xf>
    <xf numFmtId="0" fontId="29" fillId="0" borderId="0" xfId="0" applyFont="1" applyBorder="1"/>
    <xf numFmtId="0" fontId="19" fillId="0" borderId="0" xfId="10" applyBorder="1"/>
    <xf numFmtId="0" fontId="19" fillId="0" borderId="19" xfId="10" applyBorder="1"/>
    <xf numFmtId="0" fontId="30" fillId="0" borderId="18" xfId="0" applyFont="1" applyBorder="1"/>
    <xf numFmtId="0" fontId="30" fillId="0" borderId="0" xfId="0" applyFont="1" applyBorder="1" applyAlignment="1">
      <alignment horizontal="right"/>
    </xf>
    <xf numFmtId="9" fontId="30" fillId="0" borderId="0" xfId="0" applyNumberFormat="1" applyFont="1" applyBorder="1" applyAlignment="1">
      <alignment horizontal="center"/>
    </xf>
    <xf numFmtId="0" fontId="29" fillId="0" borderId="11" xfId="0" applyFont="1" applyBorder="1"/>
    <xf numFmtId="0" fontId="29" fillId="0" borderId="12" xfId="0" applyFont="1" applyBorder="1"/>
    <xf numFmtId="0" fontId="30" fillId="0" borderId="12" xfId="0" applyFont="1" applyBorder="1" applyAlignment="1">
      <alignment horizontal="right"/>
    </xf>
    <xf numFmtId="0" fontId="30" fillId="0" borderId="12" xfId="0" applyFont="1" applyBorder="1"/>
    <xf numFmtId="0" fontId="19" fillId="0" borderId="12" xfId="10" applyBorder="1"/>
    <xf numFmtId="0" fontId="19" fillId="0" borderId="13" xfId="10" applyBorder="1"/>
    <xf numFmtId="0" fontId="19" fillId="0" borderId="18" xfId="10" applyBorder="1"/>
    <xf numFmtId="0" fontId="19" fillId="0" borderId="11" xfId="10" applyBorder="1"/>
    <xf numFmtId="1" fontId="19" fillId="0" borderId="12" xfId="10" applyNumberFormat="1" applyBorder="1"/>
    <xf numFmtId="6" fontId="19" fillId="0" borderId="0" xfId="10" applyNumberFormat="1" applyBorder="1"/>
    <xf numFmtId="164" fontId="0" fillId="11" borderId="0" xfId="0" applyNumberFormat="1" applyFill="1" applyAlignment="1">
      <alignment horizontal="center" readingOrder="1"/>
    </xf>
    <xf numFmtId="9" fontId="0" fillId="0" borderId="0" xfId="9" applyFont="1"/>
    <xf numFmtId="0" fontId="4" fillId="0" borderId="0" xfId="15">
      <alignment readingOrder="1"/>
    </xf>
    <xf numFmtId="0" fontId="32" fillId="12" borderId="20" xfId="0" applyFont="1" applyFill="1" applyBorder="1"/>
    <xf numFmtId="0" fontId="32" fillId="12" borderId="21" xfId="0" applyFont="1" applyFill="1" applyBorder="1"/>
    <xf numFmtId="0" fontId="32" fillId="12" borderId="8" xfId="0" applyFont="1" applyFill="1" applyBorder="1"/>
    <xf numFmtId="0" fontId="19" fillId="0" borderId="0" xfId="0" applyFont="1"/>
    <xf numFmtId="0" fontId="22" fillId="15" borderId="22" xfId="16" applyFont="1" applyFill="1" applyBorder="1" applyAlignment="1">
      <alignment horizontal="left" vertical="center" wrapText="1"/>
    </xf>
    <xf numFmtId="0" fontId="10" fillId="15" borderId="5" xfId="16" applyFont="1" applyFill="1" applyBorder="1" applyAlignment="1">
      <alignment horizontal="left" vertical="center" wrapText="1"/>
    </xf>
    <xf numFmtId="0" fontId="4" fillId="0" borderId="5" xfId="16" applyFont="1" applyFill="1" applyBorder="1" applyAlignment="1">
      <alignment horizontal="left" vertical="center" wrapText="1"/>
    </xf>
    <xf numFmtId="0" fontId="4" fillId="0" borderId="5" xfId="16" applyFont="1" applyBorder="1" applyAlignment="1">
      <alignment horizontal="left" vertical="center" wrapText="1" readingOrder="1"/>
    </xf>
    <xf numFmtId="0" fontId="4" fillId="0" borderId="5" xfId="16" applyNumberFormat="1" applyFont="1" applyBorder="1" applyAlignment="1">
      <alignment horizontal="left" vertical="center" wrapText="1" readingOrder="1"/>
    </xf>
    <xf numFmtId="0" fontId="22" fillId="15" borderId="5" xfId="16" applyFont="1" applyFill="1" applyBorder="1" applyAlignment="1">
      <alignment horizontal="left" vertical="center" wrapText="1"/>
    </xf>
    <xf numFmtId="0" fontId="21" fillId="0" borderId="5" xfId="16" applyFont="1" applyBorder="1" applyAlignment="1">
      <alignment horizontal="left" vertical="center" wrapText="1" readingOrder="1"/>
    </xf>
    <xf numFmtId="0" fontId="21" fillId="0" borderId="5" xfId="16" applyFont="1" applyBorder="1" applyAlignment="1">
      <alignment vertical="center" wrapText="1" readingOrder="1"/>
    </xf>
    <xf numFmtId="0" fontId="0" fillId="0" borderId="5" xfId="16" applyFont="1" applyBorder="1" applyAlignment="1">
      <alignment horizontal="left" vertical="center" wrapText="1" readingOrder="1"/>
    </xf>
    <xf numFmtId="0" fontId="7" fillId="63" borderId="7" xfId="2" applyFont="1" applyFill="1" applyBorder="1" applyAlignment="1">
      <alignment horizontal="center"/>
    </xf>
    <xf numFmtId="0" fontId="9" fillId="11" borderId="7" xfId="2" applyFont="1" applyFill="1" applyBorder="1" applyAlignment="1">
      <alignment horizontal="center" wrapText="1"/>
    </xf>
    <xf numFmtId="0" fontId="9" fillId="11" borderId="5" xfId="2" applyFont="1" applyFill="1" applyBorder="1" applyAlignment="1">
      <alignment horizontal="center" wrapText="1"/>
    </xf>
    <xf numFmtId="0" fontId="19" fillId="10" borderId="5" xfId="10" applyFont="1" applyFill="1" applyBorder="1" applyAlignment="1">
      <alignment horizontal="center"/>
    </xf>
    <xf numFmtId="10" fontId="19" fillId="10" borderId="5" xfId="10" applyNumberFormat="1" applyFill="1" applyBorder="1"/>
    <xf numFmtId="10" fontId="19" fillId="0" borderId="5" xfId="10" applyNumberFormat="1" applyFill="1" applyBorder="1"/>
    <xf numFmtId="3" fontId="67" fillId="5" borderId="15" xfId="14" applyNumberFormat="1" applyFont="1" applyFill="1" applyBorder="1">
      <alignment readingOrder="1"/>
    </xf>
    <xf numFmtId="175" fontId="67" fillId="5" borderId="36" xfId="14" applyNumberFormat="1" applyFont="1" applyFill="1" applyBorder="1">
      <alignment readingOrder="1"/>
    </xf>
    <xf numFmtId="175" fontId="67" fillId="5" borderId="37" xfId="14" applyNumberFormat="1" applyFont="1" applyFill="1" applyBorder="1" applyAlignment="1">
      <alignment horizontal="right" readingOrder="1"/>
    </xf>
    <xf numFmtId="175" fontId="67" fillId="8" borderId="38" xfId="14" applyNumberFormat="1" applyFont="1" applyFill="1" applyBorder="1">
      <alignment readingOrder="1"/>
    </xf>
    <xf numFmtId="9" fontId="0" fillId="0" borderId="0" xfId="0" applyNumberFormat="1"/>
    <xf numFmtId="0" fontId="19" fillId="0" borderId="5" xfId="16" applyFont="1" applyFill="1" applyBorder="1" applyAlignment="1">
      <alignment horizontal="left" vertical="center" wrapText="1"/>
    </xf>
    <xf numFmtId="9" fontId="0" fillId="0" borderId="39" xfId="0" applyNumberFormat="1" applyBorder="1"/>
    <xf numFmtId="2" fontId="0" fillId="11" borderId="0" xfId="0" applyNumberFormat="1" applyFill="1" applyAlignment="1">
      <alignment horizontal="center" readingOrder="1"/>
    </xf>
    <xf numFmtId="43" fontId="0" fillId="11" borderId="0" xfId="366" applyFont="1" applyFill="1" applyAlignment="1">
      <alignment horizontal="center" readingOrder="1"/>
    </xf>
    <xf numFmtId="0" fontId="0" fillId="15" borderId="0" xfId="0" applyFill="1">
      <alignment readingOrder="1"/>
    </xf>
    <xf numFmtId="0" fontId="0" fillId="15" borderId="0" xfId="0" applyFill="1" applyAlignment="1">
      <alignment vertical="center" wrapText="1" readingOrder="1"/>
    </xf>
    <xf numFmtId="0" fontId="0" fillId="0" borderId="1" xfId="0" applyBorder="1"/>
    <xf numFmtId="9" fontId="0" fillId="0" borderId="3" xfId="9" applyFont="1" applyBorder="1"/>
    <xf numFmtId="0" fontId="0" fillId="0" borderId="18" xfId="0" applyBorder="1"/>
    <xf numFmtId="9" fontId="0" fillId="0" borderId="19" xfId="9" applyFont="1" applyBorder="1"/>
    <xf numFmtId="0" fontId="0" fillId="0" borderId="11" xfId="0" applyBorder="1"/>
    <xf numFmtId="9" fontId="0" fillId="0" borderId="13" xfId="9" applyFont="1" applyBorder="1"/>
    <xf numFmtId="0" fontId="10" fillId="0" borderId="0" xfId="0" applyFont="1"/>
    <xf numFmtId="9" fontId="0" fillId="10" borderId="5" xfId="11" applyFont="1" applyFill="1" applyBorder="1" applyAlignment="1">
      <alignment horizontal="center"/>
    </xf>
    <xf numFmtId="0" fontId="11" fillId="65" borderId="6" xfId="0" applyFont="1" applyFill="1" applyBorder="1" applyAlignment="1">
      <alignment horizontal="left" wrapText="1" readingOrder="1"/>
    </xf>
    <xf numFmtId="0" fontId="11" fillId="65" borderId="7" xfId="0" applyFont="1" applyFill="1" applyBorder="1" applyAlignment="1">
      <alignment horizontal="center" wrapText="1" readingOrder="1"/>
    </xf>
    <xf numFmtId="0" fontId="11" fillId="7" borderId="27" xfId="0" applyFont="1" applyFill="1" applyBorder="1" applyAlignment="1">
      <alignment horizontal="center" wrapText="1" readingOrder="1"/>
    </xf>
    <xf numFmtId="0" fontId="0" fillId="0" borderId="40" xfId="0" applyBorder="1">
      <alignment readingOrder="1"/>
    </xf>
    <xf numFmtId="0" fontId="0" fillId="0" borderId="41" xfId="0" applyBorder="1">
      <alignment readingOrder="1"/>
    </xf>
    <xf numFmtId="0" fontId="0" fillId="0" borderId="42" xfId="0" applyBorder="1">
      <alignment readingOrder="1"/>
    </xf>
    <xf numFmtId="0" fontId="0" fillId="0" borderId="43" xfId="0" applyBorder="1">
      <alignment readingOrder="1"/>
    </xf>
    <xf numFmtId="0" fontId="0" fillId="0" borderId="0" xfId="0" applyBorder="1">
      <alignment readingOrder="1"/>
    </xf>
    <xf numFmtId="0" fontId="0" fillId="0" borderId="44" xfId="0" applyBorder="1">
      <alignment readingOrder="1"/>
    </xf>
    <xf numFmtId="0" fontId="0" fillId="0" borderId="45" xfId="0" applyBorder="1">
      <alignment readingOrder="1"/>
    </xf>
    <xf numFmtId="0" fontId="0" fillId="0" borderId="46" xfId="0" applyBorder="1">
      <alignment readingOrder="1"/>
    </xf>
    <xf numFmtId="0" fontId="0" fillId="0" borderId="47" xfId="0" applyBorder="1">
      <alignment readingOrder="1"/>
    </xf>
    <xf numFmtId="0" fontId="9" fillId="66" borderId="20" xfId="0" applyFont="1" applyFill="1" applyBorder="1" applyAlignment="1">
      <alignment horizontal="centerContinuous" wrapText="1" readingOrder="1"/>
    </xf>
    <xf numFmtId="0" fontId="9" fillId="66" borderId="8" xfId="0" applyFont="1" applyFill="1" applyBorder="1" applyAlignment="1">
      <alignment horizontal="centerContinuous" wrapText="1" readingOrder="1"/>
    </xf>
    <xf numFmtId="164" fontId="9" fillId="66" borderId="20" xfId="0" applyNumberFormat="1" applyFont="1" applyFill="1" applyBorder="1" applyAlignment="1">
      <alignment horizontal="centerContinuous" wrapText="1" readingOrder="1"/>
    </xf>
    <xf numFmtId="164" fontId="9" fillId="66" borderId="21" xfId="0" applyNumberFormat="1" applyFont="1" applyFill="1" applyBorder="1" applyAlignment="1">
      <alignment horizontal="centerContinuous" wrapText="1" readingOrder="1"/>
    </xf>
    <xf numFmtId="164" fontId="9" fillId="66" borderId="8" xfId="0" applyNumberFormat="1" applyFont="1" applyFill="1" applyBorder="1" applyAlignment="1">
      <alignment horizontal="centerContinuous" wrapText="1" readingOrder="1"/>
    </xf>
    <xf numFmtId="164" fontId="9" fillId="66" borderId="27" xfId="0" applyNumberFormat="1" applyFont="1" applyFill="1" applyBorder="1" applyAlignment="1">
      <alignment horizontal="center" wrapText="1" readingOrder="1"/>
    </xf>
    <xf numFmtId="176" fontId="9" fillId="8" borderId="7" xfId="0" applyNumberFormat="1" applyFont="1" applyFill="1" applyBorder="1" applyAlignment="1">
      <alignment horizontal="center" wrapText="1" readingOrder="1"/>
    </xf>
    <xf numFmtId="0" fontId="9" fillId="9" borderId="20" xfId="0" applyFont="1" applyFill="1" applyBorder="1" applyAlignment="1">
      <alignment horizontal="centerContinuous" wrapText="1" readingOrder="1"/>
    </xf>
    <xf numFmtId="0" fontId="9" fillId="9" borderId="21" xfId="0" applyFont="1" applyFill="1" applyBorder="1" applyAlignment="1">
      <alignment horizontal="centerContinuous" wrapText="1" readingOrder="1"/>
    </xf>
    <xf numFmtId="164" fontId="9" fillId="9" borderId="21" xfId="0" applyNumberFormat="1" applyFont="1" applyFill="1" applyBorder="1" applyAlignment="1">
      <alignment horizontal="centerContinuous" wrapText="1" readingOrder="1"/>
    </xf>
    <xf numFmtId="164" fontId="9" fillId="9" borderId="27" xfId="0" applyNumberFormat="1" applyFont="1" applyFill="1" applyBorder="1" applyAlignment="1">
      <alignment horizontal="center" wrapText="1" readingOrder="1"/>
    </xf>
    <xf numFmtId="164" fontId="9" fillId="9" borderId="20" xfId="0" applyNumberFormat="1" applyFont="1" applyFill="1" applyBorder="1" applyAlignment="1">
      <alignment horizontal="centerContinuous" wrapText="1" readingOrder="1"/>
    </xf>
    <xf numFmtId="164" fontId="10" fillId="0" borderId="0" xfId="0" applyNumberFormat="1" applyFont="1">
      <alignment readingOrder="1"/>
    </xf>
    <xf numFmtId="177" fontId="10" fillId="0" borderId="0" xfId="0" applyNumberFormat="1" applyFont="1">
      <alignment readingOrder="1"/>
    </xf>
    <xf numFmtId="164" fontId="68" fillId="0" borderId="0" xfId="0" applyNumberFormat="1" applyFont="1">
      <alignment readingOrder="1"/>
    </xf>
    <xf numFmtId="177" fontId="0" fillId="0" borderId="0" xfId="0" applyNumberFormat="1">
      <alignment readingOrder="1"/>
    </xf>
    <xf numFmtId="177" fontId="68" fillId="0" borderId="0" xfId="0" applyNumberFormat="1" applyFont="1">
      <alignment readingOrder="1"/>
    </xf>
    <xf numFmtId="0" fontId="69" fillId="67" borderId="0" xfId="0" applyFont="1" applyFill="1"/>
    <xf numFmtId="0" fontId="29" fillId="67" borderId="0" xfId="0" applyFont="1" applyFill="1"/>
    <xf numFmtId="0" fontId="69" fillId="67" borderId="48" xfId="0" applyFont="1" applyFill="1" applyBorder="1"/>
    <xf numFmtId="0" fontId="69" fillId="67" borderId="48" xfId="0" applyFont="1" applyFill="1" applyBorder="1" applyAlignment="1">
      <alignment horizontal="right"/>
    </xf>
    <xf numFmtId="0" fontId="69" fillId="0" borderId="48" xfId="0" applyFont="1" applyBorder="1"/>
    <xf numFmtId="0" fontId="29" fillId="0" borderId="48" xfId="0" applyFont="1" applyBorder="1"/>
    <xf numFmtId="0" fontId="30" fillId="0" borderId="0" xfId="0" applyFont="1"/>
    <xf numFmtId="0" fontId="69" fillId="67" borderId="49" xfId="0" applyFont="1" applyFill="1" applyBorder="1"/>
    <xf numFmtId="0" fontId="0" fillId="12" borderId="0" xfId="0" applyFill="1" applyAlignment="1">
      <alignment horizontal="left" vertical="center" readingOrder="1"/>
    </xf>
    <xf numFmtId="0" fontId="9" fillId="3" borderId="1" xfId="2" applyFont="1" applyFill="1" applyBorder="1" applyAlignment="1">
      <alignment horizontal="center"/>
    </xf>
    <xf numFmtId="0" fontId="9" fillId="3" borderId="4" xfId="2" applyFont="1" applyFill="1" applyBorder="1" applyAlignment="1">
      <alignment horizontal="center"/>
    </xf>
    <xf numFmtId="0" fontId="9" fillId="3" borderId="3" xfId="2" applyFont="1" applyFill="1" applyBorder="1" applyAlignment="1">
      <alignment horizontal="center"/>
    </xf>
    <xf numFmtId="0" fontId="6" fillId="4" borderId="2" xfId="0" applyFont="1" applyFill="1" applyBorder="1" applyAlignment="1">
      <alignment horizontal="center"/>
    </xf>
    <xf numFmtId="0" fontId="10" fillId="0" borderId="2" xfId="0" applyFont="1" applyBorder="1" applyAlignment="1">
      <alignment horizontal="center"/>
    </xf>
    <xf numFmtId="0" fontId="10" fillId="64" borderId="5" xfId="2" applyFont="1" applyFill="1" applyBorder="1" applyAlignment="1">
      <alignment horizontal="center"/>
    </xf>
    <xf numFmtId="0" fontId="4" fillId="0" borderId="6" xfId="0" applyFont="1" applyFill="1" applyBorder="1" applyAlignment="1">
      <alignment horizontal="left" vertical="top" wrapText="1" readingOrder="1"/>
    </xf>
    <xf numFmtId="0" fontId="4" fillId="0" borderId="7" xfId="0" applyFont="1" applyFill="1" applyBorder="1" applyAlignment="1">
      <alignment horizontal="left" vertical="top" wrapText="1" readingOrder="1"/>
    </xf>
    <xf numFmtId="0" fontId="28" fillId="5" borderId="14" xfId="14" applyFont="1" applyFill="1" applyBorder="1" applyAlignment="1">
      <alignment horizontal="center" readingOrder="1"/>
    </xf>
    <xf numFmtId="0" fontId="29" fillId="0" borderId="0" xfId="14" applyFont="1" applyAlignment="1">
      <alignment horizontal="left" wrapText="1" readingOrder="1"/>
    </xf>
    <xf numFmtId="164" fontId="0" fillId="13" borderId="0" xfId="0" applyNumberFormat="1" applyFill="1">
      <alignment readingOrder="1"/>
    </xf>
  </cellXfs>
  <cellStyles count="367">
    <cellStyle name="20% - Accent1 2" xfId="17"/>
    <cellStyle name="20% - Accent1 2 2" xfId="18"/>
    <cellStyle name="20% - Accent1 3" xfId="19"/>
    <cellStyle name="20% - Accent2 2" xfId="20"/>
    <cellStyle name="20% - Accent2 3" xfId="21"/>
    <cellStyle name="20% - Accent3 2" xfId="22"/>
    <cellStyle name="20% - Accent3 2 2" xfId="23"/>
    <cellStyle name="20% - Accent3 3" xfId="24"/>
    <cellStyle name="20% - Accent4 2" xfId="25"/>
    <cellStyle name="20% - Accent4 2 2" xfId="26"/>
    <cellStyle name="20% - Accent4 3" xfId="27"/>
    <cellStyle name="20% - Accent5 2" xfId="28"/>
    <cellStyle name="20% - Accent5 3" xfId="29"/>
    <cellStyle name="20% - Accent6 2" xfId="30"/>
    <cellStyle name="20% - Accent6 3" xfId="31"/>
    <cellStyle name="40% - Accent1 2" xfId="32"/>
    <cellStyle name="40% - Accent1 2 2" xfId="33"/>
    <cellStyle name="40% - Accent1 3" xfId="34"/>
    <cellStyle name="40% - Accent2 2" xfId="35"/>
    <cellStyle name="40% - Accent2 2 2" xfId="36"/>
    <cellStyle name="40% - Accent2 3" xfId="37"/>
    <cellStyle name="40% - Accent3 2" xfId="38"/>
    <cellStyle name="40% - Accent3 2 2" xfId="39"/>
    <cellStyle name="40% - Accent3 3" xfId="40"/>
    <cellStyle name="40% - Accent4 2" xfId="41"/>
    <cellStyle name="40% - Accent4 2 2" xfId="42"/>
    <cellStyle name="40% - Accent4 3" xfId="43"/>
    <cellStyle name="40% - Accent5 2" xfId="44"/>
    <cellStyle name="40% - Accent5 3" xfId="45"/>
    <cellStyle name="40% - Accent6 2" xfId="46"/>
    <cellStyle name="40% - Accent6 2 2" xfId="47"/>
    <cellStyle name="40% - Accent6 3" xfId="48"/>
    <cellStyle name="60% - Accent1 2" xfId="49"/>
    <cellStyle name="60% - Accent1 2 2" xfId="50"/>
    <cellStyle name="60% - Accent1 3" xfId="51"/>
    <cellStyle name="60% - Accent2 2" xfId="52"/>
    <cellStyle name="60% - Accent2 2 2" xfId="53"/>
    <cellStyle name="60% - Accent2 3" xfId="54"/>
    <cellStyle name="60% - Accent3 2" xfId="55"/>
    <cellStyle name="60% - Accent3 2 2" xfId="56"/>
    <cellStyle name="60% - Accent3 3" xfId="57"/>
    <cellStyle name="60% - Accent4 2" xfId="58"/>
    <cellStyle name="60% - Accent4 2 2" xfId="59"/>
    <cellStyle name="60% - Accent4 3" xfId="60"/>
    <cellStyle name="60% - Accent5 2" xfId="61"/>
    <cellStyle name="60% - Accent5 3" xfId="62"/>
    <cellStyle name="60% - Accent6 2" xfId="63"/>
    <cellStyle name="60% - Accent6 2 2" xfId="64"/>
    <cellStyle name="60% - Accent6 3" xfId="65"/>
    <cellStyle name="Accent1 - 20%" xfId="66"/>
    <cellStyle name="Accent1 - 40%" xfId="67"/>
    <cellStyle name="Accent1 - 60%" xfId="68"/>
    <cellStyle name="Accent1 2" xfId="69"/>
    <cellStyle name="Accent1 2 2" xfId="70"/>
    <cellStyle name="Accent1 3" xfId="71"/>
    <cellStyle name="Accent2 - 20%" xfId="72"/>
    <cellStyle name="Accent2 - 40%" xfId="73"/>
    <cellStyle name="Accent2 - 60%" xfId="74"/>
    <cellStyle name="Accent2 2" xfId="75"/>
    <cellStyle name="Accent2 3" xfId="76"/>
    <cellStyle name="Accent3 - 20%" xfId="77"/>
    <cellStyle name="Accent3 - 40%" xfId="78"/>
    <cellStyle name="Accent3 - 60%" xfId="79"/>
    <cellStyle name="Accent3 2" xfId="80"/>
    <cellStyle name="Accent3 2 2" xfId="81"/>
    <cellStyle name="Accent3 3" xfId="82"/>
    <cellStyle name="Accent4 - 20%" xfId="83"/>
    <cellStyle name="Accent4 - 40%" xfId="84"/>
    <cellStyle name="Accent4 - 60%" xfId="85"/>
    <cellStyle name="Accent4 2" xfId="86"/>
    <cellStyle name="Accent4 2 2" xfId="87"/>
    <cellStyle name="Accent4 3" xfId="88"/>
    <cellStyle name="Accent5 - 20%" xfId="89"/>
    <cellStyle name="Accent5 - 40%" xfId="90"/>
    <cellStyle name="Accent5 - 60%" xfId="91"/>
    <cellStyle name="Accent5 2" xfId="92"/>
    <cellStyle name="Accent5 3" xfId="93"/>
    <cellStyle name="Accent6 - 20%" xfId="94"/>
    <cellStyle name="Accent6 - 40%" xfId="95"/>
    <cellStyle name="Accent6 - 60%" xfId="96"/>
    <cellStyle name="Accent6 2" xfId="97"/>
    <cellStyle name="Accent6 3" xfId="98"/>
    <cellStyle name="Bad 2" xfId="99"/>
    <cellStyle name="Bad 2 2" xfId="100"/>
    <cellStyle name="Bad 3" xfId="101"/>
    <cellStyle name="Calculation 2" xfId="102"/>
    <cellStyle name="Calculation 2 2" xfId="103"/>
    <cellStyle name="Calculation 3" xfId="104"/>
    <cellStyle name="Check Cell 2" xfId="105"/>
    <cellStyle name="Check Cell 3" xfId="106"/>
    <cellStyle name="Comma" xfId="366" builtinId="3"/>
    <cellStyle name="Comma [0] 2" xfId="107"/>
    <cellStyle name="Comma 2" xfId="108"/>
    <cellStyle name="Comma 2 2" xfId="109"/>
    <cellStyle name="Comma 2 2 2" xfId="110"/>
    <cellStyle name="Comma 2 2 3" xfId="111"/>
    <cellStyle name="Comma 2 3" xfId="112"/>
    <cellStyle name="Comma 2 4" xfId="113"/>
    <cellStyle name="Comma 2 5" xfId="114"/>
    <cellStyle name="Comma 3" xfId="12"/>
    <cellStyle name="Comma 3 2" xfId="115"/>
    <cellStyle name="Comma 3 2 2" xfId="116"/>
    <cellStyle name="Comma 3 2 3" xfId="117"/>
    <cellStyle name="Comma 3 3" xfId="118"/>
    <cellStyle name="Comma 3 3 2" xfId="119"/>
    <cellStyle name="Comma 3 3 3" xfId="120"/>
    <cellStyle name="Comma 3 3 4" xfId="121"/>
    <cellStyle name="Comma 3 4" xfId="122"/>
    <cellStyle name="Comma 4" xfId="123"/>
    <cellStyle name="Comma 4 2" xfId="124"/>
    <cellStyle name="Comma 4 2 2" xfId="125"/>
    <cellStyle name="Comma 4 3" xfId="126"/>
    <cellStyle name="Comma 5" xfId="127"/>
    <cellStyle name="Comma 5 2" xfId="128"/>
    <cellStyle name="Comma 5 3" xfId="129"/>
    <cellStyle name="Comma 6" xfId="130"/>
    <cellStyle name="Comma 7" xfId="131"/>
    <cellStyle name="Comma 8" xfId="132"/>
    <cellStyle name="Currency" xfId="1" builtinId="4"/>
    <cellStyle name="Currency 2" xfId="133"/>
    <cellStyle name="Currency 2 2" xfId="134"/>
    <cellStyle name="Currency 2 2 2" xfId="135"/>
    <cellStyle name="Currency 2 2 3" xfId="136"/>
    <cellStyle name="Currency 2 3" xfId="137"/>
    <cellStyle name="Currency 2 4" xfId="138"/>
    <cellStyle name="Currency 2 5" xfId="139"/>
    <cellStyle name="Currency 3" xfId="140"/>
    <cellStyle name="Currency 3 2" xfId="141"/>
    <cellStyle name="Currency 3 2 2" xfId="142"/>
    <cellStyle name="Currency 3 2 3" xfId="143"/>
    <cellStyle name="Currency 3 3" xfId="144"/>
    <cellStyle name="Currency 3 4" xfId="145"/>
    <cellStyle name="Currency 4" xfId="146"/>
    <cellStyle name="Currency 5" xfId="147"/>
    <cellStyle name="Currency 5 2" xfId="148"/>
    <cellStyle name="Currency 5 2 2" xfId="149"/>
    <cellStyle name="Currency 5 3" xfId="150"/>
    <cellStyle name="Currency 6" xfId="151"/>
    <cellStyle name="Currency 6 2" xfId="152"/>
    <cellStyle name="Currency 7" xfId="153"/>
    <cellStyle name="Currency 7 2" xfId="154"/>
    <cellStyle name="Currency 8" xfId="155"/>
    <cellStyle name="Data Field" xfId="5"/>
    <cellStyle name="Data Field 2" xfId="156"/>
    <cellStyle name="Data Field 2 2" xfId="157"/>
    <cellStyle name="Data Field 2 3" xfId="158"/>
    <cellStyle name="Data Field 3" xfId="159"/>
    <cellStyle name="Data Field 4" xfId="160"/>
    <cellStyle name="Data Name" xfId="6"/>
    <cellStyle name="Date/Time" xfId="7"/>
    <cellStyle name="Emphasis 1" xfId="161"/>
    <cellStyle name="Emphasis 2" xfId="162"/>
    <cellStyle name="Emphasis 3" xfId="163"/>
    <cellStyle name="Explanatory Text 2" xfId="164"/>
    <cellStyle name="Explanatory Text 3" xfId="165"/>
    <cellStyle name="Good 2" xfId="166"/>
    <cellStyle name="Good 3" xfId="167"/>
    <cellStyle name="Heading" xfId="8"/>
    <cellStyle name="Heading 1 2" xfId="168"/>
    <cellStyle name="Heading 1 2 2" xfId="169"/>
    <cellStyle name="Heading 1 3" xfId="170"/>
    <cellStyle name="Heading 2 2" xfId="171"/>
    <cellStyle name="Heading 2 3" xfId="172"/>
    <cellStyle name="Heading 3 2" xfId="173"/>
    <cellStyle name="Heading 3 2 2" xfId="174"/>
    <cellStyle name="Heading 3 3" xfId="175"/>
    <cellStyle name="Heading 4 2" xfId="176"/>
    <cellStyle name="Heading 4 2 2" xfId="177"/>
    <cellStyle name="Heading 4 3" xfId="178"/>
    <cellStyle name="Hyperlink" xfId="13" builtinId="8"/>
    <cellStyle name="Hyperlink 2" xfId="179"/>
    <cellStyle name="Hyperlink 2 2" xfId="180"/>
    <cellStyle name="Hyperlink 2 2 2" xfId="181"/>
    <cellStyle name="Hyperlink 2_ResWXMF_FY10v2_0" xfId="182"/>
    <cellStyle name="Hyperlink 3" xfId="183"/>
    <cellStyle name="Hyperlink 3 2" xfId="184"/>
    <cellStyle name="Hyperlink 3 2 2" xfId="185"/>
    <cellStyle name="Hyperlink 4" xfId="186"/>
    <cellStyle name="Hyperlink 5" xfId="187"/>
    <cellStyle name="Hyperlink 6" xfId="188"/>
    <cellStyle name="Hyperlink 7" xfId="189"/>
    <cellStyle name="Hyperlink 8" xfId="190"/>
    <cellStyle name="Input 2" xfId="191"/>
    <cellStyle name="Input 3" xfId="192"/>
    <cellStyle name="Linked Cell 2" xfId="193"/>
    <cellStyle name="Linked Cell 3" xfId="194"/>
    <cellStyle name="Neutral 2" xfId="195"/>
    <cellStyle name="Neutral 3" xfId="196"/>
    <cellStyle name="Normal" xfId="0" builtinId="0"/>
    <cellStyle name="Normal 10" xfId="197"/>
    <cellStyle name="Normal 10 2" xfId="198"/>
    <cellStyle name="Normal 11" xfId="199"/>
    <cellStyle name="Normal 12" xfId="200"/>
    <cellStyle name="Normal 13" xfId="15"/>
    <cellStyle name="Normal 13 2" xfId="201"/>
    <cellStyle name="Normal 13 3" xfId="202"/>
    <cellStyle name="Normal 14" xfId="203"/>
    <cellStyle name="Normal 14 2" xfId="204"/>
    <cellStyle name="Normal 14 2 2" xfId="205"/>
    <cellStyle name="Normal 14 3" xfId="206"/>
    <cellStyle name="Normal 14 3 2" xfId="207"/>
    <cellStyle name="Normal 14 4" xfId="208"/>
    <cellStyle name="Normal 15" xfId="209"/>
    <cellStyle name="Normal 15 2" xfId="210"/>
    <cellStyle name="Normal 15 2 2" xfId="211"/>
    <cellStyle name="Normal 15 3" xfId="212"/>
    <cellStyle name="Normal 15 4" xfId="213"/>
    <cellStyle name="Normal 16" xfId="214"/>
    <cellStyle name="Normal 16 2" xfId="215"/>
    <cellStyle name="Normal 16 3" xfId="216"/>
    <cellStyle name="Normal 17" xfId="217"/>
    <cellStyle name="Normal 17 2" xfId="218"/>
    <cellStyle name="Normal 18" xfId="219"/>
    <cellStyle name="Normal 19" xfId="220"/>
    <cellStyle name="Normal 2" xfId="10"/>
    <cellStyle name="Normal 2 2" xfId="14"/>
    <cellStyle name="Normal 2 2 2" xfId="221"/>
    <cellStyle name="Normal 2 2 2 2" xfId="222"/>
    <cellStyle name="Normal 2 2 2 3" xfId="223"/>
    <cellStyle name="Normal 2 2 3" xfId="224"/>
    <cellStyle name="Normal 2 2 3 2" xfId="225"/>
    <cellStyle name="Normal 2 2 3 3" xfId="226"/>
    <cellStyle name="Normal 2 2 4" xfId="227"/>
    <cellStyle name="Normal 2 3" xfId="228"/>
    <cellStyle name="Normal 2 3 2" xfId="229"/>
    <cellStyle name="Normal 2 3 2 2" xfId="230"/>
    <cellStyle name="Normal 2 3 2 2 2" xfId="231"/>
    <cellStyle name="Normal 2 3 3" xfId="232"/>
    <cellStyle name="Normal 2 3 3 2" xfId="233"/>
    <cellStyle name="Normal 2 4" xfId="234"/>
    <cellStyle name="Normal 2 4 2" xfId="235"/>
    <cellStyle name="Normal 2 4 2 2" xfId="236"/>
    <cellStyle name="Normal 2 4 2 3" xfId="237"/>
    <cellStyle name="Normal 2 4 2 4" xfId="238"/>
    <cellStyle name="Normal 2 4 3" xfId="239"/>
    <cellStyle name="Normal 2 5" xfId="240"/>
    <cellStyle name="Normal 2 6" xfId="241"/>
    <cellStyle name="Normal 2 6 2" xfId="242"/>
    <cellStyle name="Normal 2 6 2 2" xfId="243"/>
    <cellStyle name="Normal 2 6 2 3" xfId="244"/>
    <cellStyle name="Normal 2 6 3" xfId="245"/>
    <cellStyle name="Normal 2 6 3 2" xfId="246"/>
    <cellStyle name="Normal 2 6 4" xfId="247"/>
    <cellStyle name="Normal 2 6 4 2" xfId="248"/>
    <cellStyle name="Normal 2 6 5" xfId="249"/>
    <cellStyle name="Normal 2 6 6" xfId="250"/>
    <cellStyle name="Normal 2 7" xfId="251"/>
    <cellStyle name="Normal 2 7 2" xfId="252"/>
    <cellStyle name="Normal 2 7 2 2" xfId="253"/>
    <cellStyle name="Normal 2 7 3" xfId="254"/>
    <cellStyle name="Normal 2 8" xfId="255"/>
    <cellStyle name="Normal 2 9" xfId="256"/>
    <cellStyle name="Normal 20" xfId="257"/>
    <cellStyle name="Normal 21" xfId="258"/>
    <cellStyle name="Normal 22" xfId="259"/>
    <cellStyle name="Normal 23" xfId="260"/>
    <cellStyle name="Normal 24" xfId="261"/>
    <cellStyle name="Normal 25" xfId="262"/>
    <cellStyle name="Normal 26" xfId="263"/>
    <cellStyle name="Normal 27" xfId="264"/>
    <cellStyle name="Normal 28" xfId="265"/>
    <cellStyle name="Normal 29" xfId="266"/>
    <cellStyle name="Normal 3" xfId="267"/>
    <cellStyle name="Normal 3 2" xfId="268"/>
    <cellStyle name="Normal 3 2 2" xfId="269"/>
    <cellStyle name="Normal 3 2 3" xfId="270"/>
    <cellStyle name="Normal 3 3" xfId="271"/>
    <cellStyle name="Normal 3 3 2" xfId="272"/>
    <cellStyle name="Normal 3 3 2 2" xfId="273"/>
    <cellStyle name="Normal 3 4" xfId="274"/>
    <cellStyle name="Normal 3 66" xfId="275"/>
    <cellStyle name="Normal 30" xfId="276"/>
    <cellStyle name="Normal 31" xfId="277"/>
    <cellStyle name="Normal 32" xfId="278"/>
    <cellStyle name="Normal 33" xfId="279"/>
    <cellStyle name="Normal 34" xfId="280"/>
    <cellStyle name="Normal 35" xfId="281"/>
    <cellStyle name="Normal 36" xfId="282"/>
    <cellStyle name="Normal 37" xfId="283"/>
    <cellStyle name="Normal 38" xfId="284"/>
    <cellStyle name="Normal 39" xfId="285"/>
    <cellStyle name="Normal 4" xfId="286"/>
    <cellStyle name="Normal 4 2" xfId="287"/>
    <cellStyle name="Normal 4 3" xfId="288"/>
    <cellStyle name="Normal 4 3 2" xfId="289"/>
    <cellStyle name="Normal 4 3 2 2" xfId="290"/>
    <cellStyle name="Normal 4 3 2 3" xfId="291"/>
    <cellStyle name="Normal 4 3 3" xfId="292"/>
    <cellStyle name="Normal 4 4" xfId="293"/>
    <cellStyle name="Normal 4 4 2" xfId="294"/>
    <cellStyle name="Normal 4 4 3" xfId="295"/>
    <cellStyle name="Normal 4 5" xfId="296"/>
    <cellStyle name="Normal 4 5 2" xfId="297"/>
    <cellStyle name="Normal 4 5 3" xfId="298"/>
    <cellStyle name="Normal 4 6" xfId="299"/>
    <cellStyle name="Normal 4 7" xfId="300"/>
    <cellStyle name="Normal 40" xfId="301"/>
    <cellStyle name="Normal 41" xfId="302"/>
    <cellStyle name="Normal 42" xfId="303"/>
    <cellStyle name="Normal 43" xfId="304"/>
    <cellStyle name="Normal 44" xfId="305"/>
    <cellStyle name="Normal 45" xfId="306"/>
    <cellStyle name="Normal 46" xfId="307"/>
    <cellStyle name="Normal 47" xfId="308"/>
    <cellStyle name="Normal 48" xfId="309"/>
    <cellStyle name="Normal 48 2" xfId="310"/>
    <cellStyle name="Normal 49" xfId="311"/>
    <cellStyle name="Normal 5" xfId="312"/>
    <cellStyle name="Normal 5 2" xfId="313"/>
    <cellStyle name="Normal 50" xfId="314"/>
    <cellStyle name="Normal 6" xfId="315"/>
    <cellStyle name="Normal 7" xfId="316"/>
    <cellStyle name="Normal 7 2" xfId="317"/>
    <cellStyle name="Normal 8" xfId="318"/>
    <cellStyle name="Normal 8 2" xfId="319"/>
    <cellStyle name="Normal 9" xfId="320"/>
    <cellStyle name="Normal 9 2" xfId="321"/>
    <cellStyle name="Normal 9 3" xfId="322"/>
    <cellStyle name="Normal_EStarWASHERResTiersFY07v1_3_postJan07" xfId="4"/>
    <cellStyle name="Normal_MTDUCT" xfId="2"/>
    <cellStyle name="Normal_PC-LPDPackage-6P-D14" xfId="16"/>
    <cellStyle name="Normal_ProCostFinAssumptions_Sector" xfId="3"/>
    <cellStyle name="Note 2" xfId="323"/>
    <cellStyle name="Note 2 2" xfId="324"/>
    <cellStyle name="Note 3" xfId="325"/>
    <cellStyle name="Output 2" xfId="326"/>
    <cellStyle name="Output 2 2" xfId="327"/>
    <cellStyle name="Output 3" xfId="328"/>
    <cellStyle name="Percent" xfId="9" builtinId="5"/>
    <cellStyle name="Percent 2" xfId="329"/>
    <cellStyle name="Percent 2 2" xfId="330"/>
    <cellStyle name="Percent 2 2 2" xfId="331"/>
    <cellStyle name="Percent 2 2 2 2" xfId="332"/>
    <cellStyle name="Percent 2 2 2 3" xfId="333"/>
    <cellStyle name="Percent 2 2 3" xfId="334"/>
    <cellStyle name="Percent 2 2 4" xfId="335"/>
    <cellStyle name="Percent 2 3" xfId="336"/>
    <cellStyle name="Percent 2 3 2" xfId="337"/>
    <cellStyle name="Percent 2 3 3" xfId="338"/>
    <cellStyle name="Percent 3" xfId="11"/>
    <cellStyle name="Percent 3 2" xfId="339"/>
    <cellStyle name="Percent 3 2 2" xfId="340"/>
    <cellStyle name="Percent 3 2 3" xfId="341"/>
    <cellStyle name="Percent 3 3" xfId="342"/>
    <cellStyle name="Percent 3 4" xfId="343"/>
    <cellStyle name="Percent 4" xfId="344"/>
    <cellStyle name="Percent 4 2" xfId="345"/>
    <cellStyle name="Percent 5" xfId="346"/>
    <cellStyle name="Percent 6" xfId="347"/>
    <cellStyle name="Percent 6 2" xfId="348"/>
    <cellStyle name="Percent 7" xfId="349"/>
    <cellStyle name="Percent 8" xfId="350"/>
    <cellStyle name="Sheet Title" xfId="351"/>
    <cellStyle name="Style 1" xfId="352"/>
    <cellStyle name="Style 1 2" xfId="353"/>
    <cellStyle name="Style 28" xfId="354"/>
    <cellStyle name="Title 2" xfId="355"/>
    <cellStyle name="Title 2 2" xfId="356"/>
    <cellStyle name="Title 3" xfId="357"/>
    <cellStyle name="Total 2" xfId="358"/>
    <cellStyle name="Total 2 2" xfId="359"/>
    <cellStyle name="Total 3" xfId="360"/>
    <cellStyle name="Warning Text 2" xfId="361"/>
    <cellStyle name="Warning Text 3" xfId="362"/>
    <cellStyle name="표준 2_WP-1 보고자료 (2009.06.03)" xfId="363"/>
    <cellStyle name="표준_ENERGY CONSUMP" xfId="364"/>
    <cellStyle name="常规_海外市场服务网站资料操作BOM" xfId="36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17</xdr:col>
      <xdr:colOff>56505</xdr:colOff>
      <xdr:row>18</xdr:row>
      <xdr:rowOff>19051</xdr:rowOff>
    </xdr:to>
    <xdr:pic>
      <xdr:nvPicPr>
        <xdr:cNvPr id="2" name="Picture 1"/>
        <xdr:cNvPicPr>
          <a:picLocks noChangeAspect="1"/>
        </xdr:cNvPicPr>
      </xdr:nvPicPr>
      <xdr:blipFill rotWithShape="1">
        <a:blip xmlns:r="http://schemas.openxmlformats.org/officeDocument/2006/relationships" r:embed="rId1" cstate="print"/>
        <a:srcRect l="27309" t="50819" r="24735" b="15166"/>
        <a:stretch/>
      </xdr:blipFill>
      <xdr:spPr>
        <a:xfrm>
          <a:off x="4876800" y="809625"/>
          <a:ext cx="5542905" cy="2124076"/>
        </a:xfrm>
        <a:prstGeom prst="rect">
          <a:avLst/>
        </a:prstGeom>
      </xdr:spPr>
    </xdr:pic>
    <xdr:clientData/>
  </xdr:twoCellAnchor>
  <xdr:twoCellAnchor editAs="oneCell">
    <xdr:from>
      <xdr:col>8</xdr:col>
      <xdr:colOff>0</xdr:colOff>
      <xdr:row>25</xdr:row>
      <xdr:rowOff>0</xdr:rowOff>
    </xdr:from>
    <xdr:to>
      <xdr:col>18</xdr:col>
      <xdr:colOff>161925</xdr:colOff>
      <xdr:row>40</xdr:row>
      <xdr:rowOff>66675</xdr:rowOff>
    </xdr:to>
    <xdr:pic>
      <xdr:nvPicPr>
        <xdr:cNvPr id="9217"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876800" y="4048125"/>
          <a:ext cx="6257925" cy="24955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16</xdr:col>
      <xdr:colOff>400050</xdr:colOff>
      <xdr:row>31</xdr:row>
      <xdr:rowOff>19050</xdr:rowOff>
    </xdr:to>
    <xdr:pic>
      <xdr:nvPicPr>
        <xdr:cNvPr id="2150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09600" y="809625"/>
          <a:ext cx="9544050" cy="4229100"/>
        </a:xfrm>
        <a:prstGeom prst="rect">
          <a:avLst/>
        </a:prstGeom>
        <a:noFill/>
        <a:ln w="1">
          <a:noFill/>
          <a:miter lim="800000"/>
          <a:headEnd/>
          <a:tailEnd type="none" w="med" len="med"/>
        </a:ln>
        <a:effectLst/>
      </xdr:spPr>
    </xdr:pic>
    <xdr:clientData/>
  </xdr:twoCellAnchor>
  <xdr:twoCellAnchor editAs="oneCell">
    <xdr:from>
      <xdr:col>1</xdr:col>
      <xdr:colOff>0</xdr:colOff>
      <xdr:row>35</xdr:row>
      <xdr:rowOff>0</xdr:rowOff>
    </xdr:from>
    <xdr:to>
      <xdr:col>17</xdr:col>
      <xdr:colOff>409575</xdr:colOff>
      <xdr:row>58</xdr:row>
      <xdr:rowOff>38100</xdr:rowOff>
    </xdr:to>
    <xdr:pic>
      <xdr:nvPicPr>
        <xdr:cNvPr id="2150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09600" y="5667375"/>
          <a:ext cx="10163175" cy="3762375"/>
        </a:xfrm>
        <a:prstGeom prst="rect">
          <a:avLst/>
        </a:prstGeom>
        <a:noFill/>
        <a:ln w="1">
          <a:noFill/>
          <a:miter lim="800000"/>
          <a:headEnd/>
          <a:tailEnd type="none" w="med" len="med"/>
        </a:ln>
        <a:effectLst/>
      </xdr:spPr>
    </xdr:pic>
    <xdr:clientData/>
  </xdr:twoCellAnchor>
  <xdr:twoCellAnchor editAs="oneCell">
    <xdr:from>
      <xdr:col>18</xdr:col>
      <xdr:colOff>123825</xdr:colOff>
      <xdr:row>34</xdr:row>
      <xdr:rowOff>28575</xdr:rowOff>
    </xdr:from>
    <xdr:to>
      <xdr:col>35</xdr:col>
      <xdr:colOff>38100</xdr:colOff>
      <xdr:row>65</xdr:row>
      <xdr:rowOff>85725</xdr:rowOff>
    </xdr:to>
    <xdr:pic>
      <xdr:nvPicPr>
        <xdr:cNvPr id="2150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1096625" y="5534025"/>
          <a:ext cx="10277475" cy="507682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 val="7P Forecasts D2"/>
      <sheetName val="ProCost 6th Plan Inputs"/>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cell r="H65"/>
          <cell r="I65"/>
          <cell r="J65"/>
          <cell r="K65"/>
          <cell r="L65"/>
          <cell r="M65"/>
          <cell r="N65"/>
          <cell r="O65"/>
          <cell r="P65"/>
          <cell r="Q65"/>
          <cell r="R65"/>
          <cell r="S65"/>
          <cell r="T65"/>
          <cell r="U65"/>
          <cell r="V65"/>
          <cell r="W65"/>
          <cell r="X65"/>
          <cell r="Y65"/>
          <cell r="Z65"/>
          <cell r="AA65"/>
          <cell r="AB65"/>
          <cell r="AC65"/>
          <cell r="AD65"/>
          <cell r="AE65"/>
        </row>
        <row r="66">
          <cell r="G66"/>
          <cell r="H66"/>
          <cell r="I66"/>
          <cell r="J66"/>
          <cell r="K66"/>
          <cell r="L66"/>
          <cell r="M66"/>
          <cell r="N66"/>
          <cell r="O66"/>
          <cell r="P66"/>
          <cell r="Q66"/>
          <cell r="R66"/>
          <cell r="S66"/>
          <cell r="T66"/>
          <cell r="U66"/>
          <cell r="V66"/>
          <cell r="W66"/>
          <cell r="X66"/>
          <cell r="Y66"/>
          <cell r="Z66"/>
          <cell r="AA66"/>
          <cell r="AB66"/>
          <cell r="AC66"/>
          <cell r="AD66"/>
          <cell r="AE66"/>
        </row>
        <row r="67">
          <cell r="G67"/>
          <cell r="H67"/>
          <cell r="I67"/>
          <cell r="J67"/>
          <cell r="K67"/>
          <cell r="L67"/>
          <cell r="M67"/>
          <cell r="N67"/>
          <cell r="O67"/>
          <cell r="P67"/>
          <cell r="Q67"/>
          <cell r="R67"/>
          <cell r="S67"/>
          <cell r="T67"/>
          <cell r="U67"/>
          <cell r="V67"/>
          <cell r="W67"/>
          <cell r="X67"/>
          <cell r="Y67"/>
          <cell r="Z67"/>
          <cell r="AA67"/>
          <cell r="AB67"/>
          <cell r="AC67"/>
          <cell r="AD67"/>
          <cell r="AE67"/>
        </row>
        <row r="68">
          <cell r="G68"/>
          <cell r="H68"/>
          <cell r="I68"/>
          <cell r="J68"/>
          <cell r="K68"/>
          <cell r="L68"/>
          <cell r="M68"/>
          <cell r="N68"/>
          <cell r="O68"/>
          <cell r="P68"/>
          <cell r="Q68"/>
          <cell r="R68"/>
          <cell r="S68"/>
          <cell r="T68"/>
          <cell r="U68"/>
          <cell r="V68"/>
          <cell r="W68"/>
          <cell r="X68"/>
          <cell r="Y68"/>
          <cell r="Z68"/>
          <cell r="AA68"/>
          <cell r="AB68"/>
          <cell r="AC68"/>
          <cell r="AD68"/>
          <cell r="AE68"/>
        </row>
        <row r="69">
          <cell r="G69"/>
          <cell r="H69"/>
          <cell r="I69"/>
          <cell r="J69"/>
          <cell r="K69"/>
          <cell r="L69"/>
          <cell r="M69"/>
          <cell r="N69"/>
          <cell r="O69"/>
          <cell r="P69"/>
          <cell r="Q69"/>
          <cell r="R69"/>
          <cell r="S69"/>
          <cell r="T69"/>
          <cell r="U69"/>
          <cell r="V69"/>
          <cell r="W69"/>
          <cell r="X69"/>
          <cell r="Y69"/>
          <cell r="Z69"/>
          <cell r="AA69"/>
          <cell r="AB69"/>
          <cell r="AC69"/>
          <cell r="AD69"/>
          <cell r="AE69"/>
        </row>
        <row r="70">
          <cell r="G70"/>
          <cell r="H70"/>
          <cell r="I70"/>
          <cell r="J70"/>
          <cell r="K70"/>
          <cell r="L70"/>
          <cell r="M70"/>
          <cell r="N70"/>
          <cell r="O70"/>
          <cell r="P70"/>
          <cell r="Q70"/>
          <cell r="R70"/>
          <cell r="S70"/>
          <cell r="T70"/>
          <cell r="U70"/>
          <cell r="V70"/>
          <cell r="W70"/>
          <cell r="X70"/>
          <cell r="Y70"/>
          <cell r="Z70"/>
          <cell r="AA70"/>
          <cell r="AB70"/>
          <cell r="AC70"/>
          <cell r="AD70"/>
          <cell r="AE70"/>
        </row>
        <row r="71">
          <cell r="G71"/>
          <cell r="H71"/>
          <cell r="I71"/>
          <cell r="J71"/>
          <cell r="K71"/>
          <cell r="L71"/>
          <cell r="M71"/>
          <cell r="N71"/>
          <cell r="O71"/>
          <cell r="P71"/>
          <cell r="Q71"/>
          <cell r="R71"/>
          <cell r="S71"/>
          <cell r="T71"/>
          <cell r="U71"/>
          <cell r="V71"/>
          <cell r="W71"/>
          <cell r="X71"/>
          <cell r="Y71"/>
          <cell r="Z71"/>
          <cell r="AA71"/>
          <cell r="AB71"/>
          <cell r="AC71"/>
          <cell r="AD71"/>
          <cell r="AE71"/>
        </row>
        <row r="72">
          <cell r="G72"/>
          <cell r="H72"/>
          <cell r="I72"/>
          <cell r="J72"/>
          <cell r="K72"/>
          <cell r="L72"/>
          <cell r="M72"/>
          <cell r="N72"/>
          <cell r="O72"/>
          <cell r="P72"/>
          <cell r="Q72"/>
          <cell r="R72"/>
          <cell r="S72"/>
          <cell r="T72"/>
          <cell r="U72"/>
          <cell r="V72"/>
          <cell r="W72"/>
          <cell r="X72"/>
          <cell r="Y72"/>
          <cell r="Z72"/>
          <cell r="AA72"/>
          <cell r="AB72"/>
          <cell r="AC72"/>
          <cell r="AD72"/>
          <cell r="AE72"/>
        </row>
        <row r="73">
          <cell r="G73"/>
          <cell r="H73"/>
          <cell r="I73"/>
          <cell r="J73"/>
          <cell r="K73"/>
          <cell r="L73"/>
          <cell r="M73"/>
          <cell r="N73"/>
          <cell r="O73"/>
          <cell r="P73"/>
          <cell r="Q73"/>
          <cell r="R73"/>
          <cell r="S73"/>
          <cell r="T73"/>
          <cell r="U73"/>
          <cell r="V73"/>
          <cell r="W73"/>
          <cell r="X73"/>
          <cell r="Y73"/>
          <cell r="Z73"/>
          <cell r="AA73"/>
          <cell r="AB73"/>
          <cell r="AC73"/>
          <cell r="AD73"/>
          <cell r="AE73"/>
        </row>
        <row r="74">
          <cell r="G74"/>
          <cell r="H74"/>
          <cell r="I74"/>
          <cell r="J74"/>
          <cell r="K74"/>
          <cell r="L74"/>
          <cell r="M74"/>
          <cell r="N74"/>
          <cell r="O74"/>
          <cell r="P74"/>
          <cell r="Q74"/>
          <cell r="R74"/>
          <cell r="S74"/>
          <cell r="T74"/>
          <cell r="U74"/>
          <cell r="V74"/>
          <cell r="W74"/>
          <cell r="X74"/>
          <cell r="Y74"/>
          <cell r="Z74"/>
          <cell r="AA74"/>
          <cell r="AB74"/>
          <cell r="AC74"/>
          <cell r="AD74"/>
          <cell r="AE74"/>
        </row>
        <row r="75">
          <cell r="G75"/>
          <cell r="H75"/>
          <cell r="I75"/>
          <cell r="J75"/>
          <cell r="K75"/>
          <cell r="L75"/>
          <cell r="M75"/>
          <cell r="N75"/>
          <cell r="O75"/>
          <cell r="P75"/>
          <cell r="Q75"/>
          <cell r="R75"/>
          <cell r="S75"/>
          <cell r="T75"/>
          <cell r="U75"/>
          <cell r="V75"/>
          <cell r="W75"/>
          <cell r="X75"/>
          <cell r="Y75"/>
          <cell r="Z75"/>
          <cell r="AA75"/>
          <cell r="AB75"/>
          <cell r="AC75"/>
          <cell r="AD75"/>
          <cell r="AE75"/>
        </row>
        <row r="76">
          <cell r="G76"/>
          <cell r="H76"/>
          <cell r="I76"/>
          <cell r="J76"/>
          <cell r="K76"/>
          <cell r="L76"/>
          <cell r="M76"/>
          <cell r="N76"/>
          <cell r="O76"/>
          <cell r="P76"/>
          <cell r="Q76"/>
          <cell r="R76"/>
          <cell r="S76"/>
          <cell r="T76"/>
          <cell r="U76"/>
          <cell r="V76"/>
          <cell r="W76"/>
          <cell r="X76"/>
          <cell r="Y76"/>
          <cell r="Z76"/>
          <cell r="AA76"/>
          <cell r="AB76"/>
          <cell r="AC76"/>
          <cell r="AD76"/>
          <cell r="AE76"/>
        </row>
        <row r="77">
          <cell r="G77"/>
          <cell r="H77"/>
          <cell r="I77"/>
          <cell r="J77"/>
          <cell r="K77"/>
          <cell r="L77"/>
          <cell r="M77"/>
          <cell r="N77"/>
          <cell r="O77"/>
          <cell r="P77"/>
          <cell r="Q77"/>
          <cell r="R77"/>
          <cell r="S77"/>
          <cell r="T77"/>
          <cell r="U77"/>
          <cell r="V77"/>
          <cell r="W77"/>
          <cell r="X77"/>
          <cell r="Y77"/>
          <cell r="Z77"/>
          <cell r="AA77"/>
          <cell r="AB77"/>
          <cell r="AC77"/>
          <cell r="AD77"/>
          <cell r="AE77"/>
        </row>
        <row r="78">
          <cell r="G78"/>
          <cell r="H78"/>
          <cell r="I78"/>
          <cell r="J78"/>
          <cell r="K78"/>
          <cell r="L78"/>
          <cell r="M78"/>
          <cell r="N78"/>
          <cell r="O78"/>
          <cell r="P78"/>
          <cell r="Q78"/>
          <cell r="R78"/>
          <cell r="S78"/>
          <cell r="T78"/>
          <cell r="U78"/>
          <cell r="V78"/>
          <cell r="W78"/>
          <cell r="X78"/>
          <cell r="Y78"/>
          <cell r="Z78"/>
          <cell r="AA78"/>
          <cell r="AB78"/>
          <cell r="AC78"/>
          <cell r="AD78"/>
          <cell r="AE78"/>
        </row>
        <row r="79">
          <cell r="G79"/>
          <cell r="H79"/>
          <cell r="I79"/>
          <cell r="J79"/>
          <cell r="K79"/>
          <cell r="L79"/>
          <cell r="M79"/>
          <cell r="N79"/>
          <cell r="O79"/>
          <cell r="P79"/>
          <cell r="Q79"/>
          <cell r="R79"/>
          <cell r="S79"/>
          <cell r="T79"/>
          <cell r="U79"/>
          <cell r="V79"/>
          <cell r="W79"/>
          <cell r="X79"/>
          <cell r="Y79"/>
          <cell r="Z79"/>
          <cell r="AA79"/>
          <cell r="AB79"/>
          <cell r="AC79"/>
          <cell r="AD79"/>
          <cell r="AE79"/>
        </row>
        <row r="80">
          <cell r="G80"/>
          <cell r="H80"/>
          <cell r="I80"/>
          <cell r="J80"/>
          <cell r="K80"/>
          <cell r="L80"/>
          <cell r="M80"/>
          <cell r="N80"/>
          <cell r="O80"/>
          <cell r="P80"/>
          <cell r="Q80"/>
          <cell r="R80"/>
          <cell r="S80"/>
          <cell r="T80"/>
          <cell r="U80"/>
          <cell r="V80"/>
          <cell r="W80"/>
          <cell r="X80"/>
          <cell r="Y80"/>
          <cell r="Z80"/>
          <cell r="AA80"/>
          <cell r="AB80"/>
          <cell r="AC80"/>
          <cell r="AD80"/>
          <cell r="AE80"/>
        </row>
        <row r="81">
          <cell r="G81"/>
          <cell r="H81"/>
          <cell r="I81"/>
          <cell r="J81"/>
          <cell r="K81"/>
          <cell r="L81"/>
          <cell r="M81"/>
          <cell r="N81"/>
          <cell r="O81"/>
          <cell r="P81"/>
          <cell r="Q81"/>
          <cell r="R81"/>
          <cell r="S81"/>
          <cell r="T81"/>
          <cell r="U81"/>
          <cell r="V81"/>
          <cell r="W81"/>
          <cell r="X81"/>
          <cell r="Y81"/>
          <cell r="Z81"/>
          <cell r="AA81"/>
          <cell r="AB81"/>
          <cell r="AC81"/>
          <cell r="AD81"/>
          <cell r="AE81"/>
        </row>
        <row r="82">
          <cell r="G82"/>
          <cell r="H82"/>
          <cell r="I82"/>
          <cell r="J82"/>
          <cell r="K82"/>
          <cell r="L82"/>
          <cell r="M82"/>
          <cell r="N82"/>
          <cell r="O82"/>
          <cell r="P82"/>
          <cell r="Q82"/>
          <cell r="R82"/>
          <cell r="S82"/>
          <cell r="T82"/>
          <cell r="U82"/>
          <cell r="V82"/>
          <cell r="W82"/>
          <cell r="X82"/>
          <cell r="Y82"/>
          <cell r="Z82"/>
          <cell r="AA82"/>
          <cell r="AB82"/>
          <cell r="AC82"/>
          <cell r="AD82"/>
          <cell r="AE82"/>
        </row>
        <row r="83">
          <cell r="G83"/>
          <cell r="H83"/>
          <cell r="I83"/>
          <cell r="J83"/>
          <cell r="K83"/>
          <cell r="L83"/>
          <cell r="M83"/>
          <cell r="N83"/>
          <cell r="O83"/>
          <cell r="P83"/>
          <cell r="Q83"/>
          <cell r="R83"/>
          <cell r="S83"/>
          <cell r="T83"/>
          <cell r="U83"/>
          <cell r="V83"/>
          <cell r="W83"/>
          <cell r="X83"/>
          <cell r="Y83"/>
          <cell r="Z83"/>
          <cell r="AA83"/>
          <cell r="AB83"/>
          <cell r="AC83"/>
          <cell r="AD83"/>
          <cell r="AE83"/>
        </row>
        <row r="84">
          <cell r="G84"/>
          <cell r="H84"/>
          <cell r="I84"/>
          <cell r="J84"/>
          <cell r="K84"/>
          <cell r="L84"/>
          <cell r="M84"/>
          <cell r="N84"/>
          <cell r="O84"/>
          <cell r="P84"/>
          <cell r="Q84"/>
          <cell r="R84"/>
          <cell r="S84"/>
          <cell r="T84"/>
          <cell r="U84"/>
          <cell r="V84"/>
          <cell r="W84"/>
          <cell r="X84"/>
          <cell r="Y84"/>
          <cell r="Z84"/>
          <cell r="AA84"/>
          <cell r="AB84"/>
          <cell r="AC84"/>
          <cell r="AD84"/>
          <cell r="AE84"/>
        </row>
        <row r="85">
          <cell r="G85"/>
          <cell r="H85"/>
          <cell r="I85"/>
          <cell r="J85"/>
          <cell r="K85"/>
          <cell r="L85"/>
          <cell r="M85"/>
          <cell r="N85"/>
          <cell r="O85"/>
          <cell r="P85"/>
          <cell r="Q85"/>
          <cell r="R85"/>
          <cell r="S85"/>
          <cell r="T85"/>
          <cell r="U85"/>
          <cell r="V85"/>
          <cell r="W85"/>
          <cell r="X85"/>
          <cell r="Y85"/>
          <cell r="Z85"/>
          <cell r="AA85"/>
          <cell r="AB85"/>
          <cell r="AC85"/>
          <cell r="AD85"/>
          <cell r="AE85"/>
        </row>
        <row r="86">
          <cell r="G86"/>
          <cell r="H86"/>
          <cell r="I86"/>
          <cell r="J86"/>
          <cell r="K86"/>
          <cell r="L86"/>
          <cell r="M86"/>
          <cell r="N86"/>
          <cell r="O86"/>
          <cell r="P86"/>
          <cell r="Q86"/>
          <cell r="R86"/>
          <cell r="S86"/>
          <cell r="T86"/>
          <cell r="U86"/>
          <cell r="V86"/>
          <cell r="W86"/>
          <cell r="X86"/>
          <cell r="Y86"/>
          <cell r="Z86"/>
          <cell r="AA86"/>
          <cell r="AB86"/>
          <cell r="AC86"/>
          <cell r="AD86"/>
          <cell r="AE86"/>
        </row>
        <row r="87">
          <cell r="G87"/>
          <cell r="H87"/>
          <cell r="I87"/>
          <cell r="J87"/>
          <cell r="K87"/>
          <cell r="L87"/>
          <cell r="M87"/>
          <cell r="N87"/>
          <cell r="O87"/>
          <cell r="P87"/>
          <cell r="Q87"/>
          <cell r="R87"/>
          <cell r="S87"/>
          <cell r="T87"/>
          <cell r="U87"/>
          <cell r="V87"/>
          <cell r="W87"/>
          <cell r="X87"/>
          <cell r="Y87"/>
          <cell r="Z87"/>
          <cell r="AA87"/>
          <cell r="AB87"/>
          <cell r="AC87"/>
          <cell r="AD87"/>
          <cell r="AE87"/>
        </row>
        <row r="88">
          <cell r="G88"/>
          <cell r="H88"/>
          <cell r="I88"/>
          <cell r="J88"/>
          <cell r="K88"/>
          <cell r="L88"/>
          <cell r="M88"/>
          <cell r="N88"/>
          <cell r="O88"/>
          <cell r="P88"/>
          <cell r="Q88"/>
          <cell r="R88"/>
          <cell r="S88"/>
          <cell r="T88"/>
          <cell r="U88"/>
          <cell r="V88"/>
          <cell r="W88"/>
          <cell r="X88"/>
          <cell r="Y88"/>
          <cell r="Z88"/>
          <cell r="AA88"/>
          <cell r="AB88"/>
          <cell r="AC88"/>
          <cell r="AD88"/>
          <cell r="AE88"/>
        </row>
        <row r="89">
          <cell r="G89"/>
          <cell r="H89"/>
          <cell r="I89"/>
          <cell r="J89"/>
          <cell r="K89"/>
          <cell r="L89"/>
          <cell r="M89"/>
          <cell r="N89"/>
          <cell r="O89"/>
          <cell r="P89"/>
          <cell r="Q89"/>
          <cell r="R89"/>
          <cell r="S89"/>
          <cell r="T89"/>
          <cell r="U89"/>
          <cell r="V89"/>
          <cell r="W89"/>
          <cell r="X89"/>
          <cell r="Y89"/>
          <cell r="Z89"/>
          <cell r="AA89"/>
          <cell r="AB89"/>
          <cell r="AC89"/>
          <cell r="AD89"/>
          <cell r="AE89"/>
        </row>
        <row r="90">
          <cell r="G90"/>
          <cell r="H90"/>
          <cell r="I90"/>
          <cell r="J90"/>
          <cell r="K90"/>
          <cell r="L90"/>
          <cell r="M90"/>
          <cell r="N90"/>
          <cell r="O90"/>
          <cell r="P90"/>
          <cell r="Q90"/>
          <cell r="R90"/>
          <cell r="S90"/>
          <cell r="T90"/>
          <cell r="U90"/>
          <cell r="V90"/>
          <cell r="W90"/>
          <cell r="X90"/>
          <cell r="Y90"/>
          <cell r="Z90"/>
          <cell r="AA90"/>
          <cell r="AB90"/>
          <cell r="AC90"/>
          <cell r="AD90"/>
          <cell r="AE90"/>
        </row>
        <row r="91">
          <cell r="G91"/>
          <cell r="H91"/>
          <cell r="I91"/>
          <cell r="J91"/>
          <cell r="K91"/>
          <cell r="L91"/>
          <cell r="M91"/>
          <cell r="N91"/>
          <cell r="O91"/>
          <cell r="P91"/>
          <cell r="Q91"/>
          <cell r="R91"/>
          <cell r="S91"/>
          <cell r="T91"/>
          <cell r="U91"/>
          <cell r="V91"/>
          <cell r="W91"/>
          <cell r="X91"/>
          <cell r="Y91"/>
          <cell r="Z91"/>
          <cell r="AA91"/>
          <cell r="AB91"/>
          <cell r="AC91"/>
          <cell r="AD91"/>
          <cell r="AE91"/>
        </row>
        <row r="92">
          <cell r="G92"/>
          <cell r="H92"/>
          <cell r="I92"/>
          <cell r="J92"/>
          <cell r="K92"/>
          <cell r="L92"/>
          <cell r="M92"/>
          <cell r="N92"/>
          <cell r="O92"/>
          <cell r="P92"/>
          <cell r="Q92"/>
          <cell r="R92"/>
          <cell r="S92"/>
          <cell r="T92"/>
          <cell r="U92"/>
          <cell r="V92"/>
          <cell r="W92"/>
          <cell r="X92"/>
          <cell r="Y92"/>
          <cell r="Z92"/>
          <cell r="AA92"/>
          <cell r="AB92"/>
          <cell r="AC92"/>
          <cell r="AD92"/>
          <cell r="AE92"/>
        </row>
        <row r="93">
          <cell r="G93"/>
          <cell r="H93"/>
          <cell r="I93"/>
          <cell r="J93"/>
          <cell r="K93"/>
          <cell r="L93"/>
          <cell r="M93"/>
          <cell r="N93"/>
          <cell r="O93"/>
          <cell r="P93"/>
          <cell r="Q93"/>
          <cell r="R93"/>
          <cell r="S93"/>
          <cell r="T93"/>
          <cell r="U93"/>
          <cell r="V93"/>
          <cell r="W93"/>
          <cell r="X93"/>
          <cell r="Y93"/>
          <cell r="Z93"/>
          <cell r="AA93"/>
          <cell r="AB93"/>
          <cell r="AC93"/>
          <cell r="AD93"/>
          <cell r="AE93"/>
        </row>
        <row r="94">
          <cell r="G94"/>
          <cell r="H94"/>
          <cell r="I94"/>
          <cell r="J94"/>
          <cell r="K94"/>
          <cell r="L94"/>
          <cell r="M94"/>
          <cell r="N94"/>
          <cell r="O94"/>
          <cell r="P94"/>
          <cell r="Q94"/>
          <cell r="R94"/>
          <cell r="S94"/>
          <cell r="T94"/>
          <cell r="U94"/>
          <cell r="V94"/>
          <cell r="W94"/>
          <cell r="X94"/>
          <cell r="Y94"/>
          <cell r="Z94"/>
          <cell r="AA94"/>
          <cell r="AB94"/>
          <cell r="AC94"/>
          <cell r="AD94"/>
          <cell r="AE94"/>
        </row>
        <row r="95">
          <cell r="G95"/>
          <cell r="H95"/>
          <cell r="I95"/>
          <cell r="J95"/>
          <cell r="K95"/>
          <cell r="L95"/>
          <cell r="M95"/>
          <cell r="N95"/>
          <cell r="O95"/>
          <cell r="P95"/>
          <cell r="Q95"/>
          <cell r="R95"/>
          <cell r="S95"/>
          <cell r="T95"/>
          <cell r="U95"/>
          <cell r="V95"/>
          <cell r="W95"/>
          <cell r="X95"/>
          <cell r="Y95"/>
          <cell r="Z95"/>
          <cell r="AA95"/>
          <cell r="AB95"/>
          <cell r="AC95"/>
          <cell r="AD95"/>
          <cell r="AE95"/>
        </row>
        <row r="96">
          <cell r="G96"/>
          <cell r="H96"/>
          <cell r="I96"/>
          <cell r="J96"/>
          <cell r="K96"/>
          <cell r="L96"/>
          <cell r="M96"/>
          <cell r="N96"/>
          <cell r="O96"/>
          <cell r="P96"/>
          <cell r="Q96"/>
          <cell r="R96"/>
          <cell r="S96"/>
          <cell r="T96"/>
          <cell r="U96"/>
          <cell r="V96"/>
          <cell r="W96"/>
          <cell r="X96"/>
          <cell r="Y96"/>
          <cell r="Z96"/>
          <cell r="AA96"/>
          <cell r="AB96"/>
          <cell r="AC96"/>
          <cell r="AD96"/>
          <cell r="AE96"/>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sheetData>
      <sheetData sheetId="2"/>
      <sheetData sheetId="3"/>
      <sheetData sheetId="4">
        <row r="12">
          <cell r="AK12">
            <v>2016</v>
          </cell>
        </row>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2">
          <cell r="BD22"/>
        </row>
        <row r="23">
          <cell r="D23" t="str">
            <v>WASHINGTON</v>
          </cell>
          <cell r="E23"/>
          <cell r="F23"/>
          <cell r="G23"/>
          <cell r="BD23"/>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2">
          <cell r="BD32"/>
        </row>
        <row r="33">
          <cell r="D33" t="str">
            <v>IDAHO</v>
          </cell>
          <cell r="E33"/>
          <cell r="F33"/>
          <cell r="G33"/>
          <cell r="BD33"/>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2">
          <cell r="BD42"/>
        </row>
        <row r="43">
          <cell r="D43" t="str">
            <v>MONTANA</v>
          </cell>
          <cell r="E43">
            <v>0.56999999999999995</v>
          </cell>
          <cell r="F43" t="str">
            <v>Western MT portion of state</v>
          </cell>
          <cell r="G43"/>
          <cell r="BD43"/>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cell r="E53"/>
          <cell r="F53"/>
          <cell r="G53"/>
          <cell r="BD53"/>
        </row>
        <row r="54">
          <cell r="C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C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C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C58"/>
          <cell r="D58" t="str">
            <v>Single Family</v>
          </cell>
          <cell r="E58" t="str">
            <v>Existing</v>
          </cell>
          <cell r="F58"/>
          <cell r="G58"/>
          <cell r="H58"/>
          <cell r="I58"/>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C59"/>
          <cell r="D59" t="str">
            <v>Multifamily - Low Rise</v>
          </cell>
          <cell r="E59" t="str">
            <v>Existing</v>
          </cell>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C61"/>
          <cell r="D61" t="str">
            <v>Manufactured</v>
          </cell>
          <cell r="E61" t="str">
            <v>Existing</v>
          </cell>
          <cell r="F61"/>
          <cell r="G61"/>
          <cell r="H61"/>
          <cell r="I61"/>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ExistingSat" refersTo="='SATS'!$B$10:$F$84"/>
      <definedName name="ResApplic" refersTo="='APPLIC'!$B$8:$F$119"/>
    </definedNames>
    <sheetDataSet>
      <sheetData sheetId="0">
        <row r="116">
          <cell r="B116" t="str">
            <v>Contents</v>
          </cell>
        </row>
        <row r="117">
          <cell r="B117" t="str">
            <v>Overview of model structure</v>
          </cell>
        </row>
        <row r="118">
          <cell r="B118" t="str">
            <v xml:space="preserve">Update Log:  Log for updates to Draft 6th Plan Assessment </v>
          </cell>
        </row>
        <row r="119">
          <cell r="B119" t="str">
            <v>Master List of measure bundles</v>
          </cell>
        </row>
      </sheetData>
      <sheetData sheetId="1"/>
      <sheetData sheetId="2">
        <row r="8">
          <cell r="B8" t="str">
            <v>Base Measure Name</v>
          </cell>
          <cell r="C8" t="str">
            <v>VCohort</v>
          </cell>
          <cell r="D8" t="str">
            <v>Measure Index Name</v>
          </cell>
          <cell r="E8" t="str">
            <v>M BUNDLE ID</v>
          </cell>
          <cell r="F8" t="str">
            <v>Measure Bundle Description</v>
          </cell>
        </row>
        <row r="9">
          <cell r="B9" t="str">
            <v>Lighting</v>
          </cell>
          <cell r="C9" t="str">
            <v>New</v>
          </cell>
          <cell r="D9" t="str">
            <v>Lighting - New</v>
          </cell>
        </row>
        <row r="10">
          <cell r="B10" t="str">
            <v>Lighting</v>
          </cell>
          <cell r="C10" t="str">
            <v>NR</v>
          </cell>
          <cell r="D10" t="str">
            <v>Lighting - NR</v>
          </cell>
        </row>
        <row r="11">
          <cell r="B11" t="str">
            <v>Lighting</v>
          </cell>
          <cell r="C11" t="str">
            <v>PPA</v>
          </cell>
          <cell r="D11" t="str">
            <v>Lighting - PPA</v>
          </cell>
        </row>
        <row r="12">
          <cell r="B12" t="str">
            <v>Dishwasher</v>
          </cell>
          <cell r="C12" t="str">
            <v>New</v>
          </cell>
          <cell r="D12" t="str">
            <v>Dishwasher - New</v>
          </cell>
        </row>
        <row r="13">
          <cell r="B13" t="str">
            <v>Dishwasher</v>
          </cell>
          <cell r="C13" t="str">
            <v>NR</v>
          </cell>
          <cell r="D13" t="str">
            <v>Dishwasher - NR</v>
          </cell>
        </row>
        <row r="14">
          <cell r="B14" t="str">
            <v>Clothes Washer</v>
          </cell>
          <cell r="C14" t="str">
            <v>New</v>
          </cell>
          <cell r="D14" t="str">
            <v>Clothes Washer - New</v>
          </cell>
        </row>
        <row r="15">
          <cell r="B15" t="str">
            <v>Clothes Washer</v>
          </cell>
          <cell r="C15" t="str">
            <v>NR</v>
          </cell>
          <cell r="D15" t="str">
            <v>Clothes Washer - NR</v>
          </cell>
        </row>
        <row r="16">
          <cell r="B16" t="str">
            <v>WasteWater Heat Recovery</v>
          </cell>
          <cell r="C16" t="str">
            <v>New</v>
          </cell>
          <cell r="D16" t="str">
            <v>WasteWater Heat Recovery - New</v>
          </cell>
        </row>
        <row r="17">
          <cell r="B17" t="str">
            <v>Showerheads</v>
          </cell>
          <cell r="C17" t="str">
            <v>New</v>
          </cell>
          <cell r="D17" t="str">
            <v>Showerheads - New</v>
          </cell>
        </row>
        <row r="18">
          <cell r="B18" t="str">
            <v>Showerheads</v>
          </cell>
          <cell r="C18" t="str">
            <v>Retro</v>
          </cell>
          <cell r="D18" t="str">
            <v>Showerheads - Retro</v>
          </cell>
        </row>
        <row r="19">
          <cell r="B19" t="str">
            <v>HPWH</v>
          </cell>
          <cell r="C19" t="str">
            <v>New</v>
          </cell>
          <cell r="D19" t="str">
            <v>HPWH - New</v>
          </cell>
        </row>
        <row r="20">
          <cell r="B20" t="str">
            <v>HPWH</v>
          </cell>
          <cell r="C20" t="str">
            <v>NR</v>
          </cell>
          <cell r="D20" t="str">
            <v>HPWH - NR</v>
          </cell>
        </row>
        <row r="21">
          <cell r="B21" t="str">
            <v>EV Supply Equip</v>
          </cell>
          <cell r="C21" t="str">
            <v>NR</v>
          </cell>
          <cell r="D21" t="str">
            <v>EV Supply Equip - NR</v>
          </cell>
        </row>
        <row r="22">
          <cell r="B22" t="str">
            <v>Clothes Dryer</v>
          </cell>
          <cell r="C22" t="str">
            <v>New</v>
          </cell>
          <cell r="D22" t="str">
            <v>Clothes Dryer - New</v>
          </cell>
        </row>
        <row r="23">
          <cell r="B23" t="str">
            <v>Clothes Dryer</v>
          </cell>
          <cell r="C23" t="str">
            <v>NR</v>
          </cell>
          <cell r="D23" t="str">
            <v>Clothes Dryer - NR</v>
          </cell>
        </row>
        <row r="24">
          <cell r="B24" t="str">
            <v>Refrigerator</v>
          </cell>
          <cell r="C24" t="str">
            <v>New</v>
          </cell>
          <cell r="D24" t="str">
            <v>Refrigerator - New</v>
          </cell>
        </row>
        <row r="25">
          <cell r="B25" t="str">
            <v>Refrigerator</v>
          </cell>
          <cell r="C25" t="str">
            <v>NR</v>
          </cell>
          <cell r="D25" t="str">
            <v>Refrigerator - NR</v>
          </cell>
        </row>
        <row r="26">
          <cell r="B26" t="str">
            <v>Freezer</v>
          </cell>
          <cell r="C26" t="str">
            <v>New</v>
          </cell>
          <cell r="D26" t="str">
            <v>Freezer - New</v>
          </cell>
        </row>
        <row r="27">
          <cell r="B27" t="str">
            <v>Freezer</v>
          </cell>
          <cell r="C27" t="str">
            <v>NR</v>
          </cell>
          <cell r="D27" t="str">
            <v>Freezer - NR</v>
          </cell>
        </row>
        <row r="28">
          <cell r="B28" t="str">
            <v>Solar Water Heater</v>
          </cell>
          <cell r="C28" t="str">
            <v>New</v>
          </cell>
          <cell r="D28" t="str">
            <v>Solar Water Heater - New</v>
          </cell>
        </row>
        <row r="29">
          <cell r="B29" t="str">
            <v>Solar Water Heater</v>
          </cell>
          <cell r="C29" t="str">
            <v>NR</v>
          </cell>
          <cell r="D29" t="str">
            <v>Solar Water Heater - NR</v>
          </cell>
        </row>
        <row r="30">
          <cell r="B30" t="str">
            <v>Solar Water Heater</v>
          </cell>
          <cell r="C30" t="str">
            <v>Retro</v>
          </cell>
          <cell r="D30" t="str">
            <v>Solar Water Heater - Retro</v>
          </cell>
        </row>
        <row r="33">
          <cell r="B33" t="str">
            <v>Electric Oven</v>
          </cell>
          <cell r="C33" t="str">
            <v>New</v>
          </cell>
          <cell r="D33" t="str">
            <v>Electric Oven - New</v>
          </cell>
        </row>
        <row r="34">
          <cell r="B34" t="str">
            <v>Electric Oven</v>
          </cell>
          <cell r="C34" t="str">
            <v>NR</v>
          </cell>
          <cell r="D34" t="str">
            <v>Electric Oven - NR</v>
          </cell>
        </row>
        <row r="35">
          <cell r="B35" t="str">
            <v>Microwave</v>
          </cell>
          <cell r="C35" t="str">
            <v>New</v>
          </cell>
          <cell r="D35" t="str">
            <v>Microwave - New</v>
          </cell>
        </row>
        <row r="36">
          <cell r="B36" t="str">
            <v>Microwave</v>
          </cell>
          <cell r="C36" t="str">
            <v>NR</v>
          </cell>
          <cell r="D36" t="str">
            <v>Microwave - NR</v>
          </cell>
        </row>
        <row r="37">
          <cell r="B37" t="str">
            <v>Monitor</v>
          </cell>
          <cell r="C37" t="str">
            <v>New</v>
          </cell>
          <cell r="D37" t="str">
            <v>Monitor - New</v>
          </cell>
        </row>
        <row r="38">
          <cell r="B38" t="str">
            <v>Monitor</v>
          </cell>
          <cell r="C38" t="str">
            <v>NR</v>
          </cell>
          <cell r="D38" t="str">
            <v>Monitor - NR</v>
          </cell>
        </row>
        <row r="39">
          <cell r="B39" t="str">
            <v>Desktop</v>
          </cell>
          <cell r="C39" t="str">
            <v>New</v>
          </cell>
          <cell r="D39" t="str">
            <v>Desktop - New</v>
          </cell>
        </row>
        <row r="40">
          <cell r="B40" t="str">
            <v>Desktop</v>
          </cell>
          <cell r="C40" t="str">
            <v>NR</v>
          </cell>
          <cell r="D40" t="str">
            <v>Desktop - NR</v>
          </cell>
        </row>
        <row r="41">
          <cell r="B41" t="str">
            <v>Laptop</v>
          </cell>
          <cell r="C41" t="str">
            <v>New</v>
          </cell>
          <cell r="D41" t="str">
            <v>Laptop - New</v>
          </cell>
        </row>
        <row r="42">
          <cell r="B42" t="str">
            <v>Laptop</v>
          </cell>
          <cell r="C42" t="str">
            <v>NR</v>
          </cell>
          <cell r="D42" t="str">
            <v>Laptop - NR</v>
          </cell>
        </row>
        <row r="43">
          <cell r="B43" t="str">
            <v>Computer</v>
          </cell>
          <cell r="C43" t="str">
            <v>New</v>
          </cell>
          <cell r="D43" t="str">
            <v>Computer - New</v>
          </cell>
        </row>
        <row r="44">
          <cell r="B44" t="str">
            <v>Computer</v>
          </cell>
          <cell r="C44" t="str">
            <v>NR</v>
          </cell>
          <cell r="D44" t="str">
            <v>Computer - NR</v>
          </cell>
        </row>
        <row r="45">
          <cell r="B45" t="str">
            <v>ASHP</v>
          </cell>
          <cell r="C45" t="str">
            <v>New</v>
          </cell>
          <cell r="D45" t="str">
            <v>ASHP - New</v>
          </cell>
        </row>
        <row r="46">
          <cell r="B46" t="str">
            <v>ASHP</v>
          </cell>
          <cell r="C46" t="str">
            <v>NR</v>
          </cell>
          <cell r="D46" t="str">
            <v>ASHP - NR</v>
          </cell>
        </row>
        <row r="47">
          <cell r="B47" t="str">
            <v>HP</v>
          </cell>
          <cell r="C47" t="str">
            <v>Retro</v>
          </cell>
          <cell r="D47" t="str">
            <v>HP - Retro</v>
          </cell>
        </row>
        <row r="48">
          <cell r="B48" t="str">
            <v>DHP</v>
          </cell>
          <cell r="C48" t="str">
            <v>New</v>
          </cell>
          <cell r="D48" t="str">
            <v>DHP - New</v>
          </cell>
        </row>
        <row r="49">
          <cell r="B49" t="str">
            <v>DHP</v>
          </cell>
          <cell r="C49" t="str">
            <v>NR</v>
          </cell>
          <cell r="D49" t="str">
            <v>DHP - NR</v>
          </cell>
        </row>
        <row r="50">
          <cell r="B50" t="str">
            <v>DHP</v>
          </cell>
          <cell r="C50" t="str">
            <v>Retro</v>
          </cell>
          <cell r="D50" t="str">
            <v>DHP - Retro</v>
          </cell>
        </row>
        <row r="51">
          <cell r="B51" t="str">
            <v>Duct Sealing</v>
          </cell>
          <cell r="C51" t="str">
            <v>New</v>
          </cell>
          <cell r="D51" t="str">
            <v>Duct Sealing - New</v>
          </cell>
        </row>
        <row r="52">
          <cell r="B52" t="str">
            <v>Duct Sealing</v>
          </cell>
          <cell r="C52" t="str">
            <v>Retro</v>
          </cell>
          <cell r="D52" t="str">
            <v>Duct Sealing - Retro</v>
          </cell>
        </row>
        <row r="53">
          <cell r="B53" t="str">
            <v>WIFI enabled tstats</v>
          </cell>
          <cell r="C53" t="str">
            <v>New</v>
          </cell>
          <cell r="D53" t="str">
            <v>WIFI enabled tstats - New</v>
          </cell>
        </row>
        <row r="54">
          <cell r="B54" t="str">
            <v>WIFI enabled tstats</v>
          </cell>
          <cell r="C54" t="str">
            <v>Retro</v>
          </cell>
          <cell r="D54" t="str">
            <v>WIFI enabled tstats - Retro</v>
          </cell>
        </row>
        <row r="55">
          <cell r="B55" t="str">
            <v>Combo DHP/HPWH units</v>
          </cell>
          <cell r="C55" t="str">
            <v>New</v>
          </cell>
          <cell r="D55" t="str">
            <v>Combo DHP/HPWH units - New</v>
          </cell>
        </row>
        <row r="56">
          <cell r="B56" t="str">
            <v>Combo DHP/HPWH units</v>
          </cell>
          <cell r="C56" t="str">
            <v>NR</v>
          </cell>
          <cell r="D56" t="str">
            <v>Combo DHP/HPWH units - NR</v>
          </cell>
        </row>
        <row r="57">
          <cell r="B57" t="str">
            <v>Combo DHP/HPWH units</v>
          </cell>
          <cell r="C57" t="str">
            <v>Retro</v>
          </cell>
          <cell r="D57" t="str">
            <v>Combo DHP/HPWH units - Retro</v>
          </cell>
        </row>
        <row r="58">
          <cell r="B58" t="str">
            <v>Aerator</v>
          </cell>
          <cell r="C58" t="str">
            <v>New</v>
          </cell>
          <cell r="D58" t="str">
            <v>Aerator - New</v>
          </cell>
        </row>
        <row r="59">
          <cell r="B59" t="str">
            <v>Aerator</v>
          </cell>
          <cell r="C59" t="str">
            <v>Retro</v>
          </cell>
          <cell r="D59" t="str">
            <v>Aerator - Retro</v>
          </cell>
        </row>
        <row r="60">
          <cell r="B60" t="str">
            <v>Behavior</v>
          </cell>
          <cell r="C60" t="str">
            <v>Retro</v>
          </cell>
          <cell r="D60" t="str">
            <v>Behavior - Retro</v>
          </cell>
        </row>
        <row r="61">
          <cell r="B61" t="str">
            <v>Behavior</v>
          </cell>
          <cell r="C61" t="str">
            <v>New</v>
          </cell>
          <cell r="D61" t="str">
            <v>Behavior - New</v>
          </cell>
        </row>
        <row r="63">
          <cell r="B63" t="str">
            <v>Heat Recovery Ventilation</v>
          </cell>
          <cell r="C63" t="str">
            <v>New</v>
          </cell>
          <cell r="D63" t="str">
            <v>Heat Recovery Ventilation - New</v>
          </cell>
        </row>
        <row r="64">
          <cell r="B64" t="str">
            <v>GSHP</v>
          </cell>
          <cell r="C64" t="str">
            <v>New</v>
          </cell>
          <cell r="D64" t="str">
            <v>GSHP - New</v>
          </cell>
        </row>
        <row r="65">
          <cell r="B65" t="str">
            <v>GSHP</v>
          </cell>
          <cell r="C65" t="str">
            <v>NR</v>
          </cell>
          <cell r="D65" t="str">
            <v>GSHP - NR</v>
          </cell>
        </row>
        <row r="66">
          <cell r="C66" t="str">
            <v>Retro</v>
          </cell>
        </row>
        <row r="67">
          <cell r="B67" t="str">
            <v>ECM for HVAC ventilation</v>
          </cell>
          <cell r="C67" t="str">
            <v>New</v>
          </cell>
          <cell r="D67" t="str">
            <v>ECM for HVAC ventilation - New</v>
          </cell>
        </row>
        <row r="68">
          <cell r="B68" t="str">
            <v>ECM for HVAC ventilation</v>
          </cell>
          <cell r="C68" t="str">
            <v>NR</v>
          </cell>
          <cell r="D68" t="str">
            <v>ECM for HVAC ventilation - NR</v>
          </cell>
        </row>
        <row r="69">
          <cell r="B69" t="str">
            <v>Whole house/attic fan</v>
          </cell>
          <cell r="C69" t="str">
            <v>New</v>
          </cell>
          <cell r="D69" t="str">
            <v>Whole house/attic fan - New</v>
          </cell>
        </row>
        <row r="70">
          <cell r="B70" t="str">
            <v>Whole house/attic fan</v>
          </cell>
          <cell r="C70" t="str">
            <v>Retro</v>
          </cell>
          <cell r="D70" t="str">
            <v>Whole house/attic fan - Retro</v>
          </cell>
        </row>
        <row r="71">
          <cell r="B71" t="str">
            <v>WH Pipe insulation</v>
          </cell>
          <cell r="C71" t="str">
            <v>Retro</v>
          </cell>
          <cell r="D71" t="str">
            <v>WH Pipe insulation - Retro</v>
          </cell>
        </row>
        <row r="72">
          <cell r="B72" t="str">
            <v>DHP Ducted</v>
          </cell>
          <cell r="C72" t="str">
            <v>NR</v>
          </cell>
          <cell r="D72" t="str">
            <v>DHP Ducted - NR</v>
          </cell>
        </row>
        <row r="73">
          <cell r="B73" t="str">
            <v>Advanced Power Strips</v>
          </cell>
          <cell r="C73" t="str">
            <v>New</v>
          </cell>
          <cell r="D73" t="str">
            <v>Advanced Power Strips - New</v>
          </cell>
        </row>
        <row r="74">
          <cell r="B74" t="str">
            <v>Advanced Power Strips</v>
          </cell>
          <cell r="C74" t="str">
            <v>Retro</v>
          </cell>
          <cell r="D74" t="str">
            <v>Advanced Power Strips - Retro</v>
          </cell>
        </row>
        <row r="75">
          <cell r="B75" t="str">
            <v>Controls Commissioning and Sizing</v>
          </cell>
          <cell r="C75" t="str">
            <v>New</v>
          </cell>
          <cell r="D75" t="str">
            <v>Controls Commissioning and Sizing - New</v>
          </cell>
        </row>
        <row r="76">
          <cell r="B76" t="str">
            <v>Controls Commissioning and Sizing</v>
          </cell>
          <cell r="C76" t="str">
            <v>NR</v>
          </cell>
          <cell r="D76" t="str">
            <v>Controls Commissioning and Sizing - NR</v>
          </cell>
        </row>
        <row r="77">
          <cell r="B77" t="str">
            <v>ResWx</v>
          </cell>
          <cell r="C77" t="str">
            <v>Retro</v>
          </cell>
          <cell r="D77" t="str">
            <v>ResWx - Retro</v>
          </cell>
        </row>
        <row r="78">
          <cell r="B78" t="str">
            <v>ATTIC R0 - R19</v>
          </cell>
          <cell r="C78" t="str">
            <v>Retro</v>
          </cell>
          <cell r="D78" t="str">
            <v>ATTIC R0 - R19 - Retro</v>
          </cell>
        </row>
        <row r="79">
          <cell r="B79" t="str">
            <v>ATTIC R0 - R22</v>
          </cell>
          <cell r="C79" t="str">
            <v>Retro</v>
          </cell>
          <cell r="D79" t="str">
            <v>ATTIC R0 - R22 - Retro</v>
          </cell>
        </row>
        <row r="80">
          <cell r="B80" t="str">
            <v>ATTIC R0 - R30</v>
          </cell>
          <cell r="C80" t="str">
            <v>Retro</v>
          </cell>
          <cell r="D80" t="str">
            <v>ATTIC R0 - R30 - Retro</v>
          </cell>
        </row>
        <row r="81">
          <cell r="B81" t="str">
            <v>ATTIC R0 - R38</v>
          </cell>
          <cell r="C81" t="str">
            <v>Retro</v>
          </cell>
          <cell r="D81" t="str">
            <v>ATTIC R0 - R38 - Retro</v>
          </cell>
        </row>
        <row r="82">
          <cell r="B82" t="str">
            <v>ATTIC R0 - R49</v>
          </cell>
          <cell r="C82" t="str">
            <v>Retro</v>
          </cell>
          <cell r="D82" t="str">
            <v>ATTIC R0 - R49 - Retro</v>
          </cell>
        </row>
        <row r="83">
          <cell r="B83" t="str">
            <v>ATTIC R11 - R30</v>
          </cell>
          <cell r="C83" t="str">
            <v>Retro</v>
          </cell>
          <cell r="D83" t="str">
            <v>ATTIC R11 - R30 - Retro</v>
          </cell>
        </row>
        <row r="84">
          <cell r="B84" t="str">
            <v>ATTIC R11 - R38</v>
          </cell>
          <cell r="C84" t="str">
            <v>Retro</v>
          </cell>
          <cell r="D84" t="str">
            <v>ATTIC R11 - R38 - Retro</v>
          </cell>
        </row>
        <row r="85">
          <cell r="B85" t="str">
            <v>ATTIC R11 - R49</v>
          </cell>
          <cell r="C85" t="str">
            <v>Retro</v>
          </cell>
          <cell r="D85" t="str">
            <v>ATTIC R11 - R49 - Retro</v>
          </cell>
        </row>
        <row r="86">
          <cell r="B86" t="str">
            <v>ATTIC R19 - R30</v>
          </cell>
          <cell r="C86" t="str">
            <v>Retro</v>
          </cell>
          <cell r="D86" t="str">
            <v>ATTIC R19 - R30 - Retro</v>
          </cell>
        </row>
        <row r="87">
          <cell r="B87" t="str">
            <v>ATTIC R19 - R38</v>
          </cell>
          <cell r="C87" t="str">
            <v>Retro</v>
          </cell>
          <cell r="D87" t="str">
            <v>ATTIC R19 - R38 - Retro</v>
          </cell>
        </row>
        <row r="88">
          <cell r="B88" t="str">
            <v>ATTIC R19 - R49</v>
          </cell>
          <cell r="C88" t="str">
            <v>Retro</v>
          </cell>
          <cell r="D88" t="str">
            <v>ATTIC R19 - R49 - Retro</v>
          </cell>
        </row>
        <row r="89">
          <cell r="B89" t="str">
            <v>WALL R0 - R11</v>
          </cell>
          <cell r="C89" t="str">
            <v>Retro</v>
          </cell>
          <cell r="D89" t="str">
            <v>WALL R0 - R11 - Retro</v>
          </cell>
        </row>
        <row r="90">
          <cell r="B90" t="str">
            <v>FLOOR R0 - R19</v>
          </cell>
          <cell r="C90" t="str">
            <v>Retro</v>
          </cell>
          <cell r="D90" t="str">
            <v>FLOOR R0 - R19 - Retro</v>
          </cell>
        </row>
        <row r="91">
          <cell r="B91" t="str">
            <v>FLOOR R0 - R22</v>
          </cell>
          <cell r="C91" t="str">
            <v>Retro</v>
          </cell>
          <cell r="D91" t="str">
            <v>FLOOR R0 - R22 - Retro</v>
          </cell>
        </row>
        <row r="92">
          <cell r="B92" t="str">
            <v>FLOOR R0 - R25</v>
          </cell>
          <cell r="C92" t="str">
            <v>Retro</v>
          </cell>
          <cell r="D92" t="str">
            <v>FLOOR R0 - R25 - Retro</v>
          </cell>
        </row>
        <row r="93">
          <cell r="B93" t="str">
            <v>FLOOR R0 - R30</v>
          </cell>
          <cell r="C93" t="str">
            <v>Retro</v>
          </cell>
          <cell r="D93" t="str">
            <v>FLOOR R0 - R30 - Retro</v>
          </cell>
        </row>
        <row r="94">
          <cell r="B94" t="str">
            <v>FLOOR R11 - R22</v>
          </cell>
          <cell r="C94" t="str">
            <v>Retro</v>
          </cell>
          <cell r="D94" t="str">
            <v>FLOOR R11 - R22 - Retro</v>
          </cell>
        </row>
        <row r="95">
          <cell r="B95" t="str">
            <v>WINDOW CL30 Prime Window Replacement of Single Pane Base</v>
          </cell>
          <cell r="C95" t="str">
            <v>Retro</v>
          </cell>
          <cell r="D95" t="str">
            <v>WINDOW CL30 Prime Window Replacement of Single Pane Base - Retro</v>
          </cell>
        </row>
        <row r="96">
          <cell r="B96" t="str">
            <v>WINDOW CL30 Prime Window Replacement of Double Pane Base</v>
          </cell>
          <cell r="C96" t="str">
            <v>Retro</v>
          </cell>
          <cell r="D96" t="str">
            <v>WINDOW CL30 Prime Window Replacement of Double Pane Base - Retro</v>
          </cell>
        </row>
        <row r="97">
          <cell r="B97" t="str">
            <v>WINDOW CL22 Prime Window Replacement of Single Pane Base</v>
          </cell>
          <cell r="C97" t="str">
            <v>Retro</v>
          </cell>
          <cell r="D97" t="str">
            <v>WINDOW CL22 Prime Window Replacement of Single Pane Base - Retro</v>
          </cell>
        </row>
        <row r="98">
          <cell r="B98" t="str">
            <v>WINDOW CL22 Prime Window Replacement of Double Pane Base</v>
          </cell>
          <cell r="C98" t="str">
            <v>Retro</v>
          </cell>
          <cell r="D98" t="str">
            <v>WINDOW CL22 Prime Window Replacement of Double Pane Base - Retro</v>
          </cell>
        </row>
        <row r="99">
          <cell r="B99" t="str">
            <v>CFM50 Infiltration Reduction</v>
          </cell>
          <cell r="C99" t="str">
            <v>Retro</v>
          </cell>
          <cell r="D99" t="str">
            <v>CFM50 Infiltration Reduction - Retro</v>
          </cell>
        </row>
      </sheetData>
      <sheetData sheetId="3">
        <row r="4">
          <cell r="H4">
            <v>2035</v>
          </cell>
        </row>
        <row r="8">
          <cell r="B8">
            <v>1</v>
          </cell>
          <cell r="C8">
            <v>2</v>
          </cell>
          <cell r="D8">
            <v>3</v>
          </cell>
          <cell r="E8">
            <v>4</v>
          </cell>
          <cell r="F8">
            <v>5</v>
          </cell>
        </row>
        <row r="9">
          <cell r="B9" t="str">
            <v>Measure Index Name</v>
          </cell>
          <cell r="C9" t="str">
            <v>File Link</v>
          </cell>
          <cell r="D9" t="str">
            <v>Supply Curve Worksheet</v>
          </cell>
          <cell r="E9" t="str">
            <v>Lost Opp</v>
          </cell>
          <cell r="F9" t="str">
            <v>Descriptive Name</v>
          </cell>
        </row>
        <row r="10">
          <cell r="B10" t="str">
            <v>Lighting - New</v>
          </cell>
          <cell r="C10" t="str">
            <v>Res-Lighting-7P_v2.xlsx</v>
          </cell>
        </row>
        <row r="11">
          <cell r="B11" t="str">
            <v>Lighting - NR</v>
          </cell>
          <cell r="C11" t="str">
            <v>Res-Lighting-7P_v2.xlsx</v>
          </cell>
        </row>
        <row r="12">
          <cell r="B12" t="str">
            <v>Lighting - PPA</v>
          </cell>
          <cell r="C12" t="str">
            <v>Res-Lighting_PPA-7P_v3.xlsx</v>
          </cell>
        </row>
        <row r="13">
          <cell r="B13" t="str">
            <v>Dishwasher - New</v>
          </cell>
          <cell r="C13" t="str">
            <v>Res-Dishwasher-7P_v3.xlsx</v>
          </cell>
        </row>
        <row r="14">
          <cell r="B14" t="str">
            <v>Dishwasher - NR</v>
          </cell>
          <cell r="C14" t="str">
            <v>Res-Dishwasher-7P_v3.xlsx</v>
          </cell>
        </row>
        <row r="15">
          <cell r="B15" t="str">
            <v>Clothes Washer - New</v>
          </cell>
          <cell r="C15" t="str">
            <v>Res-ClothesWasher-7P_v2.xlsx</v>
          </cell>
        </row>
        <row r="16">
          <cell r="B16" t="str">
            <v>Clothes Washer - NR</v>
          </cell>
          <cell r="C16" t="str">
            <v>Res-ClothesWasher-7P_v2.xlsx</v>
          </cell>
        </row>
        <row r="17">
          <cell r="B17" t="str">
            <v>WasteWater Heat Recovery - New</v>
          </cell>
          <cell r="C17" t="str">
            <v>Res-GFX-7P_v2p.xlsx</v>
          </cell>
        </row>
        <row r="18">
          <cell r="B18" t="str">
            <v>Showerheads - New</v>
          </cell>
          <cell r="C18" t="str">
            <v>Res-Showerhead-7P_v4.xlsx</v>
          </cell>
        </row>
        <row r="19">
          <cell r="B19" t="str">
            <v>Showerheads - Retro</v>
          </cell>
          <cell r="C19" t="str">
            <v>Res-Showerhead-7P_v4.xlsx</v>
          </cell>
        </row>
        <row r="20">
          <cell r="B20" t="str">
            <v>HPWH - New</v>
          </cell>
          <cell r="C20" t="str">
            <v>Res-HPWH-7P_v3.xlsx</v>
          </cell>
        </row>
        <row r="21">
          <cell r="B21" t="str">
            <v>HPWH - NR</v>
          </cell>
          <cell r="C21" t="str">
            <v>Res-HPWH-7P_v3.xlsx</v>
          </cell>
        </row>
        <row r="22">
          <cell r="B22" t="str">
            <v>EV Supply Equip - NR</v>
          </cell>
          <cell r="C22" t="str">
            <v>Res-EVCharger-7P_v1p.xlsx</v>
          </cell>
        </row>
        <row r="23">
          <cell r="B23" t="str">
            <v>Clothes Dryer - New</v>
          </cell>
          <cell r="C23" t="str">
            <v>Res-ClothesDryer-7P_v2.xlsx</v>
          </cell>
        </row>
        <row r="24">
          <cell r="B24" t="str">
            <v>Clothes Dryer - NR</v>
          </cell>
          <cell r="C24" t="str">
            <v>Res-ClothesDryer-7P_v2.xlsx</v>
          </cell>
        </row>
        <row r="25">
          <cell r="B25" t="str">
            <v>Refrigerator - New</v>
          </cell>
          <cell r="C25" t="str">
            <v>Res-RefrigFreezer-7P_v3.xlsm</v>
          </cell>
        </row>
        <row r="26">
          <cell r="B26" t="str">
            <v>Refrigerator - NR</v>
          </cell>
          <cell r="C26" t="str">
            <v>Res-RefrigFreezer-7P_v3.xlsm</v>
          </cell>
        </row>
        <row r="27">
          <cell r="B27" t="str">
            <v>Freezer - New</v>
          </cell>
          <cell r="C27" t="str">
            <v>Res-RefrigFreezer-7P_v3.xlsm</v>
          </cell>
        </row>
        <row r="28">
          <cell r="B28" t="str">
            <v>Freezer - NR</v>
          </cell>
          <cell r="C28" t="str">
            <v>Res-RefrigFreezer-7P_v3.xlsm</v>
          </cell>
        </row>
        <row r="29">
          <cell r="B29" t="str">
            <v>Solar Water Heater - New</v>
          </cell>
          <cell r="C29" t="str">
            <v>Res-SWH-7P_v1.xlsx</v>
          </cell>
        </row>
        <row r="30">
          <cell r="B30" t="str">
            <v>Solar Water Heater - NR</v>
          </cell>
        </row>
        <row r="31">
          <cell r="B31" t="str">
            <v>Solar Water Heater - Retro</v>
          </cell>
          <cell r="C31" t="str">
            <v>Res-SWH-7P_v1.xlsx</v>
          </cell>
        </row>
        <row r="32">
          <cell r="B32">
            <v>0</v>
          </cell>
        </row>
        <row r="33">
          <cell r="B33">
            <v>0</v>
          </cell>
        </row>
        <row r="34">
          <cell r="B34" t="str">
            <v>Electric Oven - New</v>
          </cell>
          <cell r="C34" t="str">
            <v>Res-Oven-7P_v3.xlsx</v>
          </cell>
        </row>
        <row r="35">
          <cell r="B35" t="str">
            <v>Electric Oven - NR</v>
          </cell>
          <cell r="C35" t="str">
            <v>Res-Oven-7P_v3.xlsx</v>
          </cell>
        </row>
        <row r="36">
          <cell r="B36" t="str">
            <v>Microwave - New</v>
          </cell>
          <cell r="C36" t="str">
            <v>Res-Microwave-7P_v3.xlsx</v>
          </cell>
        </row>
        <row r="37">
          <cell r="B37" t="str">
            <v>Microwave - NR</v>
          </cell>
          <cell r="C37" t="str">
            <v>Res-Microwave-7P_v3.xlsx</v>
          </cell>
        </row>
        <row r="38">
          <cell r="B38" t="str">
            <v>Monitor - New</v>
          </cell>
          <cell r="C38" t="str">
            <v>Res-Computers-7P_v4.xlsx</v>
          </cell>
        </row>
        <row r="39">
          <cell r="B39" t="str">
            <v>Monitor - NR</v>
          </cell>
          <cell r="C39" t="str">
            <v>Res-Computers-7P_v4.xlsx</v>
          </cell>
        </row>
        <row r="40">
          <cell r="B40" t="str">
            <v>Desktop - New</v>
          </cell>
          <cell r="C40" t="str">
            <v>Res-Computers-7P_v4.xlsx</v>
          </cell>
        </row>
        <row r="41">
          <cell r="B41" t="str">
            <v>Desktop - NR</v>
          </cell>
          <cell r="C41" t="str">
            <v>Res-Computers-7P_v4.xlsx</v>
          </cell>
        </row>
        <row r="42">
          <cell r="B42" t="str">
            <v>Laptop - New</v>
          </cell>
          <cell r="C42" t="str">
            <v>Res-Computers-7P_v4.xlsx</v>
          </cell>
        </row>
        <row r="43">
          <cell r="B43" t="str">
            <v>Laptop - NR</v>
          </cell>
          <cell r="C43" t="str">
            <v>Res-Computers-7P_v4.xlsx</v>
          </cell>
        </row>
        <row r="46">
          <cell r="B46" t="str">
            <v>ASHP - New</v>
          </cell>
          <cell r="C46" t="str">
            <v>Res-SF_HP-7P_v3.xlsx</v>
          </cell>
        </row>
        <row r="47">
          <cell r="B47" t="str">
            <v>ASHP - NR</v>
          </cell>
          <cell r="C47" t="str">
            <v>Res-SF_HP-7P_v3.xlsx</v>
          </cell>
        </row>
        <row r="49">
          <cell r="B49" t="str">
            <v>DHP - New</v>
          </cell>
          <cell r="C49" t="str">
            <v>Res-SF_HP-7P_v3.xlsx</v>
          </cell>
        </row>
        <row r="50">
          <cell r="B50" t="str">
            <v>DHP - NR</v>
          </cell>
          <cell r="C50" t="str">
            <v>Res-SF_HP-7P_v3.xlsx</v>
          </cell>
        </row>
        <row r="51">
          <cell r="B51" t="str">
            <v>DHP - Retro</v>
          </cell>
        </row>
        <row r="52">
          <cell r="B52" t="str">
            <v>Duct Sealing - New</v>
          </cell>
          <cell r="C52" t="str">
            <v>Res-Duct_Seal-7P_v3.xlsx</v>
          </cell>
        </row>
        <row r="53">
          <cell r="B53" t="str">
            <v>Duct Sealing - Retro</v>
          </cell>
          <cell r="C53" t="str">
            <v>Res-Duct_Seal-7P_v3.xlsx</v>
          </cell>
        </row>
        <row r="54">
          <cell r="B54" t="str">
            <v>WIFI enabled tstats - New</v>
          </cell>
          <cell r="C54" t="str">
            <v>Res-WiFitstat-7P_v3.xlsx</v>
          </cell>
        </row>
        <row r="55">
          <cell r="B55" t="str">
            <v>WIFI enabled tstats - Retro</v>
          </cell>
          <cell r="C55" t="str">
            <v>Res-WiFitstat-7P_v3.xlsx</v>
          </cell>
        </row>
        <row r="56">
          <cell r="B56" t="str">
            <v>Combo DHP/HPWH units - New</v>
          </cell>
        </row>
        <row r="57">
          <cell r="B57" t="str">
            <v>Combo DHP/HPWH units - NR</v>
          </cell>
        </row>
        <row r="58">
          <cell r="B58" t="str">
            <v>Combo DHP/HPWH units - Retro</v>
          </cell>
        </row>
        <row r="59">
          <cell r="B59" t="str">
            <v>Aerator - New</v>
          </cell>
          <cell r="C59" t="str">
            <v>Res-Aerator-7P_v4.xlsx</v>
          </cell>
        </row>
        <row r="60">
          <cell r="B60" t="str">
            <v>Aerator - Retro</v>
          </cell>
          <cell r="C60" t="str">
            <v>Res-Aerator-7P_v4.xlsx</v>
          </cell>
        </row>
        <row r="61">
          <cell r="B61" t="str">
            <v>Behavior - Retro</v>
          </cell>
          <cell r="C61" t="str">
            <v>Res-COP-7P_v2.xlsx</v>
          </cell>
        </row>
        <row r="62">
          <cell r="B62" t="str">
            <v>Behavior - New</v>
          </cell>
          <cell r="C62" t="str">
            <v>Res-COP-7P_v2.xlsx</v>
          </cell>
        </row>
        <row r="63">
          <cell r="B63">
            <v>0</v>
          </cell>
        </row>
        <row r="64">
          <cell r="B64" t="str">
            <v>Heat Recovery Ventilation - New</v>
          </cell>
          <cell r="C64" t="str">
            <v>Res-HRV-7P_v1.xlsx</v>
          </cell>
        </row>
        <row r="65">
          <cell r="B65" t="str">
            <v>GSHP - New</v>
          </cell>
          <cell r="C65" t="str">
            <v>Res-GSHP-7P_v1.xlsx</v>
          </cell>
        </row>
        <row r="66">
          <cell r="B66" t="str">
            <v>GSHP - NR</v>
          </cell>
          <cell r="C66" t="str">
            <v>Res-GSHP-7P_v1.xlsx</v>
          </cell>
        </row>
        <row r="67">
          <cell r="B67">
            <v>0</v>
          </cell>
        </row>
        <row r="68">
          <cell r="B68" t="str">
            <v>ECM for HVAC ventilation - New</v>
          </cell>
        </row>
        <row r="69">
          <cell r="B69" t="str">
            <v>ECM for HVAC ventilation - NR</v>
          </cell>
        </row>
        <row r="70">
          <cell r="B70" t="str">
            <v>Whole house/attic fan - New</v>
          </cell>
        </row>
        <row r="71">
          <cell r="B71" t="str">
            <v>Whole house/attic fan - Retro</v>
          </cell>
        </row>
        <row r="72">
          <cell r="B72" t="str">
            <v>WH Pipe insulation - Retro</v>
          </cell>
        </row>
        <row r="73">
          <cell r="B73" t="str">
            <v>DHP Ducted - NR</v>
          </cell>
          <cell r="C73" t="str">
            <v>Res-FAF to DHP-7P_v1.xlsx</v>
          </cell>
        </row>
        <row r="74">
          <cell r="B74" t="str">
            <v>Advanced Power Strips - New</v>
          </cell>
          <cell r="C74" t="str">
            <v>Res-PowerStrips-7P_v4.xlsx</v>
          </cell>
        </row>
        <row r="75">
          <cell r="B75" t="str">
            <v>Advanced Power Strips - Retro</v>
          </cell>
          <cell r="C75" t="str">
            <v>Res-PowerStrips-7P_v4.xlsx</v>
          </cell>
        </row>
        <row r="76">
          <cell r="B76" t="str">
            <v>Controls Commissioning and Sizing - New</v>
          </cell>
          <cell r="C76" t="str">
            <v>Res-CCS-7P_v3.xlsx</v>
          </cell>
        </row>
        <row r="77">
          <cell r="B77" t="str">
            <v>Controls Commissioning and Sizing - NR</v>
          </cell>
          <cell r="C77" t="str">
            <v>Res-CCS-7P_v3.xlsx</v>
          </cell>
        </row>
        <row r="78">
          <cell r="B78" t="str">
            <v>ResWx - Retro</v>
          </cell>
          <cell r="C78" t="str">
            <v>Res-SF_Wx-7P_v4.xlsx</v>
          </cell>
        </row>
        <row r="79">
          <cell r="B79" t="str">
            <v>ResWx - Retro</v>
          </cell>
          <cell r="C79" t="str">
            <v>Res-MF_Wx-7P_v4.xlsx</v>
          </cell>
        </row>
        <row r="80">
          <cell r="B80" t="str">
            <v>ResWx - Retro</v>
          </cell>
          <cell r="C80" t="str">
            <v>Res-MH_Wx-7P_v3.xlsx</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1</v>
          </cell>
          <cell r="D17">
            <v>1</v>
          </cell>
          <cell r="E17">
            <v>1</v>
          </cell>
          <cell r="F17">
            <v>1</v>
          </cell>
        </row>
        <row r="18">
          <cell r="B18" t="str">
            <v>Showerheads - Retro</v>
          </cell>
          <cell r="C18">
            <v>1</v>
          </cell>
          <cell r="D18">
            <v>1</v>
          </cell>
          <cell r="E18">
            <v>1</v>
          </cell>
          <cell r="F18">
            <v>1</v>
          </cell>
        </row>
        <row r="19">
          <cell r="B19" t="str">
            <v>HPWH - New</v>
          </cell>
          <cell r="C19">
            <v>0.95</v>
          </cell>
          <cell r="D19">
            <v>0</v>
          </cell>
          <cell r="E19">
            <v>0</v>
          </cell>
          <cell r="F19">
            <v>0.95</v>
          </cell>
        </row>
        <row r="20">
          <cell r="B20" t="str">
            <v>HPWH - NR</v>
          </cell>
          <cell r="C20">
            <v>0.95</v>
          </cell>
          <cell r="D20">
            <v>0</v>
          </cell>
          <cell r="E20">
            <v>0</v>
          </cell>
          <cell r="F20">
            <v>0.95</v>
          </cell>
        </row>
        <row r="21">
          <cell r="B21" t="str">
            <v>EV Supply Equip - NR</v>
          </cell>
          <cell r="C21">
            <v>0.9</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0.25</v>
          </cell>
          <cell r="D28">
            <v>0.25</v>
          </cell>
        </row>
        <row r="29">
          <cell r="B29" t="str">
            <v>Solar Water Heater - NR</v>
          </cell>
          <cell r="C29">
            <v>0.25</v>
          </cell>
          <cell r="D29">
            <v>0.25</v>
          </cell>
        </row>
        <row r="30">
          <cell r="B30" t="str">
            <v>Solar Water Heater - Retro</v>
          </cell>
          <cell r="C30">
            <v>0.25</v>
          </cell>
          <cell r="D30">
            <v>0.25</v>
          </cell>
        </row>
        <row r="31">
          <cell r="B31">
            <v>0</v>
          </cell>
        </row>
        <row r="32">
          <cell r="B32">
            <v>0</v>
          </cell>
        </row>
        <row r="33">
          <cell r="B33" t="str">
            <v>Electric Oven - New</v>
          </cell>
          <cell r="C33">
            <v>1</v>
          </cell>
          <cell r="D33">
            <v>1</v>
          </cell>
          <cell r="E33">
            <v>1</v>
          </cell>
          <cell r="F33">
            <v>1</v>
          </cell>
        </row>
        <row r="34">
          <cell r="B34" t="str">
            <v>Electric Oven - NR</v>
          </cell>
          <cell r="C34">
            <v>1</v>
          </cell>
          <cell r="D34">
            <v>1</v>
          </cell>
          <cell r="E34">
            <v>1</v>
          </cell>
          <cell r="F34">
            <v>1</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1</v>
          </cell>
          <cell r="D37">
            <v>1</v>
          </cell>
          <cell r="E37">
            <v>1</v>
          </cell>
          <cell r="F37">
            <v>1</v>
          </cell>
        </row>
        <row r="38">
          <cell r="B38" t="str">
            <v>Monitor - NR</v>
          </cell>
          <cell r="C38">
            <v>1</v>
          </cell>
          <cell r="D38">
            <v>1</v>
          </cell>
          <cell r="E38">
            <v>1</v>
          </cell>
          <cell r="F38">
            <v>1</v>
          </cell>
        </row>
        <row r="39">
          <cell r="B39" t="str">
            <v>Desktop - New</v>
          </cell>
          <cell r="C39">
            <v>1</v>
          </cell>
          <cell r="D39">
            <v>1</v>
          </cell>
          <cell r="E39">
            <v>1</v>
          </cell>
          <cell r="F39">
            <v>1</v>
          </cell>
        </row>
        <row r="40">
          <cell r="B40" t="str">
            <v>Desktop - NR</v>
          </cell>
          <cell r="C40">
            <v>1</v>
          </cell>
          <cell r="D40">
            <v>1</v>
          </cell>
          <cell r="E40">
            <v>1</v>
          </cell>
          <cell r="F40">
            <v>1</v>
          </cell>
        </row>
        <row r="41">
          <cell r="B41" t="str">
            <v>Laptop - New</v>
          </cell>
          <cell r="C41">
            <v>1</v>
          </cell>
          <cell r="D41">
            <v>1</v>
          </cell>
          <cell r="E41">
            <v>1</v>
          </cell>
          <cell r="F41">
            <v>1</v>
          </cell>
        </row>
        <row r="42">
          <cell r="B42" t="str">
            <v>Laptop - NR</v>
          </cell>
          <cell r="C42">
            <v>1</v>
          </cell>
          <cell r="D42">
            <v>1</v>
          </cell>
          <cell r="E42">
            <v>1</v>
          </cell>
          <cell r="F42">
            <v>1</v>
          </cell>
        </row>
        <row r="43">
          <cell r="B43" t="str">
            <v>Computer - New</v>
          </cell>
        </row>
        <row r="44">
          <cell r="B44" t="str">
            <v>Computer - NR</v>
          </cell>
        </row>
        <row r="45">
          <cell r="B45" t="str">
            <v>ASHP - New</v>
          </cell>
          <cell r="C45">
            <v>0.9</v>
          </cell>
          <cell r="D45">
            <v>0.5</v>
          </cell>
          <cell r="E45">
            <v>0</v>
          </cell>
          <cell r="F45">
            <v>0.9</v>
          </cell>
        </row>
        <row r="46">
          <cell r="B46" t="str">
            <v>ASHP - NR</v>
          </cell>
          <cell r="C46">
            <v>0.75</v>
          </cell>
          <cell r="D46">
            <v>0.5</v>
          </cell>
          <cell r="E46">
            <v>0</v>
          </cell>
          <cell r="F46">
            <v>0.25</v>
          </cell>
        </row>
        <row r="47">
          <cell r="B47" t="str">
            <v>HP - Retro</v>
          </cell>
        </row>
        <row r="48">
          <cell r="B48" t="str">
            <v>DHP - New</v>
          </cell>
          <cell r="C48">
            <v>0.99</v>
          </cell>
          <cell r="D48">
            <v>0.99</v>
          </cell>
          <cell r="E48">
            <v>0</v>
          </cell>
          <cell r="F48">
            <v>0.99</v>
          </cell>
        </row>
        <row r="49">
          <cell r="B49" t="str">
            <v>DHP - NR</v>
          </cell>
          <cell r="C49">
            <v>0.99</v>
          </cell>
          <cell r="D49">
            <v>0.99</v>
          </cell>
          <cell r="E49">
            <v>0</v>
          </cell>
          <cell r="F49">
            <v>0.99</v>
          </cell>
        </row>
        <row r="50">
          <cell r="B50" t="str">
            <v>DHP - Retro</v>
          </cell>
        </row>
        <row r="51">
          <cell r="B51" t="str">
            <v>Duct Sealing - New</v>
          </cell>
          <cell r="C51">
            <v>1</v>
          </cell>
          <cell r="F51">
            <v>1</v>
          </cell>
        </row>
        <row r="52">
          <cell r="B52" t="str">
            <v>Duct Sealing - Retro</v>
          </cell>
          <cell r="C52">
            <v>0.95</v>
          </cell>
          <cell r="F52">
            <v>0.95</v>
          </cell>
        </row>
        <row r="53">
          <cell r="B53" t="str">
            <v>WIFI enabled tstats - New</v>
          </cell>
          <cell r="C53">
            <v>0.2</v>
          </cell>
          <cell r="D53">
            <v>0.2</v>
          </cell>
          <cell r="E53">
            <v>0</v>
          </cell>
          <cell r="F53">
            <v>0.2</v>
          </cell>
        </row>
        <row r="54">
          <cell r="B54" t="str">
            <v>WIFI enabled tstats - Retro</v>
          </cell>
          <cell r="C54">
            <v>0.2</v>
          </cell>
          <cell r="D54">
            <v>0.2</v>
          </cell>
          <cell r="E54">
            <v>0</v>
          </cell>
          <cell r="F54">
            <v>0.2</v>
          </cell>
        </row>
        <row r="55">
          <cell r="B55" t="str">
            <v>Combo DHP/HPWH units - New</v>
          </cell>
        </row>
        <row r="56">
          <cell r="B56" t="str">
            <v>Combo DHP/HPWH units - NR</v>
          </cell>
        </row>
        <row r="57">
          <cell r="B57" t="str">
            <v>Combo DHP/HPWH units - Retro</v>
          </cell>
        </row>
        <row r="58">
          <cell r="B58" t="str">
            <v>Aerator - New</v>
          </cell>
          <cell r="C58">
            <v>0.9</v>
          </cell>
          <cell r="D58">
            <v>0.9</v>
          </cell>
          <cell r="E58">
            <v>0.9</v>
          </cell>
          <cell r="F58">
            <v>0.9</v>
          </cell>
        </row>
        <row r="59">
          <cell r="B59" t="str">
            <v>Aerator - Retro</v>
          </cell>
          <cell r="C59">
            <v>0.9</v>
          </cell>
          <cell r="D59">
            <v>0.9</v>
          </cell>
          <cell r="E59">
            <v>0.9</v>
          </cell>
          <cell r="F59">
            <v>0.9</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row>
        <row r="63">
          <cell r="B63" t="str">
            <v>Heat Recovery Ventilation - New</v>
          </cell>
          <cell r="C63">
            <v>0.9</v>
          </cell>
        </row>
        <row r="64">
          <cell r="B64" t="str">
            <v>GSHP - New</v>
          </cell>
          <cell r="C64">
            <v>0.12485156673907999</v>
          </cell>
        </row>
        <row r="65">
          <cell r="B65" t="str">
            <v>GSHP - NR</v>
          </cell>
          <cell r="C65">
            <v>0.12485156673907999</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0.25</v>
          </cell>
          <cell r="D72">
            <v>0</v>
          </cell>
          <cell r="E72">
            <v>0</v>
          </cell>
          <cell r="F72">
            <v>0.75</v>
          </cell>
        </row>
        <row r="73">
          <cell r="B73" t="str">
            <v>Advanced Power Strips - New</v>
          </cell>
          <cell r="C73">
            <v>0.34</v>
          </cell>
          <cell r="D73">
            <v>0.25</v>
          </cell>
          <cell r="E73">
            <v>0.25</v>
          </cell>
          <cell r="F73">
            <v>0.25</v>
          </cell>
        </row>
        <row r="74">
          <cell r="B74" t="str">
            <v>Advanced Power Strips - Retro</v>
          </cell>
          <cell r="C74">
            <v>0.34</v>
          </cell>
          <cell r="D74">
            <v>0.25</v>
          </cell>
          <cell r="E74">
            <v>0.25</v>
          </cell>
          <cell r="F74">
            <v>0.25</v>
          </cell>
        </row>
        <row r="75">
          <cell r="B75" t="str">
            <v>Controls Commissioning and Sizing - New</v>
          </cell>
          <cell r="C75">
            <v>0.8</v>
          </cell>
          <cell r="F75">
            <v>0.8</v>
          </cell>
        </row>
        <row r="76">
          <cell r="B76" t="str">
            <v>Controls Commissioning and Sizing - NR</v>
          </cell>
          <cell r="C76">
            <v>0.8</v>
          </cell>
          <cell r="F76">
            <v>0.8</v>
          </cell>
        </row>
        <row r="77">
          <cell r="B77" t="str">
            <v>ResWx - Retro</v>
          </cell>
          <cell r="C77">
            <v>1</v>
          </cell>
          <cell r="D77">
            <v>1</v>
          </cell>
          <cell r="E77">
            <v>0</v>
          </cell>
          <cell r="F77">
            <v>1</v>
          </cell>
        </row>
        <row r="78">
          <cell r="B78" t="str">
            <v>ATTIC R0 - R19 - Retro</v>
          </cell>
          <cell r="D78">
            <v>5.4136342171710254E-2</v>
          </cell>
          <cell r="E78">
            <v>0</v>
          </cell>
        </row>
        <row r="79">
          <cell r="B79" t="str">
            <v>ATTIC R0 - R22 - Retro</v>
          </cell>
          <cell r="E79">
            <v>0</v>
          </cell>
          <cell r="F79">
            <v>1</v>
          </cell>
        </row>
        <row r="80">
          <cell r="B80" t="str">
            <v>ATTIC R0 - R30 - Retro</v>
          </cell>
          <cell r="E80">
            <v>0</v>
          </cell>
          <cell r="F80">
            <v>1</v>
          </cell>
        </row>
        <row r="81">
          <cell r="B81" t="str">
            <v>ATTIC R0 - R38 - Retro</v>
          </cell>
          <cell r="C81">
            <v>0.32014844015471466</v>
          </cell>
          <cell r="D81">
            <v>4.7584775838642859E-2</v>
          </cell>
          <cell r="E81">
            <v>0</v>
          </cell>
        </row>
        <row r="82">
          <cell r="B82" t="str">
            <v>ATTIC R0 - R49 - Retro</v>
          </cell>
          <cell r="C82">
            <v>0.17058205505053403</v>
          </cell>
          <cell r="D82">
            <v>0.28384144507905706</v>
          </cell>
          <cell r="E82">
            <v>0</v>
          </cell>
        </row>
        <row r="83">
          <cell r="B83" t="str">
            <v>ATTIC R11 - R30 - Retro</v>
          </cell>
          <cell r="E83">
            <v>0</v>
          </cell>
          <cell r="F83">
            <v>1</v>
          </cell>
        </row>
        <row r="84">
          <cell r="B84" t="str">
            <v>ATTIC R11 - R38 - Retro</v>
          </cell>
          <cell r="C84">
            <v>0.17430969903565588</v>
          </cell>
          <cell r="E84">
            <v>0</v>
          </cell>
        </row>
        <row r="85">
          <cell r="B85" t="str">
            <v>ATTIC R11 - R49 - Retro</v>
          </cell>
          <cell r="C85">
            <v>0.13678890043469027</v>
          </cell>
          <cell r="E85">
            <v>0</v>
          </cell>
        </row>
        <row r="86">
          <cell r="B86" t="str">
            <v>ATTIC R19 - R30 - Retro</v>
          </cell>
          <cell r="D86">
            <v>0.22227051198635747</v>
          </cell>
          <cell r="E86">
            <v>0</v>
          </cell>
        </row>
        <row r="87">
          <cell r="B87" t="str">
            <v>ATTIC R19 - R38 - Retro</v>
          </cell>
          <cell r="C87">
            <v>4.6501964215835925E-2</v>
          </cell>
          <cell r="D87">
            <v>3.4310978703902796E-2</v>
          </cell>
          <cell r="E87">
            <v>0</v>
          </cell>
        </row>
        <row r="88">
          <cell r="B88" t="str">
            <v>ATTIC R19 - R49 - Retro</v>
          </cell>
          <cell r="C88">
            <v>0.1001242132993031</v>
          </cell>
          <cell r="D88">
            <v>0.50397933760908686</v>
          </cell>
          <cell r="E88">
            <v>0</v>
          </cell>
        </row>
        <row r="89">
          <cell r="B89" t="str">
            <v>WALL R0 - R11 - Retro</v>
          </cell>
          <cell r="C89">
            <v>1</v>
          </cell>
          <cell r="D89">
            <v>1</v>
          </cell>
          <cell r="E89">
            <v>0</v>
          </cell>
        </row>
        <row r="90">
          <cell r="B90" t="str">
            <v>FLOOR R0 - R19 - Retro</v>
          </cell>
          <cell r="C90">
            <v>0.34333690117039206</v>
          </cell>
          <cell r="D90">
            <v>8.2838470698342936E-2</v>
          </cell>
          <cell r="E90">
            <v>0</v>
          </cell>
        </row>
        <row r="91">
          <cell r="B91" t="str">
            <v>FLOOR R0 - R22 - Retro</v>
          </cell>
          <cell r="E91">
            <v>0</v>
          </cell>
          <cell r="F91">
            <v>1</v>
          </cell>
        </row>
        <row r="92">
          <cell r="B92" t="str">
            <v>FLOOR R0 - R25 - Retro</v>
          </cell>
          <cell r="C92">
            <v>0.19851645323572223</v>
          </cell>
          <cell r="E92">
            <v>0</v>
          </cell>
        </row>
        <row r="93">
          <cell r="B93" t="str">
            <v>FLOOR R0 - R30 - Retro</v>
          </cell>
          <cell r="C93">
            <v>0.45814664559388574</v>
          </cell>
          <cell r="D93">
            <v>0.91716152930165706</v>
          </cell>
          <cell r="E93">
            <v>0</v>
          </cell>
        </row>
        <row r="94">
          <cell r="B94" t="str">
            <v>FLOOR R11 - R22 - Retro</v>
          </cell>
          <cell r="E94">
            <v>0</v>
          </cell>
          <cell r="F94">
            <v>1</v>
          </cell>
        </row>
        <row r="95">
          <cell r="B95" t="str">
            <v>WINDOW CL30 Prime Window Replacement of Single Pane Base - Retro</v>
          </cell>
          <cell r="C95">
            <v>0.8</v>
          </cell>
          <cell r="D95">
            <v>0.8</v>
          </cell>
          <cell r="E95">
            <v>0</v>
          </cell>
          <cell r="F95">
            <v>0.8</v>
          </cell>
        </row>
        <row r="96">
          <cell r="B96" t="str">
            <v>WINDOW CL30 Prime Window Replacement of Double Pane Base - Retro</v>
          </cell>
          <cell r="C96">
            <v>0.8</v>
          </cell>
          <cell r="D96">
            <v>0.8</v>
          </cell>
          <cell r="E96">
            <v>0</v>
          </cell>
          <cell r="F96">
            <v>0.8</v>
          </cell>
        </row>
        <row r="97">
          <cell r="B97" t="str">
            <v>WINDOW CL22 Prime Window Replacement of Single Pane Base - Retro</v>
          </cell>
          <cell r="C97">
            <v>0.2</v>
          </cell>
          <cell r="D97">
            <v>0.2</v>
          </cell>
          <cell r="E97">
            <v>0</v>
          </cell>
          <cell r="F97">
            <v>0.2</v>
          </cell>
        </row>
        <row r="98">
          <cell r="B98" t="str">
            <v>WINDOW CL22 Prime Window Replacement of Double Pane Base - Retro</v>
          </cell>
          <cell r="C98">
            <v>0.2</v>
          </cell>
          <cell r="D98">
            <v>0.2</v>
          </cell>
          <cell r="E98">
            <v>0</v>
          </cell>
          <cell r="F98">
            <v>0.2</v>
          </cell>
        </row>
        <row r="99">
          <cell r="B99" t="str">
            <v>CFM50 Infiltration Reduction - Retro</v>
          </cell>
          <cell r="C99">
            <v>0.5</v>
          </cell>
          <cell r="D99">
            <v>0.5</v>
          </cell>
          <cell r="E99">
            <v>0</v>
          </cell>
          <cell r="F99">
            <v>1</v>
          </cell>
        </row>
      </sheetData>
      <sheetData sheetId="6">
        <row r="8">
          <cell r="B8" t="str">
            <v>Measure Index Name</v>
          </cell>
          <cell r="C8" t="str">
            <v>Single Family</v>
          </cell>
          <cell r="D8" t="str">
            <v>Multifamily - Low Rise</v>
          </cell>
          <cell r="E8" t="str">
            <v>Multifamily - High Rise</v>
          </cell>
          <cell r="F8" t="str">
            <v>Manufactured</v>
          </cell>
        </row>
        <row r="9">
          <cell r="B9" t="str">
            <v>Lighting - New</v>
          </cell>
          <cell r="C9">
            <v>0.23499999999999999</v>
          </cell>
          <cell r="D9">
            <v>0.23499999999999999</v>
          </cell>
          <cell r="E9">
            <v>0.23499999999999999</v>
          </cell>
          <cell r="F9">
            <v>0.23499999999999999</v>
          </cell>
        </row>
        <row r="10">
          <cell r="B10" t="str">
            <v>Lighting - NR</v>
          </cell>
          <cell r="C10">
            <v>0.1</v>
          </cell>
          <cell r="D10">
            <v>0.1</v>
          </cell>
          <cell r="E10">
            <v>0.1</v>
          </cell>
          <cell r="F10">
            <v>0.1</v>
          </cell>
        </row>
        <row r="11">
          <cell r="B11" t="str">
            <v>Lighting - PPA</v>
          </cell>
          <cell r="C11">
            <v>0.1</v>
          </cell>
          <cell r="D11">
            <v>0.1</v>
          </cell>
          <cell r="E11">
            <v>0.1</v>
          </cell>
          <cell r="F11">
            <v>0.1</v>
          </cell>
        </row>
        <row r="12">
          <cell r="B12" t="str">
            <v>Dishwasher - New</v>
          </cell>
          <cell r="C12">
            <v>0</v>
          </cell>
          <cell r="D12">
            <v>0</v>
          </cell>
          <cell r="E12">
            <v>0</v>
          </cell>
          <cell r="F12">
            <v>0</v>
          </cell>
        </row>
        <row r="13">
          <cell r="B13" t="str">
            <v>Dishwasher - NR</v>
          </cell>
          <cell r="C13">
            <v>0</v>
          </cell>
          <cell r="D13">
            <v>0</v>
          </cell>
          <cell r="E13">
            <v>0</v>
          </cell>
          <cell r="F13">
            <v>0</v>
          </cell>
        </row>
        <row r="14">
          <cell r="B14" t="str">
            <v>Clothes Washer - New</v>
          </cell>
          <cell r="C14">
            <v>0</v>
          </cell>
          <cell r="D14">
            <v>0</v>
          </cell>
          <cell r="E14">
            <v>0</v>
          </cell>
          <cell r="F14">
            <v>0</v>
          </cell>
        </row>
        <row r="15">
          <cell r="B15" t="str">
            <v>Clothes Washer - NR</v>
          </cell>
          <cell r="C15">
            <v>0</v>
          </cell>
          <cell r="D15">
            <v>0</v>
          </cell>
          <cell r="E15">
            <v>0</v>
          </cell>
          <cell r="F15">
            <v>0</v>
          </cell>
        </row>
        <row r="16">
          <cell r="B16" t="str">
            <v>WasteWater Heat Recovery - New</v>
          </cell>
          <cell r="C16">
            <v>0</v>
          </cell>
          <cell r="D16">
            <v>0</v>
          </cell>
          <cell r="E16">
            <v>0</v>
          </cell>
          <cell r="F16">
            <v>0</v>
          </cell>
        </row>
        <row r="17">
          <cell r="B17" t="str">
            <v>Showerheads - New</v>
          </cell>
          <cell r="C17">
            <v>0.48399999999999999</v>
          </cell>
          <cell r="D17">
            <v>0.42</v>
          </cell>
          <cell r="E17">
            <v>0.42</v>
          </cell>
          <cell r="F17">
            <v>0.66</v>
          </cell>
        </row>
        <row r="18">
          <cell r="B18" t="str">
            <v>Showerheads - Retro</v>
          </cell>
          <cell r="C18">
            <v>0.55752571342007584</v>
          </cell>
          <cell r="D18">
            <v>0.42</v>
          </cell>
          <cell r="E18">
            <v>0.42</v>
          </cell>
          <cell r="F18">
            <v>0.66</v>
          </cell>
        </row>
        <row r="19">
          <cell r="B19" t="str">
            <v>HPWH - New</v>
          </cell>
          <cell r="C19">
            <v>1E-3</v>
          </cell>
          <cell r="D19">
            <v>0</v>
          </cell>
          <cell r="E19">
            <v>0</v>
          </cell>
          <cell r="F19">
            <v>0</v>
          </cell>
        </row>
        <row r="20">
          <cell r="B20" t="str">
            <v>HPWH - NR</v>
          </cell>
          <cell r="C20">
            <v>1E-3</v>
          </cell>
          <cell r="D20">
            <v>0</v>
          </cell>
          <cell r="E20">
            <v>0</v>
          </cell>
          <cell r="F20">
            <v>0</v>
          </cell>
        </row>
        <row r="21">
          <cell r="B21" t="str">
            <v>EV Supply Equip - NR</v>
          </cell>
          <cell r="C21">
            <v>0.01</v>
          </cell>
          <cell r="D21">
            <v>0</v>
          </cell>
          <cell r="E21">
            <v>0</v>
          </cell>
          <cell r="F21">
            <v>0</v>
          </cell>
        </row>
        <row r="22">
          <cell r="B22" t="str">
            <v>Clothes Dryer - New</v>
          </cell>
          <cell r="C22">
            <v>0</v>
          </cell>
          <cell r="D22">
            <v>0</v>
          </cell>
          <cell r="E22">
            <v>0</v>
          </cell>
          <cell r="F22">
            <v>0</v>
          </cell>
        </row>
        <row r="23">
          <cell r="B23" t="str">
            <v>Clothes Dryer - NR</v>
          </cell>
          <cell r="C23">
            <v>0</v>
          </cell>
          <cell r="D23">
            <v>0</v>
          </cell>
          <cell r="E23">
            <v>0</v>
          </cell>
          <cell r="F23">
            <v>0</v>
          </cell>
        </row>
        <row r="24">
          <cell r="B24" t="str">
            <v>Refrigerator - New</v>
          </cell>
          <cell r="C24">
            <v>0</v>
          </cell>
          <cell r="D24">
            <v>0</v>
          </cell>
          <cell r="E24">
            <v>0</v>
          </cell>
          <cell r="F24">
            <v>0</v>
          </cell>
        </row>
        <row r="25">
          <cell r="B25" t="str">
            <v>Refrigerator - NR</v>
          </cell>
          <cell r="C25">
            <v>0</v>
          </cell>
          <cell r="D25">
            <v>0</v>
          </cell>
          <cell r="E25">
            <v>0</v>
          </cell>
          <cell r="F25">
            <v>0</v>
          </cell>
        </row>
        <row r="26">
          <cell r="B26" t="str">
            <v>Freezer - New</v>
          </cell>
          <cell r="C26">
            <v>0</v>
          </cell>
          <cell r="D26">
            <v>0</v>
          </cell>
          <cell r="E26">
            <v>0</v>
          </cell>
          <cell r="F26">
            <v>0</v>
          </cell>
        </row>
        <row r="27">
          <cell r="B27" t="str">
            <v>Freezer - NR</v>
          </cell>
          <cell r="C27">
            <v>0</v>
          </cell>
          <cell r="D27">
            <v>0</v>
          </cell>
          <cell r="E27">
            <v>0</v>
          </cell>
          <cell r="F27">
            <v>0</v>
          </cell>
        </row>
        <row r="28">
          <cell r="B28" t="str">
            <v>Solar Water Heater - New</v>
          </cell>
          <cell r="C28">
            <v>0.01</v>
          </cell>
          <cell r="D28">
            <v>0</v>
          </cell>
        </row>
        <row r="29">
          <cell r="B29" t="str">
            <v>Solar Water Heater - NR</v>
          </cell>
          <cell r="C29">
            <v>0.01</v>
          </cell>
          <cell r="D29">
            <v>0</v>
          </cell>
        </row>
        <row r="30">
          <cell r="B30" t="str">
            <v>Solar Water Heater - Retro</v>
          </cell>
          <cell r="C30">
            <v>0.01</v>
          </cell>
          <cell r="D30">
            <v>0</v>
          </cell>
        </row>
        <row r="31">
          <cell r="B31">
            <v>0</v>
          </cell>
        </row>
        <row r="32">
          <cell r="B32">
            <v>0</v>
          </cell>
        </row>
        <row r="33">
          <cell r="B33" t="str">
            <v>Electric Oven - New</v>
          </cell>
          <cell r="C33">
            <v>0.1</v>
          </cell>
          <cell r="D33">
            <v>0.1</v>
          </cell>
          <cell r="E33">
            <v>0.1</v>
          </cell>
          <cell r="F33">
            <v>0.1</v>
          </cell>
        </row>
        <row r="34">
          <cell r="B34" t="str">
            <v>Electric Oven - NR</v>
          </cell>
          <cell r="C34">
            <v>0.1</v>
          </cell>
          <cell r="D34">
            <v>0.1</v>
          </cell>
          <cell r="E34">
            <v>0.1</v>
          </cell>
          <cell r="F34">
            <v>0.1</v>
          </cell>
        </row>
        <row r="35">
          <cell r="B35" t="str">
            <v>Microwave - New</v>
          </cell>
          <cell r="C35">
            <v>0</v>
          </cell>
          <cell r="D35">
            <v>0</v>
          </cell>
          <cell r="E35">
            <v>0</v>
          </cell>
          <cell r="F35">
            <v>0</v>
          </cell>
        </row>
        <row r="36">
          <cell r="B36" t="str">
            <v>Microwave - NR</v>
          </cell>
          <cell r="C36">
            <v>0</v>
          </cell>
          <cell r="D36">
            <v>0</v>
          </cell>
          <cell r="E36">
            <v>0</v>
          </cell>
          <cell r="F36">
            <v>0</v>
          </cell>
        </row>
        <row r="37">
          <cell r="B37" t="str">
            <v>Monitor - New</v>
          </cell>
          <cell r="C37">
            <v>0.55000000000000004</v>
          </cell>
          <cell r="D37">
            <v>0.55000000000000004</v>
          </cell>
          <cell r="E37">
            <v>0.55000000000000004</v>
          </cell>
          <cell r="F37">
            <v>0.55000000000000004</v>
          </cell>
        </row>
        <row r="38">
          <cell r="B38" t="str">
            <v>Monitor - NR</v>
          </cell>
          <cell r="C38">
            <v>0.55000000000000004</v>
          </cell>
          <cell r="D38">
            <v>0.55000000000000004</v>
          </cell>
          <cell r="E38">
            <v>0.55000000000000004</v>
          </cell>
          <cell r="F38">
            <v>0.55000000000000004</v>
          </cell>
        </row>
        <row r="39">
          <cell r="B39" t="str">
            <v>Desktop - New</v>
          </cell>
          <cell r="C39">
            <v>0.25</v>
          </cell>
          <cell r="D39">
            <v>0.25</v>
          </cell>
          <cell r="E39">
            <v>0.25</v>
          </cell>
          <cell r="F39">
            <v>0.25</v>
          </cell>
        </row>
        <row r="40">
          <cell r="B40" t="str">
            <v>Desktop - NR</v>
          </cell>
          <cell r="C40">
            <v>0.25</v>
          </cell>
          <cell r="D40">
            <v>0.25</v>
          </cell>
          <cell r="E40">
            <v>0.25</v>
          </cell>
          <cell r="F40">
            <v>0.25</v>
          </cell>
        </row>
        <row r="41">
          <cell r="B41" t="str">
            <v>Laptop - New</v>
          </cell>
          <cell r="C41">
            <v>0.74</v>
          </cell>
          <cell r="D41">
            <v>0.74</v>
          </cell>
          <cell r="E41">
            <v>0.74</v>
          </cell>
          <cell r="F41">
            <v>0.74</v>
          </cell>
        </row>
        <row r="42">
          <cell r="B42" t="str">
            <v>Laptop - NR</v>
          </cell>
          <cell r="C42">
            <v>0.74</v>
          </cell>
          <cell r="D42">
            <v>0.74</v>
          </cell>
          <cell r="E42">
            <v>0.74</v>
          </cell>
          <cell r="F42">
            <v>0.74</v>
          </cell>
        </row>
        <row r="43">
          <cell r="B43" t="str">
            <v>Computer - New</v>
          </cell>
        </row>
        <row r="44">
          <cell r="B44" t="str">
            <v>Computer - NR</v>
          </cell>
        </row>
        <row r="45">
          <cell r="B45" t="str">
            <v>ASHP - New</v>
          </cell>
          <cell r="C45">
            <v>0.02</v>
          </cell>
          <cell r="D45">
            <v>0</v>
          </cell>
          <cell r="E45">
            <v>0</v>
          </cell>
          <cell r="F45">
            <v>0</v>
          </cell>
        </row>
        <row r="46">
          <cell r="B46" t="str">
            <v>ASHP - NR</v>
          </cell>
          <cell r="C46">
            <v>0.02</v>
          </cell>
          <cell r="D46">
            <v>0</v>
          </cell>
          <cell r="E46">
            <v>0</v>
          </cell>
          <cell r="F46">
            <v>0</v>
          </cell>
        </row>
        <row r="47">
          <cell r="B47" t="str">
            <v>HP - Retro</v>
          </cell>
        </row>
        <row r="48">
          <cell r="B48" t="str">
            <v>DHP - New</v>
          </cell>
          <cell r="C48">
            <v>0.02</v>
          </cell>
          <cell r="D48">
            <v>0</v>
          </cell>
          <cell r="E48">
            <v>0</v>
          </cell>
          <cell r="F48">
            <v>0</v>
          </cell>
        </row>
        <row r="49">
          <cell r="B49" t="str">
            <v>DHP - NR</v>
          </cell>
          <cell r="C49">
            <v>0.02</v>
          </cell>
          <cell r="D49">
            <v>0</v>
          </cell>
          <cell r="E49">
            <v>0</v>
          </cell>
          <cell r="F49">
            <v>0</v>
          </cell>
        </row>
        <row r="50">
          <cell r="B50" t="str">
            <v>DHP - Retro</v>
          </cell>
        </row>
        <row r="51">
          <cell r="B51" t="str">
            <v>Duct Sealing - New</v>
          </cell>
          <cell r="C51">
            <v>0.5480228071825386</v>
          </cell>
          <cell r="F51">
            <v>0.45838501752552641</v>
          </cell>
        </row>
        <row r="52">
          <cell r="B52" t="str">
            <v>Duct Sealing - Retro</v>
          </cell>
          <cell r="C52">
            <v>0.5480228071825386</v>
          </cell>
          <cell r="F52">
            <v>0.45838501752552641</v>
          </cell>
        </row>
        <row r="53">
          <cell r="B53" t="str">
            <v>WIFI enabled tstats - New</v>
          </cell>
          <cell r="C53">
            <v>0</v>
          </cell>
          <cell r="D53">
            <v>0</v>
          </cell>
          <cell r="E53">
            <v>0</v>
          </cell>
          <cell r="F53">
            <v>0</v>
          </cell>
        </row>
        <row r="54">
          <cell r="B54" t="str">
            <v>WIFI enabled tstats - Retro</v>
          </cell>
          <cell r="C54">
            <v>0.01</v>
          </cell>
          <cell r="D54">
            <v>0.01</v>
          </cell>
          <cell r="E54">
            <v>0.01</v>
          </cell>
          <cell r="F54">
            <v>0.01</v>
          </cell>
        </row>
        <row r="55">
          <cell r="B55" t="str">
            <v>Combo DHP/HPWH units - New</v>
          </cell>
        </row>
        <row r="56">
          <cell r="B56" t="str">
            <v>Combo DHP/HPWH units - NR</v>
          </cell>
        </row>
        <row r="57">
          <cell r="B57" t="str">
            <v>Combo DHP/HPWH units - Retro</v>
          </cell>
        </row>
        <row r="58">
          <cell r="B58" t="str">
            <v>Aerator - New</v>
          </cell>
          <cell r="C58">
            <v>0.65</v>
          </cell>
          <cell r="D58">
            <v>0.65</v>
          </cell>
          <cell r="E58">
            <v>0.65</v>
          </cell>
          <cell r="F58">
            <v>0.65</v>
          </cell>
        </row>
        <row r="59">
          <cell r="B59" t="str">
            <v>Aerator - Retro</v>
          </cell>
          <cell r="C59">
            <v>0.65</v>
          </cell>
          <cell r="D59">
            <v>0.65</v>
          </cell>
          <cell r="E59">
            <v>0.65</v>
          </cell>
          <cell r="F59">
            <v>0.65</v>
          </cell>
        </row>
        <row r="60">
          <cell r="B60" t="str">
            <v>Behavior - Retro</v>
          </cell>
          <cell r="C60">
            <v>0</v>
          </cell>
          <cell r="D60">
            <v>0</v>
          </cell>
          <cell r="E60">
            <v>0</v>
          </cell>
          <cell r="F60">
            <v>0</v>
          </cell>
        </row>
        <row r="61">
          <cell r="B61" t="str">
            <v>Behavior - New</v>
          </cell>
          <cell r="C61">
            <v>0</v>
          </cell>
          <cell r="D61">
            <v>0</v>
          </cell>
          <cell r="E61">
            <v>0</v>
          </cell>
          <cell r="F61">
            <v>0</v>
          </cell>
        </row>
        <row r="62">
          <cell r="B62">
            <v>0</v>
          </cell>
        </row>
        <row r="63">
          <cell r="B63" t="str">
            <v>Heat Recovery Ventilation - New</v>
          </cell>
          <cell r="C63">
            <v>0.01</v>
          </cell>
        </row>
        <row r="64">
          <cell r="B64" t="str">
            <v>GSHP - New</v>
          </cell>
          <cell r="C64">
            <v>0</v>
          </cell>
        </row>
        <row r="65">
          <cell r="B65" t="str">
            <v>GSHP - NR</v>
          </cell>
          <cell r="C65">
            <v>0</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0.01</v>
          </cell>
          <cell r="D72">
            <v>0</v>
          </cell>
          <cell r="E72">
            <v>0</v>
          </cell>
          <cell r="F72">
            <v>0.01</v>
          </cell>
        </row>
        <row r="73">
          <cell r="B73" t="str">
            <v>Advanced Power Strips - New</v>
          </cell>
          <cell r="C73">
            <v>0.01</v>
          </cell>
          <cell r="D73">
            <v>0.01</v>
          </cell>
          <cell r="E73">
            <v>0.01</v>
          </cell>
          <cell r="F73">
            <v>0.01</v>
          </cell>
        </row>
        <row r="74">
          <cell r="B74" t="str">
            <v>Advanced Power Strips - Retro</v>
          </cell>
          <cell r="C74">
            <v>0.01</v>
          </cell>
          <cell r="D74">
            <v>0.01</v>
          </cell>
          <cell r="E74">
            <v>0.01</v>
          </cell>
          <cell r="F74">
            <v>0.01</v>
          </cell>
        </row>
        <row r="75">
          <cell r="B75" t="str">
            <v>Controls Commissioning and Sizing - New</v>
          </cell>
          <cell r="C75">
            <v>0.05</v>
          </cell>
          <cell r="F75">
            <v>0.05</v>
          </cell>
        </row>
        <row r="76">
          <cell r="B76" t="str">
            <v>Controls Commissioning and Sizing - NR</v>
          </cell>
          <cell r="C76">
            <v>0.05</v>
          </cell>
          <cell r="F76">
            <v>0.05</v>
          </cell>
        </row>
        <row r="77">
          <cell r="B77" t="str">
            <v>ResWx - Retro</v>
          </cell>
        </row>
        <row r="78">
          <cell r="B78" t="str">
            <v>ATTIC R0 - R19 - Retro</v>
          </cell>
        </row>
        <row r="79">
          <cell r="B79" t="str">
            <v>ATTIC R0 - R22 - Retro</v>
          </cell>
          <cell r="F79">
            <v>0.98234576822530661</v>
          </cell>
        </row>
        <row r="80">
          <cell r="B80" t="str">
            <v>ATTIC R0 - R30 - Retro</v>
          </cell>
          <cell r="F80">
            <v>0.94629090512719527</v>
          </cell>
        </row>
        <row r="81">
          <cell r="B81" t="str">
            <v>ATTIC R0 - R38 - Retro</v>
          </cell>
          <cell r="C81">
            <v>0.90582363255140952</v>
          </cell>
          <cell r="D81">
            <v>0.77400000000000002</v>
          </cell>
        </row>
        <row r="82">
          <cell r="B82" t="str">
            <v>ATTIC R0 - R49 - Retro</v>
          </cell>
          <cell r="C82">
            <v>0.90582363255140952</v>
          </cell>
          <cell r="D82">
            <v>0.77400000000000002</v>
          </cell>
        </row>
        <row r="83">
          <cell r="B83" t="str">
            <v>ATTIC R11 - R30 - Retro</v>
          </cell>
          <cell r="F83">
            <v>0.99894666949290001</v>
          </cell>
        </row>
        <row r="84">
          <cell r="B84" t="str">
            <v>ATTIC R11 - R38 - Retro</v>
          </cell>
          <cell r="C84">
            <v>0.85745904032781306</v>
          </cell>
        </row>
        <row r="85">
          <cell r="B85" t="str">
            <v>ATTIC R11 - R49 - Retro</v>
          </cell>
          <cell r="C85">
            <v>0.85745904032781306</v>
          </cell>
        </row>
        <row r="86">
          <cell r="B86" t="str">
            <v>ATTIC R19 - R30 - Retro</v>
          </cell>
          <cell r="D86">
            <v>0.70700000000000007</v>
          </cell>
        </row>
        <row r="87">
          <cell r="B87" t="str">
            <v>ATTIC R19 - R38 - Retro</v>
          </cell>
          <cell r="C87">
            <v>0.8235906407599296</v>
          </cell>
          <cell r="D87">
            <v>0.70700000000000007</v>
          </cell>
        </row>
        <row r="88">
          <cell r="B88" t="str">
            <v>ATTIC R19 - R49 - Retro</v>
          </cell>
          <cell r="C88">
            <v>0.8235906407599296</v>
          </cell>
          <cell r="D88">
            <v>0.70700000000000007</v>
          </cell>
        </row>
        <row r="89">
          <cell r="B89" t="str">
            <v>WALL R0 - R11 - Retro</v>
          </cell>
          <cell r="C89">
            <v>0.9153244542011717</v>
          </cell>
          <cell r="D89">
            <v>0.91300000000000003</v>
          </cell>
        </row>
        <row r="90">
          <cell r="B90" t="str">
            <v>FLOOR R0 - R19 - Retro</v>
          </cell>
          <cell r="C90">
            <v>0.77054029401358659</v>
          </cell>
          <cell r="D90">
            <v>0.74099999999999999</v>
          </cell>
        </row>
        <row r="91">
          <cell r="B91" t="str">
            <v>FLOOR R0 - R22 - Retro</v>
          </cell>
          <cell r="F91">
            <v>0.98933475247267177</v>
          </cell>
        </row>
        <row r="92">
          <cell r="B92" t="str">
            <v>FLOOR R0 - R25 - Retro</v>
          </cell>
          <cell r="C92">
            <v>0.77054029401358659</v>
          </cell>
        </row>
        <row r="93">
          <cell r="B93" t="str">
            <v>FLOOR R0 - R30 - Retro</v>
          </cell>
          <cell r="C93">
            <v>0.77054029401358659</v>
          </cell>
          <cell r="D93">
            <v>0.74099999999999999</v>
          </cell>
        </row>
        <row r="94">
          <cell r="B94" t="str">
            <v>FLOOR R11 - R22 - Retro</v>
          </cell>
          <cell r="F94">
            <v>0.98376579376328033</v>
          </cell>
        </row>
        <row r="95">
          <cell r="B95" t="str">
            <v>WINDOW CL30 Prime Window Replacement of Single Pane Base - Retro</v>
          </cell>
          <cell r="C95">
            <v>0.95569674867310761</v>
          </cell>
          <cell r="D95">
            <v>0.84052050568853631</v>
          </cell>
          <cell r="F95">
            <v>0.98290327051721382</v>
          </cell>
        </row>
        <row r="96">
          <cell r="B96" t="str">
            <v>WINDOW CL30 Prime Window Replacement of Double Pane Base - Retro</v>
          </cell>
          <cell r="C96">
            <v>7.1991309673075765E-2</v>
          </cell>
          <cell r="D96">
            <v>0.17129805649810181</v>
          </cell>
          <cell r="F96">
            <v>0.99913039998781261</v>
          </cell>
        </row>
        <row r="97">
          <cell r="B97" t="str">
            <v>WINDOW CL22 Prime Window Replacement of Single Pane Base - Retro</v>
          </cell>
          <cell r="C97">
            <v>0.95569674867310761</v>
          </cell>
          <cell r="D97">
            <v>0.84052050568853631</v>
          </cell>
          <cell r="F97">
            <v>0.98290327051721382</v>
          </cell>
        </row>
        <row r="98">
          <cell r="B98" t="str">
            <v>WINDOW CL22 Prime Window Replacement of Double Pane Base - Retro</v>
          </cell>
          <cell r="C98">
            <v>7.1991309673075765E-2</v>
          </cell>
          <cell r="D98">
            <v>0.17129805649810181</v>
          </cell>
          <cell r="F98">
            <v>0.99913039998781261</v>
          </cell>
        </row>
        <row r="99">
          <cell r="B99" t="str">
            <v>CFM50 Infiltration Reduction - Retro</v>
          </cell>
          <cell r="C99">
            <v>0.3021611294127764</v>
          </cell>
          <cell r="F99">
            <v>0.91633344981828857</v>
          </cell>
        </row>
      </sheetData>
      <sheetData sheetId="7">
        <row r="8">
          <cell r="B8" t="str">
            <v>Single Family</v>
          </cell>
          <cell r="C8" t="str">
            <v>Multifamily - Low Rise</v>
          </cell>
          <cell r="D8" t="str">
            <v>Multifamily - High Rise</v>
          </cell>
          <cell r="E8" t="str">
            <v>Manufactured</v>
          </cell>
          <cell r="F8" t="str">
            <v>Non-Building Stock</v>
          </cell>
        </row>
        <row r="9">
          <cell r="B9" t="str">
            <v>Post2016</v>
          </cell>
          <cell r="C9" t="str">
            <v>Post2016</v>
          </cell>
          <cell r="D9" t="str">
            <v>Post2016</v>
          </cell>
          <cell r="E9" t="str">
            <v>Post2016</v>
          </cell>
          <cell r="F9" t="str">
            <v>Post2016</v>
          </cell>
        </row>
        <row r="10">
          <cell r="B10" t="str">
            <v>Pre2016</v>
          </cell>
          <cell r="C10" t="str">
            <v>Pre2016</v>
          </cell>
          <cell r="D10" t="str">
            <v>Pre2016</v>
          </cell>
          <cell r="E10" t="str">
            <v>Pre2016</v>
          </cell>
          <cell r="F10" t="str">
            <v>Pre2016</v>
          </cell>
        </row>
        <row r="11">
          <cell r="B11" t="str">
            <v>Pre2016</v>
          </cell>
          <cell r="C11" t="str">
            <v>Pre2016</v>
          </cell>
          <cell r="D11" t="str">
            <v>Pre2016</v>
          </cell>
          <cell r="E11" t="str">
            <v>Pre2016</v>
          </cell>
          <cell r="F11" t="str">
            <v>Pre2016</v>
          </cell>
        </row>
        <row r="12">
          <cell r="B12" t="str">
            <v>Post2016</v>
          </cell>
          <cell r="C12" t="str">
            <v>Post2016</v>
          </cell>
          <cell r="D12" t="str">
            <v>Post2016</v>
          </cell>
          <cell r="E12" t="str">
            <v>Post2016</v>
          </cell>
          <cell r="F12" t="str">
            <v>Post2016</v>
          </cell>
        </row>
        <row r="13">
          <cell r="B13" t="str">
            <v>Pre2016</v>
          </cell>
          <cell r="C13" t="str">
            <v>Pre2016</v>
          </cell>
          <cell r="D13" t="str">
            <v>Pre2016</v>
          </cell>
          <cell r="E13" t="str">
            <v>Pre2016</v>
          </cell>
          <cell r="F13" t="str">
            <v>Pre2016</v>
          </cell>
        </row>
        <row r="14">
          <cell r="B14" t="str">
            <v>Post2016</v>
          </cell>
          <cell r="C14" t="str">
            <v>Post2016</v>
          </cell>
          <cell r="D14" t="str">
            <v>Post2016</v>
          </cell>
          <cell r="E14" t="str">
            <v>Post2016</v>
          </cell>
          <cell r="F14" t="str">
            <v>Post2016</v>
          </cell>
        </row>
        <row r="15">
          <cell r="B15" t="str">
            <v>Pre2016</v>
          </cell>
          <cell r="C15" t="str">
            <v>Pre2016</v>
          </cell>
          <cell r="D15" t="str">
            <v>Pre2016</v>
          </cell>
          <cell r="E15" t="str">
            <v>Pre2016</v>
          </cell>
          <cell r="F15" t="str">
            <v>Pre2016</v>
          </cell>
        </row>
        <row r="16">
          <cell r="B16" t="str">
            <v>Post2016</v>
          </cell>
          <cell r="C16" t="str">
            <v>Post2016</v>
          </cell>
          <cell r="D16" t="str">
            <v>Post2016</v>
          </cell>
          <cell r="E16" t="str">
            <v>Post2016</v>
          </cell>
          <cell r="F16" t="str">
            <v>Post2016</v>
          </cell>
        </row>
        <row r="17">
          <cell r="B17" t="str">
            <v>Post2016</v>
          </cell>
          <cell r="C17" t="str">
            <v>Post2016</v>
          </cell>
          <cell r="D17" t="str">
            <v>Post2016</v>
          </cell>
          <cell r="E17" t="str">
            <v>Post2016</v>
          </cell>
          <cell r="F17" t="str">
            <v>Post2016</v>
          </cell>
        </row>
        <row r="18">
          <cell r="B18" t="str">
            <v>Pre2016</v>
          </cell>
          <cell r="C18" t="str">
            <v>Pre2016</v>
          </cell>
          <cell r="D18" t="str">
            <v>Pre2016</v>
          </cell>
          <cell r="E18" t="str">
            <v>Pre2016</v>
          </cell>
          <cell r="F18" t="str">
            <v>Pre2016</v>
          </cell>
        </row>
        <row r="19">
          <cell r="B19" t="str">
            <v>Post2016</v>
          </cell>
          <cell r="C19" t="str">
            <v>Post2016</v>
          </cell>
          <cell r="D19" t="str">
            <v>Post2016</v>
          </cell>
          <cell r="E19" t="str">
            <v>Post2016</v>
          </cell>
          <cell r="F19" t="str">
            <v>Post2016</v>
          </cell>
        </row>
        <row r="20">
          <cell r="B20" t="str">
            <v>Pre2016</v>
          </cell>
          <cell r="C20" t="str">
            <v>Pre2016</v>
          </cell>
          <cell r="D20" t="str">
            <v>Pre2016</v>
          </cell>
          <cell r="E20" t="str">
            <v>Pre2016</v>
          </cell>
          <cell r="F20" t="str">
            <v>Pre2016</v>
          </cell>
        </row>
        <row r="21">
          <cell r="B21" t="str">
            <v>Pre2016</v>
          </cell>
          <cell r="C21" t="str">
            <v>Pre2016</v>
          </cell>
          <cell r="D21" t="str">
            <v>Pre2016</v>
          </cell>
          <cell r="E21" t="str">
            <v>Pre2016</v>
          </cell>
          <cell r="F21" t="str">
            <v>Pre2016</v>
          </cell>
        </row>
        <row r="22">
          <cell r="B22" t="str">
            <v>Post2016</v>
          </cell>
          <cell r="C22" t="str">
            <v>Post2016</v>
          </cell>
          <cell r="D22" t="str">
            <v>Post2016</v>
          </cell>
          <cell r="E22" t="str">
            <v>Post2016</v>
          </cell>
          <cell r="F22" t="str">
            <v>Post2016</v>
          </cell>
        </row>
        <row r="23">
          <cell r="B23" t="str">
            <v>Pre2016</v>
          </cell>
          <cell r="C23" t="str">
            <v>Pre2016</v>
          </cell>
          <cell r="D23" t="str">
            <v>Pre2016</v>
          </cell>
          <cell r="E23" t="str">
            <v>Pre2016</v>
          </cell>
          <cell r="F23" t="str">
            <v>Pre2016</v>
          </cell>
        </row>
        <row r="24">
          <cell r="B24" t="str">
            <v>Post2016</v>
          </cell>
          <cell r="C24" t="str">
            <v>Post2016</v>
          </cell>
          <cell r="D24" t="str">
            <v>Post2016</v>
          </cell>
          <cell r="E24" t="str">
            <v>Post2016</v>
          </cell>
          <cell r="F24" t="str">
            <v>Post2016</v>
          </cell>
        </row>
        <row r="25">
          <cell r="B25" t="str">
            <v>Pre2016</v>
          </cell>
          <cell r="C25" t="str">
            <v>Pre2016</v>
          </cell>
          <cell r="D25" t="str">
            <v>Pre2016</v>
          </cell>
          <cell r="E25" t="str">
            <v>Pre2016</v>
          </cell>
          <cell r="F25" t="str">
            <v>Pre2016</v>
          </cell>
        </row>
        <row r="26">
          <cell r="B26" t="str">
            <v>Post2016</v>
          </cell>
          <cell r="C26" t="str">
            <v>Post2016</v>
          </cell>
          <cell r="D26" t="str">
            <v>Post2016</v>
          </cell>
          <cell r="E26" t="str">
            <v>Post2016</v>
          </cell>
          <cell r="F26" t="str">
            <v>Post2016</v>
          </cell>
        </row>
        <row r="27">
          <cell r="B27" t="str">
            <v>Pre2016</v>
          </cell>
          <cell r="C27" t="str">
            <v>Pre2016</v>
          </cell>
          <cell r="D27" t="str">
            <v>Pre2016</v>
          </cell>
          <cell r="E27" t="str">
            <v>Pre2016</v>
          </cell>
          <cell r="F27" t="str">
            <v>Pre2016</v>
          </cell>
        </row>
        <row r="28">
          <cell r="B28" t="str">
            <v>Post2016</v>
          </cell>
          <cell r="C28" t="str">
            <v>Post2016</v>
          </cell>
          <cell r="D28" t="str">
            <v>Post2016</v>
          </cell>
          <cell r="E28" t="str">
            <v>Post2016</v>
          </cell>
          <cell r="F28" t="str">
            <v>Post2016</v>
          </cell>
        </row>
        <row r="29">
          <cell r="B29" t="str">
            <v>Pre2016</v>
          </cell>
          <cell r="C29" t="str">
            <v>Pre2016</v>
          </cell>
          <cell r="D29" t="str">
            <v>Pre2016</v>
          </cell>
          <cell r="E29" t="str">
            <v>Pre2016</v>
          </cell>
          <cell r="F29" t="str">
            <v>Pre2016</v>
          </cell>
        </row>
        <row r="30">
          <cell r="B30" t="str">
            <v>Pre2016</v>
          </cell>
          <cell r="C30" t="str">
            <v>Pre2016</v>
          </cell>
          <cell r="D30" t="str">
            <v>Pre2016</v>
          </cell>
          <cell r="E30" t="str">
            <v>Pre2016</v>
          </cell>
          <cell r="F30" t="str">
            <v>Pre2016</v>
          </cell>
        </row>
        <row r="31">
          <cell r="B31" t="str">
            <v>Pre2016</v>
          </cell>
          <cell r="C31" t="str">
            <v>Pre2016</v>
          </cell>
          <cell r="D31" t="str">
            <v>Pre2016</v>
          </cell>
          <cell r="E31" t="str">
            <v>Pre2016</v>
          </cell>
          <cell r="F31" t="str">
            <v>Pre2016</v>
          </cell>
        </row>
        <row r="32">
          <cell r="B32" t="str">
            <v>Pre2016</v>
          </cell>
          <cell r="C32" t="str">
            <v>Pre2016</v>
          </cell>
          <cell r="D32" t="str">
            <v>Pre2016</v>
          </cell>
          <cell r="E32" t="str">
            <v>Pre2016</v>
          </cell>
          <cell r="F32" t="str">
            <v>Pre2016</v>
          </cell>
        </row>
        <row r="33">
          <cell r="B33" t="str">
            <v>Post2016</v>
          </cell>
          <cell r="C33" t="str">
            <v>Post2016</v>
          </cell>
          <cell r="D33" t="str">
            <v>Post2016</v>
          </cell>
          <cell r="E33" t="str">
            <v>Post2016</v>
          </cell>
          <cell r="F33" t="str">
            <v>Post2016</v>
          </cell>
        </row>
        <row r="34">
          <cell r="B34" t="str">
            <v>Pre2016</v>
          </cell>
          <cell r="C34" t="str">
            <v>Pre2016</v>
          </cell>
          <cell r="D34" t="str">
            <v>Pre2016</v>
          </cell>
          <cell r="E34" t="str">
            <v>Pre2016</v>
          </cell>
          <cell r="F34" t="str">
            <v>Pre2016</v>
          </cell>
        </row>
        <row r="35">
          <cell r="B35" t="str">
            <v>Post2016</v>
          </cell>
          <cell r="C35" t="str">
            <v>Post2016</v>
          </cell>
          <cell r="D35" t="str">
            <v>Post2016</v>
          </cell>
          <cell r="E35" t="str">
            <v>Post2016</v>
          </cell>
          <cell r="F35" t="str">
            <v>Post2016</v>
          </cell>
        </row>
        <row r="36">
          <cell r="B36" t="str">
            <v>Pre2016</v>
          </cell>
          <cell r="C36" t="str">
            <v>Pre2016</v>
          </cell>
          <cell r="D36" t="str">
            <v>Pre2016</v>
          </cell>
          <cell r="E36" t="str">
            <v>Pre2016</v>
          </cell>
          <cell r="F36" t="str">
            <v>Pre2016</v>
          </cell>
        </row>
        <row r="37">
          <cell r="B37" t="str">
            <v>Post2016</v>
          </cell>
          <cell r="C37" t="str">
            <v>Post2016</v>
          </cell>
          <cell r="D37" t="str">
            <v>Post2016</v>
          </cell>
          <cell r="E37" t="str">
            <v>Post2016</v>
          </cell>
          <cell r="F37" t="str">
            <v>Post2016</v>
          </cell>
        </row>
        <row r="38">
          <cell r="B38" t="str">
            <v>Pre2016</v>
          </cell>
          <cell r="C38" t="str">
            <v>Pre2016</v>
          </cell>
          <cell r="D38" t="str">
            <v>Pre2016</v>
          </cell>
          <cell r="E38" t="str">
            <v>Pre2016</v>
          </cell>
          <cell r="F38" t="str">
            <v>Pre2016</v>
          </cell>
        </row>
        <row r="39">
          <cell r="B39" t="str">
            <v>Post2016</v>
          </cell>
          <cell r="C39" t="str">
            <v>Post2016</v>
          </cell>
          <cell r="D39" t="str">
            <v>Post2016</v>
          </cell>
          <cell r="E39" t="str">
            <v>Post2016</v>
          </cell>
          <cell r="F39" t="str">
            <v>Post2016</v>
          </cell>
        </row>
        <row r="40">
          <cell r="B40" t="str">
            <v>Pre2016</v>
          </cell>
          <cell r="C40" t="str">
            <v>Pre2016</v>
          </cell>
          <cell r="D40" t="str">
            <v>Pre2016</v>
          </cell>
          <cell r="E40" t="str">
            <v>Pre2016</v>
          </cell>
          <cell r="F40" t="str">
            <v>Pre2016</v>
          </cell>
        </row>
        <row r="41">
          <cell r="B41" t="str">
            <v>Post2016</v>
          </cell>
          <cell r="C41" t="str">
            <v>Post2016</v>
          </cell>
          <cell r="D41" t="str">
            <v>Post2016</v>
          </cell>
          <cell r="E41" t="str">
            <v>Post2016</v>
          </cell>
          <cell r="F41" t="str">
            <v>Post2016</v>
          </cell>
        </row>
        <row r="42">
          <cell r="B42" t="str">
            <v>Pre2016</v>
          </cell>
          <cell r="C42" t="str">
            <v>Pre2016</v>
          </cell>
          <cell r="D42" t="str">
            <v>Pre2016</v>
          </cell>
          <cell r="E42" t="str">
            <v>Pre2016</v>
          </cell>
          <cell r="F42" t="str">
            <v>Pre2016</v>
          </cell>
        </row>
        <row r="43">
          <cell r="B43" t="str">
            <v>Post2016</v>
          </cell>
          <cell r="C43" t="str">
            <v>Post2016</v>
          </cell>
          <cell r="D43" t="str">
            <v>Post2016</v>
          </cell>
          <cell r="E43" t="str">
            <v>Post2016</v>
          </cell>
          <cell r="F43" t="str">
            <v>Post2016</v>
          </cell>
        </row>
        <row r="44">
          <cell r="B44" t="str">
            <v>Pre2016</v>
          </cell>
          <cell r="C44" t="str">
            <v>Pre2016</v>
          </cell>
          <cell r="D44" t="str">
            <v>Pre2016</v>
          </cell>
          <cell r="E44" t="str">
            <v>Pre2016</v>
          </cell>
          <cell r="F44" t="str">
            <v>Pre2016</v>
          </cell>
        </row>
        <row r="45">
          <cell r="B45" t="str">
            <v>Post2016</v>
          </cell>
          <cell r="C45" t="str">
            <v>Post2016</v>
          </cell>
          <cell r="D45" t="str">
            <v>Post2016</v>
          </cell>
          <cell r="E45" t="str">
            <v>Post2016</v>
          </cell>
          <cell r="F45" t="str">
            <v>Post2016</v>
          </cell>
        </row>
        <row r="46">
          <cell r="B46" t="str">
            <v>Pre2016</v>
          </cell>
          <cell r="C46" t="str">
            <v>Pre2016</v>
          </cell>
          <cell r="D46" t="str">
            <v>Pre2016</v>
          </cell>
          <cell r="E46" t="str">
            <v>Pre2016</v>
          </cell>
          <cell r="F46" t="str">
            <v>Pre2016</v>
          </cell>
        </row>
        <row r="47">
          <cell r="B47" t="str">
            <v>Pre2016</v>
          </cell>
          <cell r="C47" t="str">
            <v>Pre2016</v>
          </cell>
          <cell r="D47" t="str">
            <v>Pre2016</v>
          </cell>
          <cell r="E47" t="str">
            <v>Pre2016</v>
          </cell>
          <cell r="F47" t="str">
            <v>Pre2016</v>
          </cell>
        </row>
        <row r="48">
          <cell r="B48" t="str">
            <v>Post2016</v>
          </cell>
          <cell r="C48" t="str">
            <v>Post2016</v>
          </cell>
          <cell r="D48" t="str">
            <v>Post2016</v>
          </cell>
          <cell r="E48" t="str">
            <v>Post2016</v>
          </cell>
          <cell r="F48" t="str">
            <v>Post2016</v>
          </cell>
        </row>
        <row r="49">
          <cell r="B49" t="str">
            <v>Pre2016</v>
          </cell>
          <cell r="C49" t="str">
            <v>Pre2016</v>
          </cell>
          <cell r="D49" t="str">
            <v>Pre2016</v>
          </cell>
          <cell r="E49" t="str">
            <v>Pre2016</v>
          </cell>
          <cell r="F49" t="str">
            <v>Pre2016</v>
          </cell>
        </row>
        <row r="50">
          <cell r="B50" t="str">
            <v>Pre2016</v>
          </cell>
          <cell r="C50" t="str">
            <v>Pre2016</v>
          </cell>
          <cell r="D50" t="str">
            <v>Pre2016</v>
          </cell>
          <cell r="E50" t="str">
            <v>Pre2016</v>
          </cell>
          <cell r="F50" t="str">
            <v>Pre2016</v>
          </cell>
        </row>
        <row r="51">
          <cell r="B51" t="str">
            <v>Post2016</v>
          </cell>
          <cell r="C51" t="str">
            <v>Post2016</v>
          </cell>
          <cell r="D51" t="str">
            <v>Post2016</v>
          </cell>
          <cell r="E51" t="str">
            <v>Post2016</v>
          </cell>
          <cell r="F51" t="str">
            <v>Post2016</v>
          </cell>
        </row>
        <row r="52">
          <cell r="B52" t="str">
            <v>Pre2016</v>
          </cell>
          <cell r="C52" t="str">
            <v>Pre2016</v>
          </cell>
          <cell r="D52" t="str">
            <v>Pre2016</v>
          </cell>
          <cell r="E52" t="str">
            <v>Pre2016</v>
          </cell>
          <cell r="F52" t="str">
            <v>Pre2016</v>
          </cell>
        </row>
        <row r="53">
          <cell r="B53" t="str">
            <v>Post2016</v>
          </cell>
          <cell r="C53" t="str">
            <v>Post2016</v>
          </cell>
          <cell r="D53" t="str">
            <v>Post2016</v>
          </cell>
          <cell r="E53" t="str">
            <v>Post2016</v>
          </cell>
          <cell r="F53" t="str">
            <v>Post2016</v>
          </cell>
        </row>
        <row r="54">
          <cell r="B54" t="str">
            <v>Pre2016</v>
          </cell>
          <cell r="C54" t="str">
            <v>Pre2016</v>
          </cell>
          <cell r="D54" t="str">
            <v>Pre2016</v>
          </cell>
          <cell r="E54" t="str">
            <v>Pre2016</v>
          </cell>
          <cell r="F54" t="str">
            <v>Pre2016</v>
          </cell>
        </row>
        <row r="55">
          <cell r="B55" t="str">
            <v>Post2016</v>
          </cell>
          <cell r="C55" t="str">
            <v>Post2016</v>
          </cell>
          <cell r="D55" t="str">
            <v>Post2016</v>
          </cell>
          <cell r="E55" t="str">
            <v>Post2016</v>
          </cell>
          <cell r="F55" t="str">
            <v>Post2016</v>
          </cell>
        </row>
        <row r="56">
          <cell r="B56" t="str">
            <v>Pre2016</v>
          </cell>
          <cell r="C56" t="str">
            <v>Pre2016</v>
          </cell>
          <cell r="D56" t="str">
            <v>Pre2016</v>
          </cell>
          <cell r="E56" t="str">
            <v>Pre2016</v>
          </cell>
          <cell r="F56" t="str">
            <v>Pre2016</v>
          </cell>
        </row>
        <row r="57">
          <cell r="B57" t="str">
            <v>Pre2016</v>
          </cell>
          <cell r="C57" t="str">
            <v>Pre2016</v>
          </cell>
          <cell r="D57" t="str">
            <v>Pre2016</v>
          </cell>
          <cell r="E57" t="str">
            <v>Pre2016</v>
          </cell>
          <cell r="F57" t="str">
            <v>Pre2016</v>
          </cell>
        </row>
        <row r="58">
          <cell r="B58" t="str">
            <v>Post2016</v>
          </cell>
          <cell r="C58" t="str">
            <v>Post2016</v>
          </cell>
          <cell r="D58" t="str">
            <v>Post2016</v>
          </cell>
          <cell r="E58" t="str">
            <v>Post2016</v>
          </cell>
          <cell r="F58" t="str">
            <v>Post2016</v>
          </cell>
        </row>
        <row r="59">
          <cell r="B59" t="str">
            <v>Pre2016</v>
          </cell>
          <cell r="C59" t="str">
            <v>Pre2016</v>
          </cell>
          <cell r="D59" t="str">
            <v>Pre2016</v>
          </cell>
          <cell r="E59" t="str">
            <v>Pre2016</v>
          </cell>
          <cell r="F59" t="str">
            <v>Pre2016</v>
          </cell>
        </row>
        <row r="60">
          <cell r="B60" t="str">
            <v>Pre2016</v>
          </cell>
          <cell r="C60" t="str">
            <v>Pre2016</v>
          </cell>
          <cell r="D60" t="str">
            <v>Pre2016</v>
          </cell>
          <cell r="E60" t="str">
            <v>Pre2016</v>
          </cell>
          <cell r="F60" t="str">
            <v>Pre2016</v>
          </cell>
        </row>
        <row r="61">
          <cell r="B61" t="str">
            <v>Post2016</v>
          </cell>
          <cell r="C61" t="str">
            <v>Post2016</v>
          </cell>
          <cell r="D61" t="str">
            <v>Post2016</v>
          </cell>
          <cell r="E61" t="str">
            <v>Post2016</v>
          </cell>
          <cell r="F61" t="str">
            <v>Post2016</v>
          </cell>
        </row>
        <row r="62">
          <cell r="B62" t="str">
            <v>Pre2016</v>
          </cell>
          <cell r="C62" t="str">
            <v>Pre2016</v>
          </cell>
          <cell r="D62" t="str">
            <v>Pre2016</v>
          </cell>
          <cell r="E62" t="str">
            <v>Pre2016</v>
          </cell>
          <cell r="F62" t="str">
            <v>Pre2016</v>
          </cell>
        </row>
        <row r="63">
          <cell r="B63" t="str">
            <v>Post2016</v>
          </cell>
          <cell r="C63" t="str">
            <v>Post2016</v>
          </cell>
          <cell r="D63" t="str">
            <v>Post2016</v>
          </cell>
          <cell r="E63" t="str">
            <v>Post2016</v>
          </cell>
          <cell r="F63" t="str">
            <v>Post2016</v>
          </cell>
        </row>
        <row r="64">
          <cell r="B64" t="str">
            <v>Post2016</v>
          </cell>
          <cell r="C64" t="str">
            <v>Post2016</v>
          </cell>
          <cell r="D64" t="str">
            <v>Post2016</v>
          </cell>
          <cell r="E64" t="str">
            <v>Post2016</v>
          </cell>
          <cell r="F64" t="str">
            <v>Post2016</v>
          </cell>
        </row>
        <row r="65">
          <cell r="B65" t="str">
            <v>Pre2016</v>
          </cell>
          <cell r="C65" t="str">
            <v>Pre2016</v>
          </cell>
          <cell r="D65" t="str">
            <v>Pre2016</v>
          </cell>
          <cell r="E65" t="str">
            <v>Pre2016</v>
          </cell>
          <cell r="F65" t="str">
            <v>Pre2016</v>
          </cell>
        </row>
        <row r="66">
          <cell r="B66" t="str">
            <v>Pre2016</v>
          </cell>
          <cell r="C66" t="str">
            <v>Pre2016</v>
          </cell>
          <cell r="D66" t="str">
            <v>Pre2016</v>
          </cell>
          <cell r="E66" t="str">
            <v>Pre2016</v>
          </cell>
          <cell r="F66" t="str">
            <v>Pre2016</v>
          </cell>
        </row>
        <row r="67">
          <cell r="B67" t="str">
            <v>Post2016</v>
          </cell>
          <cell r="C67" t="str">
            <v>Post2016</v>
          </cell>
          <cell r="D67" t="str">
            <v>Post2016</v>
          </cell>
          <cell r="E67" t="str">
            <v>Post2016</v>
          </cell>
          <cell r="F67" t="str">
            <v>Post2016</v>
          </cell>
        </row>
        <row r="68">
          <cell r="B68" t="str">
            <v>Pre2016</v>
          </cell>
          <cell r="C68" t="str">
            <v>Pre2016</v>
          </cell>
          <cell r="D68" t="str">
            <v>Pre2016</v>
          </cell>
          <cell r="E68" t="str">
            <v>Pre2016</v>
          </cell>
          <cell r="F68" t="str">
            <v>Pre2016</v>
          </cell>
        </row>
        <row r="69">
          <cell r="B69" t="str">
            <v>Post2016</v>
          </cell>
          <cell r="C69" t="str">
            <v>Post2016</v>
          </cell>
          <cell r="D69" t="str">
            <v>Post2016</v>
          </cell>
          <cell r="E69" t="str">
            <v>Post2016</v>
          </cell>
          <cell r="F69" t="str">
            <v>Post2016</v>
          </cell>
        </row>
        <row r="70">
          <cell r="B70" t="str">
            <v>Pre2016</v>
          </cell>
          <cell r="C70" t="str">
            <v>Pre2016</v>
          </cell>
          <cell r="D70" t="str">
            <v>Pre2016</v>
          </cell>
          <cell r="E70" t="str">
            <v>Pre2016</v>
          </cell>
          <cell r="F70" t="str">
            <v>Pre2016</v>
          </cell>
        </row>
        <row r="71">
          <cell r="B71" t="str">
            <v>Pre2016</v>
          </cell>
          <cell r="C71" t="str">
            <v>Pre2016</v>
          </cell>
          <cell r="D71" t="str">
            <v>Pre2016</v>
          </cell>
          <cell r="E71" t="str">
            <v>Pre2016</v>
          </cell>
          <cell r="F71" t="str">
            <v>Pre2016</v>
          </cell>
        </row>
        <row r="72">
          <cell r="B72" t="str">
            <v>Pre2016</v>
          </cell>
          <cell r="C72" t="str">
            <v>Pre2016</v>
          </cell>
          <cell r="D72" t="str">
            <v>Pre2016</v>
          </cell>
          <cell r="E72" t="str">
            <v>Pre2016</v>
          </cell>
          <cell r="F72" t="str">
            <v>Pre2016</v>
          </cell>
        </row>
        <row r="73">
          <cell r="B73" t="str">
            <v>Post2016</v>
          </cell>
          <cell r="C73" t="str">
            <v>Post2016</v>
          </cell>
          <cell r="D73" t="str">
            <v>Post2016</v>
          </cell>
          <cell r="E73" t="str">
            <v>Post2016</v>
          </cell>
          <cell r="F73" t="str">
            <v>Post2016</v>
          </cell>
        </row>
        <row r="74">
          <cell r="B74" t="str">
            <v>Pre2016</v>
          </cell>
          <cell r="C74" t="str">
            <v>Pre2016</v>
          </cell>
          <cell r="D74" t="str">
            <v>Pre2016</v>
          </cell>
          <cell r="E74" t="str">
            <v>Pre2016</v>
          </cell>
          <cell r="F74" t="str">
            <v>Pre2016</v>
          </cell>
        </row>
        <row r="77">
          <cell r="B77" t="str">
            <v>Pre2016</v>
          </cell>
          <cell r="C77" t="str">
            <v>Pre2016</v>
          </cell>
          <cell r="D77" t="str">
            <v>Pre2016</v>
          </cell>
          <cell r="E77" t="str">
            <v>Pre2016</v>
          </cell>
          <cell r="F77" t="str">
            <v>Pre2016</v>
          </cell>
        </row>
      </sheetData>
      <sheetData sheetId="8">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8">
          <cell r="C8" t="str">
            <v>LO3Slow</v>
          </cell>
          <cell r="D8">
            <v>5.5320496977002724E-3</v>
          </cell>
          <cell r="E8">
            <v>1.4227918344261844E-2</v>
          </cell>
          <cell r="F8">
            <v>3.1619655637384989E-2</v>
          </cell>
        </row>
        <row r="9">
          <cell r="C9" t="str">
            <v>Retro12Med</v>
          </cell>
          <cell r="D9">
            <v>0.10937459468255628</v>
          </cell>
          <cell r="E9">
            <v>0.10937459468255628</v>
          </cell>
          <cell r="F9">
            <v>0.10937459468255628</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Electronics</v>
          </cell>
          <cell r="B85" t="str">
            <v>Advanced Power Strips - New</v>
          </cell>
          <cell r="C85" t="str">
            <v>LO5Med</v>
          </cell>
          <cell r="D85">
            <v>4.2999999999999997E-2</v>
          </cell>
          <cell r="E85">
            <v>9.5797142280278316E-2</v>
          </cell>
          <cell r="F85">
            <v>0.16040539374775648</v>
          </cell>
          <cell r="G85">
            <v>0.23540539374775649</v>
          </cell>
          <cell r="H85">
            <v>0.32095239121809005</v>
          </cell>
          <cell r="I85">
            <v>0.42096711425629652</v>
          </cell>
          <cell r="J85">
            <v>0.53068481860864725</v>
          </cell>
          <cell r="K85">
            <v>0.642769203728351</v>
          </cell>
          <cell r="L85">
            <v>0.74839528535557953</v>
          </cell>
          <cell r="M85">
            <v>0.83918984935345187</v>
          </cell>
          <cell r="N85">
            <v>0.90945051634530116</v>
          </cell>
          <cell r="O85">
            <v>0.9576688767502457</v>
          </cell>
          <cell r="P85">
            <v>0.9865231113648858</v>
          </cell>
          <cell r="Q85">
            <v>1.0012970762896924</v>
          </cell>
          <cell r="R85">
            <v>1.0076356106578106</v>
          </cell>
          <cell r="S85">
            <v>1.0098624683774413</v>
          </cell>
          <cell r="T85">
            <v>1.0104871783970797</v>
          </cell>
          <cell r="U85">
            <v>1.010623336815976</v>
          </cell>
          <cell r="V85">
            <v>1.0106457174525985</v>
          </cell>
          <cell r="W85">
            <v>1.0106484038909742</v>
          </cell>
        </row>
        <row r="86">
          <cell r="A86" t="str">
            <v>Electronics</v>
          </cell>
          <cell r="B86" t="str">
            <v>Advanced Power Strips - 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row>
      </sheetData>
      <sheetData sheetId="10">
        <row r="9">
          <cell r="B9" t="str">
            <v>Measure Index Name</v>
          </cell>
          <cell r="C9" t="str">
            <v>Adjustments Made to Conservation Assessment for Code conditions</v>
          </cell>
        </row>
        <row r="10">
          <cell r="B10" t="str">
            <v>Lighting - New</v>
          </cell>
        </row>
        <row r="11">
          <cell r="B11" t="str">
            <v>Lighting - NR</v>
          </cell>
        </row>
        <row r="12">
          <cell r="B12" t="str">
            <v>Lighting - PPA</v>
          </cell>
        </row>
        <row r="13">
          <cell r="B13" t="str">
            <v>Dishwasher - New</v>
          </cell>
        </row>
        <row r="14">
          <cell r="B14" t="str">
            <v>Dishwasher - NR</v>
          </cell>
        </row>
        <row r="15">
          <cell r="B15" t="str">
            <v>Clothes Washer - New</v>
          </cell>
        </row>
        <row r="16">
          <cell r="B16" t="str">
            <v>Clothes Washer - NR</v>
          </cell>
        </row>
        <row r="17">
          <cell r="B17" t="str">
            <v>WasteWater Heat Recovery - New</v>
          </cell>
        </row>
        <row r="18">
          <cell r="B18" t="str">
            <v>Showerheads - New</v>
          </cell>
        </row>
        <row r="19">
          <cell r="B19" t="str">
            <v>Showerheads - Retro</v>
          </cell>
        </row>
        <row r="20">
          <cell r="B20" t="str">
            <v>HPWH - New</v>
          </cell>
        </row>
        <row r="21">
          <cell r="B21" t="str">
            <v>HPWH - NR</v>
          </cell>
        </row>
        <row r="22">
          <cell r="B22" t="str">
            <v>EV Supply Equip - NR</v>
          </cell>
        </row>
        <row r="23">
          <cell r="B23" t="str">
            <v>Clothes Dryer - New</v>
          </cell>
        </row>
        <row r="24">
          <cell r="B24" t="str">
            <v>Clothes Dryer - NR</v>
          </cell>
        </row>
        <row r="25">
          <cell r="B25" t="str">
            <v>Refrigerator - New</v>
          </cell>
        </row>
        <row r="26">
          <cell r="B26" t="str">
            <v>Refrigerator - NR</v>
          </cell>
        </row>
        <row r="27">
          <cell r="B27" t="str">
            <v>Freezer - New</v>
          </cell>
        </row>
        <row r="28">
          <cell r="B28" t="str">
            <v>Freezer - NR</v>
          </cell>
        </row>
        <row r="29">
          <cell r="B29" t="str">
            <v>Solar Water Heater - New</v>
          </cell>
        </row>
        <row r="30">
          <cell r="B30" t="str">
            <v>Solar Water Heater - NR</v>
          </cell>
        </row>
        <row r="31">
          <cell r="B31" t="str">
            <v>Solar Water Heater - Retro</v>
          </cell>
        </row>
        <row r="32">
          <cell r="B32">
            <v>0</v>
          </cell>
        </row>
        <row r="33">
          <cell r="B33">
            <v>0</v>
          </cell>
        </row>
        <row r="34">
          <cell r="B34" t="str">
            <v>Microwave - New</v>
          </cell>
        </row>
        <row r="35">
          <cell r="B35" t="str">
            <v>Microwave - NR</v>
          </cell>
        </row>
        <row r="36">
          <cell r="B36" t="str">
            <v>Monitor - New</v>
          </cell>
        </row>
        <row r="37">
          <cell r="B37" t="str">
            <v>Monitor - NR</v>
          </cell>
        </row>
        <row r="38">
          <cell r="B38" t="str">
            <v>Desktop - New</v>
          </cell>
        </row>
        <row r="39">
          <cell r="B39" t="str">
            <v>Desktop - NR</v>
          </cell>
        </row>
        <row r="40">
          <cell r="B40" t="str">
            <v>Laptop - New</v>
          </cell>
        </row>
        <row r="41">
          <cell r="B41" t="str">
            <v>Laptop - NR</v>
          </cell>
        </row>
        <row r="42">
          <cell r="B42" t="str">
            <v>Computer - New</v>
          </cell>
        </row>
        <row r="43">
          <cell r="B43" t="str">
            <v>Computer - NR</v>
          </cell>
        </row>
        <row r="44">
          <cell r="B44" t="str">
            <v>ASHP - New</v>
          </cell>
        </row>
        <row r="45">
          <cell r="B45" t="str">
            <v>ASHP - NR</v>
          </cell>
        </row>
        <row r="46">
          <cell r="B46" t="str">
            <v>HP - Retro</v>
          </cell>
        </row>
        <row r="47">
          <cell r="B47" t="str">
            <v>DHP - New</v>
          </cell>
        </row>
        <row r="48">
          <cell r="B48" t="str">
            <v>DHP - NR</v>
          </cell>
        </row>
        <row r="49">
          <cell r="B49" t="str">
            <v>DHP - Retro</v>
          </cell>
        </row>
        <row r="50">
          <cell r="B50" t="str">
            <v>Duct Sealing - New</v>
          </cell>
        </row>
        <row r="51">
          <cell r="B51" t="str">
            <v>Duct Sealing - Retro</v>
          </cell>
        </row>
        <row r="52">
          <cell r="B52" t="str">
            <v>WIFI enabled tstats - New</v>
          </cell>
        </row>
        <row r="53">
          <cell r="B53" t="str">
            <v>WIFI enabled tstats - Retro</v>
          </cell>
        </row>
        <row r="54">
          <cell r="B54" t="str">
            <v>Combo DHP/HPWH units - New</v>
          </cell>
        </row>
        <row r="55">
          <cell r="B55" t="str">
            <v>Combo DHP/HPWH units - NR</v>
          </cell>
        </row>
        <row r="56">
          <cell r="B56" t="str">
            <v>Combo DHP/HPWH units - Retro</v>
          </cell>
        </row>
        <row r="57">
          <cell r="B57" t="str">
            <v>Aerator - New</v>
          </cell>
        </row>
        <row r="58">
          <cell r="B58" t="str">
            <v>Aerator - Retro</v>
          </cell>
        </row>
        <row r="59">
          <cell r="B59" t="str">
            <v>Behavior - Retro</v>
          </cell>
        </row>
        <row r="60">
          <cell r="B60" t="str">
            <v>Behavior - New</v>
          </cell>
        </row>
        <row r="61">
          <cell r="B61">
            <v>0</v>
          </cell>
        </row>
        <row r="62">
          <cell r="B62" t="str">
            <v>Heat Recovery Ventilation - New</v>
          </cell>
        </row>
        <row r="63">
          <cell r="B63" t="str">
            <v>GSHP - New</v>
          </cell>
        </row>
        <row r="64">
          <cell r="B64" t="str">
            <v>GSHP - NR</v>
          </cell>
        </row>
        <row r="65">
          <cell r="B65">
            <v>0</v>
          </cell>
        </row>
        <row r="66">
          <cell r="B66" t="str">
            <v>ECM for HVAC ventilation - New</v>
          </cell>
        </row>
        <row r="67">
          <cell r="B67" t="str">
            <v>ECM for HVAC ventilation - NR</v>
          </cell>
        </row>
        <row r="68">
          <cell r="B68" t="str">
            <v>Whole house/attic fan - New</v>
          </cell>
        </row>
        <row r="69">
          <cell r="B69" t="str">
            <v>Whole house/attic fan - Retro</v>
          </cell>
        </row>
        <row r="70">
          <cell r="B70" t="str">
            <v>WH Pipe insulation - Retro</v>
          </cell>
        </row>
        <row r="71">
          <cell r="B71" t="str">
            <v>DHP Ducted - NR</v>
          </cell>
        </row>
        <row r="72">
          <cell r="B72" t="str">
            <v>Advanced Power Strips - New</v>
          </cell>
        </row>
        <row r="73">
          <cell r="B73" t="str">
            <v>Advanced Power Strips - Retro</v>
          </cell>
        </row>
        <row r="74">
          <cell r="B74" t="str">
            <v>ResWx - Retro</v>
          </cell>
        </row>
        <row r="75">
          <cell r="B75" t="str">
            <v>ATTIC R0 - R19 - Retro</v>
          </cell>
        </row>
        <row r="76">
          <cell r="B76" t="str">
            <v>ATTIC R0 - R38 - Retro</v>
          </cell>
        </row>
        <row r="77">
          <cell r="B77" t="str">
            <v>ATTIC R0 - R49 - Retro</v>
          </cell>
        </row>
        <row r="78">
          <cell r="B78" t="str">
            <v>ATTIC R11 - R38 - Retro</v>
          </cell>
        </row>
        <row r="79">
          <cell r="B79" t="str">
            <v>ATTIC R11 - R49 - Retro</v>
          </cell>
        </row>
        <row r="80">
          <cell r="B80" t="str">
            <v>ATTIC R19 - R30 - Retro</v>
          </cell>
        </row>
        <row r="81">
          <cell r="B81" t="str">
            <v>ATTIC R19 - R38 - Retro</v>
          </cell>
        </row>
        <row r="82">
          <cell r="B82" t="str">
            <v>ATTIC R19 - R49 - Retro</v>
          </cell>
        </row>
        <row r="83">
          <cell r="B83" t="str">
            <v>WALL R0 - R11 - Retro</v>
          </cell>
        </row>
        <row r="84">
          <cell r="B84" t="str">
            <v>FLOOR R0 - R19 - Retro</v>
          </cell>
        </row>
        <row r="85">
          <cell r="B85" t="str">
            <v>FLOOR R0 - R25 - Retro</v>
          </cell>
        </row>
        <row r="86">
          <cell r="B86" t="str">
            <v>FLOOR R0 - R30 - Retro</v>
          </cell>
        </row>
        <row r="87">
          <cell r="B87" t="str">
            <v>WINDOW CL30 Prime Window Replacement of Single Pane Base - Retro</v>
          </cell>
        </row>
        <row r="88">
          <cell r="B88" t="str">
            <v>WINDOW CL30 Prime Window Replacement of Double Pane Base - Retro</v>
          </cell>
        </row>
        <row r="89">
          <cell r="B89" t="e">
            <v>#REF!</v>
          </cell>
        </row>
        <row r="90">
          <cell r="B90" t="str">
            <v>WINDOW CL22 Prime Window Replacement of Single Pane Base - Retro</v>
          </cell>
        </row>
        <row r="91">
          <cell r="B91" t="str">
            <v>WINDOW CL22 Prime Window Replacement of Double Pane Base - Retro</v>
          </cell>
        </row>
        <row r="92">
          <cell r="B92" t="e">
            <v>#REF!</v>
          </cell>
        </row>
        <row r="93">
          <cell r="B93" t="str">
            <v>CFM50 Infiltration Reduction - Retro</v>
          </cell>
        </row>
        <row r="94">
          <cell r="B94" t="str">
            <v>Controls Commissioning and Sizing - New</v>
          </cell>
        </row>
        <row r="95">
          <cell r="B95" t="str">
            <v>Controls Commissioning and Sizing - NR</v>
          </cell>
        </row>
        <row r="96">
          <cell r="B96">
            <v>0</v>
          </cell>
        </row>
      </sheetData>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sheetData>
      <sheetData sheetId="12">
        <row r="8">
          <cell r="B8" t="str">
            <v>Multifamily - Low Rise</v>
          </cell>
        </row>
        <row r="9">
          <cell r="B9" t="str">
            <v>Multifamily - High Rise</v>
          </cell>
        </row>
        <row r="10">
          <cell r="B10" t="str">
            <v>Manufactured</v>
          </cell>
        </row>
        <row r="12">
          <cell r="C12">
            <v>0</v>
          </cell>
          <cell r="D12">
            <v>0</v>
          </cell>
          <cell r="E12">
            <v>0</v>
          </cell>
          <cell r="F12">
            <v>0</v>
          </cell>
        </row>
      </sheetData>
      <sheetData sheetId="13">
        <row r="8">
          <cell r="B8" t="str">
            <v>forced air furnace saturation in heating zone 2&amp;3 cooling zone 1</v>
          </cell>
          <cell r="C8">
            <v>3</v>
          </cell>
        </row>
        <row r="9">
          <cell r="B9" t="str">
            <v>forced air furnace saturation in heating zone 2&amp;3 cooling zone 2&amp;3</v>
          </cell>
          <cell r="C9">
            <v>4</v>
          </cell>
        </row>
        <row r="10">
          <cell r="B10" t="str">
            <v>forced air furnace saturation in heating zone 1</v>
          </cell>
          <cell r="C10">
            <v>5</v>
          </cell>
        </row>
        <row r="11">
          <cell r="B11" t="str">
            <v>forced air furnace saturation in heating zone 2&amp;3</v>
          </cell>
          <cell r="C11">
            <v>6</v>
          </cell>
        </row>
        <row r="12">
          <cell r="B12" t="str">
            <v>forced air furnace saturation across region</v>
          </cell>
        </row>
        <row r="13">
          <cell r="B13" t="str">
            <v>forced air furnace saturation w/CAC in heating zone 1 cooling zone 1</v>
          </cell>
          <cell r="C13">
            <v>8</v>
          </cell>
        </row>
        <row r="14">
          <cell r="B14" t="str">
            <v>forced air furnace saturation w/CAC in heating zone 1 cooling zone 2&amp;3</v>
          </cell>
          <cell r="C14">
            <v>9</v>
          </cell>
        </row>
        <row r="15">
          <cell r="B15" t="str">
            <v>forced air furnace saturation w/CAC in heating zone 2&amp;3 cooling zone 1</v>
          </cell>
          <cell r="C15">
            <v>10</v>
          </cell>
        </row>
        <row r="16">
          <cell r="B16" t="str">
            <v>forced air furnace saturation w/CAC in heating zone 2&amp;3 cooling zone 2&amp;3</v>
          </cell>
          <cell r="C16">
            <v>11</v>
          </cell>
        </row>
        <row r="17">
          <cell r="B17" t="str">
            <v>air source heat pump saturation in heating zone 1 cooling zone 1</v>
          </cell>
          <cell r="C17">
            <v>12</v>
          </cell>
        </row>
        <row r="18">
          <cell r="B18" t="str">
            <v>air source heat pump saturation in heating zone 1 cooling zone 2&amp;3</v>
          </cell>
          <cell r="C18">
            <v>13</v>
          </cell>
        </row>
        <row r="19">
          <cell r="B19" t="str">
            <v>air source heat pump saturation in heating zone 2&amp;3 cooling zone 1</v>
          </cell>
          <cell r="C19">
            <v>14</v>
          </cell>
        </row>
        <row r="20">
          <cell r="B20" t="str">
            <v>air source heat pump saturation in heating zone 2&amp;3 cooling zone 2&amp;3</v>
          </cell>
          <cell r="C20">
            <v>15</v>
          </cell>
        </row>
        <row r="21">
          <cell r="B21" t="str">
            <v>air source heat pump saturation in heating zone 1</v>
          </cell>
        </row>
        <row r="22">
          <cell r="B22" t="str">
            <v>air source heat pump saturation in heating zone 2&amp;3</v>
          </cell>
        </row>
        <row r="23">
          <cell r="B23" t="str">
            <v>air source heat pump saturation across region</v>
          </cell>
        </row>
        <row r="24">
          <cell r="B24" t="str">
            <v>forced air furnace saturation in heating zone 1 cooling zone 1</v>
          </cell>
          <cell r="C24">
            <v>19</v>
          </cell>
        </row>
        <row r="25">
          <cell r="B25" t="str">
            <v>forced air furnace saturation in heating zone 1 cooling zone 2&amp;3</v>
          </cell>
          <cell r="C25">
            <v>20</v>
          </cell>
        </row>
        <row r="26">
          <cell r="B26" t="str">
            <v>forced air furnace saturation in heating zone 2&amp;3 cooling zone 1</v>
          </cell>
          <cell r="C26">
            <v>21</v>
          </cell>
        </row>
        <row r="27">
          <cell r="B27" t="str">
            <v>forced air furnace saturation in heating zone 2&amp;3 cooling zone 2&amp;3</v>
          </cell>
          <cell r="C27">
            <v>22</v>
          </cell>
        </row>
        <row r="28">
          <cell r="B28" t="str">
            <v>forced air furnace saturation in heating zone 1</v>
          </cell>
          <cell r="C28">
            <v>23</v>
          </cell>
        </row>
        <row r="29">
          <cell r="B29" t="str">
            <v>forced air furnace saturation in heating zone 2&amp;3</v>
          </cell>
          <cell r="C29">
            <v>24</v>
          </cell>
        </row>
        <row r="30">
          <cell r="B30" t="str">
            <v>forced air furnace saturation across region</v>
          </cell>
        </row>
        <row r="31">
          <cell r="B31" t="str">
            <v>ductless heat pump saturation in heating zone 1 cooling zone 1</v>
          </cell>
          <cell r="C31">
            <v>26</v>
          </cell>
        </row>
        <row r="32">
          <cell r="B32" t="str">
            <v>ductless heat pump saturation in heating zone 1 cooling zone 2&amp;3</v>
          </cell>
          <cell r="C32">
            <v>27</v>
          </cell>
        </row>
        <row r="33">
          <cell r="B33" t="str">
            <v>ductless heat pump saturation in heating zone 2&amp;3 cooling zone 1</v>
          </cell>
          <cell r="C33">
            <v>28</v>
          </cell>
        </row>
        <row r="34">
          <cell r="B34" t="str">
            <v>ductless heat pump saturation in heating zone 2&amp;3 cooling zone 2&amp;3</v>
          </cell>
          <cell r="C34">
            <v>29</v>
          </cell>
        </row>
        <row r="35">
          <cell r="B35" t="str">
            <v>ductless heat pump saturation in heating zone 1</v>
          </cell>
          <cell r="C35">
            <v>30</v>
          </cell>
        </row>
        <row r="36">
          <cell r="B36" t="str">
            <v>ductless heat pump saturation in heating zone 2&amp;3</v>
          </cell>
          <cell r="C36">
            <v>31</v>
          </cell>
        </row>
        <row r="37">
          <cell r="B37" t="str">
            <v>ductless heat pump saturation across region</v>
          </cell>
        </row>
        <row r="38">
          <cell r="B38" t="str">
            <v>central air conditioner saturation in cooling zone 1</v>
          </cell>
          <cell r="C38">
            <v>33</v>
          </cell>
        </row>
        <row r="39">
          <cell r="B39" t="str">
            <v>central air conditioner saturation in cooling zone 2&amp;3</v>
          </cell>
          <cell r="C39">
            <v>34</v>
          </cell>
        </row>
        <row r="40">
          <cell r="B40" t="str">
            <v>room air conditioner saturation in cooling zone 1</v>
          </cell>
          <cell r="C40">
            <v>35</v>
          </cell>
        </row>
        <row r="41">
          <cell r="B41" t="str">
            <v>room air conditioner saturation in cooling zone 2&amp;3</v>
          </cell>
          <cell r="C41">
            <v>36</v>
          </cell>
        </row>
        <row r="42">
          <cell r="B42" t="str">
            <v>Electric water heater saturation in region</v>
          </cell>
        </row>
        <row r="43">
          <cell r="B43" t="str">
            <v>Electric water heater &lt; 55 gal inside conditioned space</v>
          </cell>
          <cell r="C43">
            <v>38</v>
          </cell>
        </row>
        <row r="44">
          <cell r="B44" t="str">
            <v>Electric water heater &lt; 55 gal in buffered space</v>
          </cell>
          <cell r="C44">
            <v>39</v>
          </cell>
        </row>
        <row r="45">
          <cell r="B45" t="str">
            <v>Electric water heater &lt; 55 gal in unbuffered space</v>
          </cell>
        </row>
        <row r="46">
          <cell r="B46" t="str">
            <v>Electric water heater &gt;= 55 gal inside conditioned space</v>
          </cell>
          <cell r="C46">
            <v>41</v>
          </cell>
        </row>
        <row r="47">
          <cell r="B47" t="str">
            <v>Electric water heater &gt;= 55 gal in buffered space</v>
          </cell>
          <cell r="C47">
            <v>42</v>
          </cell>
        </row>
        <row r="48">
          <cell r="B48" t="str">
            <v>Electric water heater &gt;= 55 gal in unbuffered space</v>
          </cell>
        </row>
        <row r="49">
          <cell r="B49" t="str">
            <v>Saturation of Refrigerator in homes</v>
          </cell>
          <cell r="C49">
            <v>44</v>
          </cell>
        </row>
        <row r="50">
          <cell r="B50" t="str">
            <v>Saturation of Freezer in homes</v>
          </cell>
          <cell r="C50">
            <v>45</v>
          </cell>
        </row>
        <row r="51">
          <cell r="B51" t="str">
            <v>Saturation of Clothes Washer in homes</v>
          </cell>
          <cell r="C51">
            <v>46</v>
          </cell>
        </row>
        <row r="52">
          <cell r="B52" t="str">
            <v>Saturation of Clothes Dryer in homes</v>
          </cell>
          <cell r="C52">
            <v>47</v>
          </cell>
        </row>
        <row r="53">
          <cell r="B53" t="str">
            <v>Saturation of Dishwasher in homes</v>
          </cell>
          <cell r="C53">
            <v>48</v>
          </cell>
        </row>
        <row r="54">
          <cell r="B54" t="str">
            <v>Saturation of Microwave in homes</v>
          </cell>
          <cell r="C54">
            <v>49</v>
          </cell>
        </row>
        <row r="55">
          <cell r="B55" t="str">
            <v>Saturation of Electric Oven in homes</v>
          </cell>
          <cell r="C55">
            <v>50</v>
          </cell>
        </row>
        <row r="56">
          <cell r="B56" t="str">
            <v>Saturation of TV in homes</v>
          </cell>
          <cell r="C56">
            <v>51</v>
          </cell>
        </row>
        <row r="57">
          <cell r="B57" t="str">
            <v>Saturation of Set top box in homes</v>
          </cell>
          <cell r="C57">
            <v>52</v>
          </cell>
        </row>
        <row r="58">
          <cell r="B58" t="str">
            <v>Saturation of Computer in homes</v>
          </cell>
          <cell r="C58">
            <v>53</v>
          </cell>
        </row>
        <row r="59">
          <cell r="B59" t="str">
            <v>Saturation of Monitor in homes</v>
          </cell>
          <cell r="C59">
            <v>54</v>
          </cell>
        </row>
        <row r="60">
          <cell r="B60" t="str">
            <v>Saturation of EISA-nonexempt bulbs in homes</v>
          </cell>
          <cell r="C60">
            <v>55</v>
          </cell>
        </row>
        <row r="61">
          <cell r="B61" t="str">
            <v>Saturation of EISA-exempt bulbs in homes</v>
          </cell>
          <cell r="C61">
            <v>56</v>
          </cell>
        </row>
        <row r="62">
          <cell r="B62" t="str">
            <v>Average square feet of walls</v>
          </cell>
        </row>
        <row r="63">
          <cell r="B63" t="str">
            <v>Average square feet of attic</v>
          </cell>
        </row>
        <row r="64">
          <cell r="B64" t="str">
            <v>Average square feet of floors</v>
          </cell>
        </row>
        <row r="65">
          <cell r="B65" t="str">
            <v>Average square feet of windows</v>
          </cell>
        </row>
        <row r="66">
          <cell r="B66" t="str">
            <v>Averagetotal square feet of homes</v>
          </cell>
        </row>
        <row r="67">
          <cell r="B67" t="str">
            <v>Number of bulbs per house</v>
          </cell>
        </row>
      </sheetData>
      <sheetData sheetId="14">
        <row r="8">
          <cell r="B8" t="str">
            <v>Workshop</v>
          </cell>
          <cell r="C8" t="str">
            <v>Other</v>
          </cell>
          <cell r="D8" t="str">
            <v>Other</v>
          </cell>
          <cell r="E8" t="str">
            <v>Other</v>
          </cell>
        </row>
        <row r="9">
          <cell r="B9" t="str">
            <v>Skilled Nursing</v>
          </cell>
        </row>
        <row r="10">
          <cell r="B10" t="str">
            <v>Warehouse</v>
          </cell>
        </row>
        <row r="11">
          <cell r="B11" t="str">
            <v>Other</v>
          </cell>
        </row>
        <row r="13">
          <cell r="D13" t="str">
            <v>Characteristics</v>
          </cell>
        </row>
        <row r="14">
          <cell r="C14" t="str">
            <v>NPPC BUILDTYPE</v>
          </cell>
          <cell r="D14" t="str">
            <v>Primary Activity</v>
          </cell>
          <cell r="E14" t="str">
            <v>Gross Floor Area</v>
          </cell>
          <cell r="F14" t="str">
            <v>Number of Stories</v>
          </cell>
        </row>
        <row r="15">
          <cell r="C15" t="str">
            <v>Large Off</v>
          </cell>
          <cell r="D15" t="str">
            <v>Office</v>
          </cell>
          <cell r="E15" t="str">
            <v>&gt; 100,000</v>
          </cell>
          <cell r="F15" t="str">
            <v>Any</v>
          </cell>
        </row>
        <row r="16">
          <cell r="C16" t="str">
            <v>Medium Off</v>
          </cell>
          <cell r="D16" t="str">
            <v>Office</v>
          </cell>
          <cell r="E16" t="str">
            <v>20,000 to 100,000</v>
          </cell>
          <cell r="F16" t="str">
            <v>Any</v>
          </cell>
        </row>
        <row r="17">
          <cell r="C17" t="str">
            <v>Small Off</v>
          </cell>
          <cell r="D17" t="str">
            <v>Office</v>
          </cell>
          <cell r="E17" t="str">
            <v>&lt; 20,000</v>
          </cell>
          <cell r="F17" t="str">
            <v>Any</v>
          </cell>
        </row>
        <row r="18">
          <cell r="C18" t="str">
            <v>Big Box</v>
          </cell>
          <cell r="D18" t="str">
            <v>Retail</v>
          </cell>
          <cell r="E18" t="str">
            <v>&gt; 50,000</v>
          </cell>
          <cell r="F18">
            <v>1</v>
          </cell>
        </row>
        <row r="19">
          <cell r="C19" t="str">
            <v>Small Box</v>
          </cell>
          <cell r="D19" t="str">
            <v>Retail</v>
          </cell>
          <cell r="E19" t="str">
            <v>&lt;50,000</v>
          </cell>
          <cell r="F19">
            <v>1</v>
          </cell>
        </row>
        <row r="20">
          <cell r="C20" t="str">
            <v>High End</v>
          </cell>
          <cell r="D20" t="str">
            <v>Retail</v>
          </cell>
          <cell r="E20" t="str">
            <v>&lt; 20,000</v>
          </cell>
          <cell r="F20">
            <v>1</v>
          </cell>
        </row>
        <row r="21">
          <cell r="C21" t="str">
            <v>Anchor</v>
          </cell>
          <cell r="D21" t="str">
            <v>Retail</v>
          </cell>
          <cell r="E21" t="str">
            <v>&gt; 50,000</v>
          </cell>
          <cell r="F21" t="str">
            <v>&gt;1</v>
          </cell>
        </row>
        <row r="22">
          <cell r="C22" t="str">
            <v>K-12</v>
          </cell>
          <cell r="D22" t="str">
            <v>School</v>
          </cell>
          <cell r="E22" t="str">
            <v>Any</v>
          </cell>
          <cell r="F22" t="str">
            <v>Any</v>
          </cell>
        </row>
        <row r="23">
          <cell r="C23" t="str">
            <v>University</v>
          </cell>
          <cell r="D23" t="str">
            <v>School</v>
          </cell>
          <cell r="E23" t="str">
            <v>Any</v>
          </cell>
          <cell r="F23" t="str">
            <v>Any</v>
          </cell>
        </row>
        <row r="24">
          <cell r="C24" t="str">
            <v>Warehouse</v>
          </cell>
          <cell r="D24" t="str">
            <v>Warehouse</v>
          </cell>
          <cell r="E24" t="str">
            <v>Any</v>
          </cell>
          <cell r="F24" t="str">
            <v>Any</v>
          </cell>
        </row>
        <row r="25">
          <cell r="C25" t="str">
            <v>Supermarket</v>
          </cell>
          <cell r="D25" t="str">
            <v>Retail Food</v>
          </cell>
          <cell r="E25" t="str">
            <v>&gt; 5000</v>
          </cell>
          <cell r="F25" t="str">
            <v>Any</v>
          </cell>
        </row>
        <row r="26">
          <cell r="C26" t="str">
            <v>MIniMart</v>
          </cell>
          <cell r="D26" t="str">
            <v>Retail Food</v>
          </cell>
          <cell r="E26" t="str">
            <v>&lt;= 5000</v>
          </cell>
          <cell r="F26" t="str">
            <v>Any</v>
          </cell>
        </row>
        <row r="27">
          <cell r="C27" t="str">
            <v>Restaurant</v>
          </cell>
          <cell r="D27" t="str">
            <v>Retail Food</v>
          </cell>
          <cell r="E27" t="str">
            <v>Any</v>
          </cell>
          <cell r="F27" t="str">
            <v>Any</v>
          </cell>
        </row>
        <row r="28">
          <cell r="C28" t="str">
            <v>Lodging</v>
          </cell>
          <cell r="D28" t="str">
            <v>Lodging</v>
          </cell>
          <cell r="E28" t="str">
            <v>Any</v>
          </cell>
          <cell r="F28" t="str">
            <v>Any</v>
          </cell>
        </row>
        <row r="29">
          <cell r="C29" t="str">
            <v>Hospital</v>
          </cell>
          <cell r="D29" t="str">
            <v>Health Care</v>
          </cell>
          <cell r="E29" t="str">
            <v>Any</v>
          </cell>
          <cell r="F29" t="str">
            <v>Any</v>
          </cell>
        </row>
        <row r="30">
          <cell r="C30" t="str">
            <v>OtherHealth</v>
          </cell>
          <cell r="D30" t="str">
            <v>Health Care</v>
          </cell>
          <cell r="E30" t="str">
            <v>Any</v>
          </cell>
          <cell r="F30" t="str">
            <v>Any</v>
          </cell>
        </row>
        <row r="31">
          <cell r="C31" t="str">
            <v>Other</v>
          </cell>
          <cell r="D31" t="str">
            <v>Other</v>
          </cell>
          <cell r="E31" t="str">
            <v>Any</v>
          </cell>
          <cell r="F31" t="str">
            <v>Any</v>
          </cell>
        </row>
      </sheetData>
      <sheetData sheetId="15">
        <row r="8">
          <cell r="C8" t="str">
            <v>OR new homes</v>
          </cell>
        </row>
        <row r="9">
          <cell r="C9" t="str">
            <v>OR existing homes</v>
          </cell>
        </row>
        <row r="10">
          <cell r="C10" t="str">
            <v>WA new homes</v>
          </cell>
        </row>
        <row r="11">
          <cell r="C11" t="str">
            <v>WA existing homes</v>
          </cell>
        </row>
        <row r="12">
          <cell r="C12" t="str">
            <v>Region new homes</v>
          </cell>
        </row>
        <row r="13">
          <cell r="C13" t="str">
            <v>Region existing homes</v>
          </cell>
        </row>
      </sheetData>
      <sheetData sheetId="16">
        <row r="8">
          <cell r="B8" t="str">
            <v>Electric FAF - HZ1</v>
          </cell>
        </row>
        <row r="9">
          <cell r="B9" t="str">
            <v>Electric FAF - HZ23</v>
          </cell>
        </row>
        <row r="10">
          <cell r="B10" t="str">
            <v>Electric FAF - Region</v>
          </cell>
        </row>
        <row r="11">
          <cell r="B11" t="str">
            <v>Electric FAF w/ CAC - HZ1CZ1</v>
          </cell>
        </row>
        <row r="12">
          <cell r="B12" t="str">
            <v>Electric FAF w/ CAC - HZ1CZ23</v>
          </cell>
        </row>
        <row r="13">
          <cell r="B13" t="str">
            <v>Electric FAF w/ CAC - HZ23CZ1</v>
          </cell>
        </row>
        <row r="14">
          <cell r="B14" t="str">
            <v>Electric FAF w/ CAC - HZ23CZ23</v>
          </cell>
        </row>
        <row r="15">
          <cell r="B15" t="str">
            <v>Heat Pump - HZ1CZ1</v>
          </cell>
        </row>
        <row r="16">
          <cell r="B16" t="str">
            <v>Heat Pump - HZ1CZ23</v>
          </cell>
        </row>
        <row r="17">
          <cell r="B17" t="str">
            <v>Heat Pump - HZ23CZ1</v>
          </cell>
        </row>
        <row r="18">
          <cell r="B18" t="str">
            <v>Heat Pump - HZ23CZ23</v>
          </cell>
        </row>
        <row r="19">
          <cell r="B19" t="str">
            <v>Heat Pump - HZ1</v>
          </cell>
        </row>
        <row r="20">
          <cell r="B20" t="str">
            <v>Heat Pump - HZ23</v>
          </cell>
        </row>
        <row r="21">
          <cell r="B21" t="str">
            <v>Heat Pump - Region</v>
          </cell>
        </row>
        <row r="22">
          <cell r="B22" t="str">
            <v>Electric Zonal - HZ1CZ1</v>
          </cell>
        </row>
        <row r="23">
          <cell r="B23" t="str">
            <v>Electric Zonal - HZ1CZ23</v>
          </cell>
        </row>
        <row r="24">
          <cell r="B24" t="str">
            <v>Electric Zonal - HZ23CZ1</v>
          </cell>
        </row>
        <row r="25">
          <cell r="B25" t="str">
            <v>Electric Zonal - HZ23CZ23</v>
          </cell>
        </row>
        <row r="26">
          <cell r="B26" t="str">
            <v>Electric Zonal - HZ1</v>
          </cell>
        </row>
        <row r="27">
          <cell r="B27" t="str">
            <v>Electric Zonal - HZ23</v>
          </cell>
        </row>
        <row r="28">
          <cell r="B28" t="str">
            <v>Electric Zonal - Region</v>
          </cell>
        </row>
        <row r="29">
          <cell r="B29" t="str">
            <v>DHP - HZ1CZ1</v>
          </cell>
        </row>
        <row r="30">
          <cell r="B30" t="str">
            <v>DHP - HZ1CZ23</v>
          </cell>
        </row>
        <row r="31">
          <cell r="B31" t="str">
            <v>DHP - HZ23CZ1</v>
          </cell>
        </row>
        <row r="32">
          <cell r="B32" t="str">
            <v>DHP - HZ23CZ23</v>
          </cell>
        </row>
        <row r="33">
          <cell r="B33" t="str">
            <v>DHP - HZ1</v>
          </cell>
        </row>
        <row r="34">
          <cell r="B34" t="str">
            <v>DHP - HZ23</v>
          </cell>
        </row>
        <row r="35">
          <cell r="B35" t="str">
            <v>DHP - Region</v>
          </cell>
        </row>
        <row r="36">
          <cell r="B36" t="str">
            <v>Central AC - CZ1</v>
          </cell>
        </row>
        <row r="37">
          <cell r="B37" t="str">
            <v>Central AC - CZ23</v>
          </cell>
        </row>
        <row r="38">
          <cell r="B38" t="str">
            <v>Room A/C - CZ1</v>
          </cell>
        </row>
        <row r="39">
          <cell r="B39" t="str">
            <v>Room A/C - CZ23</v>
          </cell>
        </row>
        <row r="40">
          <cell r="B40" t="str">
            <v>DWH &lt;55 inside</v>
          </cell>
        </row>
        <row r="41">
          <cell r="B41" t="str">
            <v>DHW &lt;55 outside buffer</v>
          </cell>
        </row>
        <row r="42">
          <cell r="B42" t="str">
            <v>DHW &lt; 55 outside unbuffer</v>
          </cell>
        </row>
        <row r="43">
          <cell r="B43" t="str">
            <v>DHW &gt;55 inside</v>
          </cell>
        </row>
        <row r="44">
          <cell r="B44" t="str">
            <v>DHW &gt;55 outside buffer</v>
          </cell>
        </row>
        <row r="45">
          <cell r="B45" t="str">
            <v>DHW &gt;55 outside unbuffer</v>
          </cell>
        </row>
        <row r="46">
          <cell r="B46" t="str">
            <v>Refrigerator</v>
          </cell>
        </row>
        <row r="47">
          <cell r="B47" t="str">
            <v>Freezer</v>
          </cell>
        </row>
        <row r="48">
          <cell r="B48" t="str">
            <v>Clothes Washer</v>
          </cell>
        </row>
        <row r="49">
          <cell r="B49" t="str">
            <v>Clothes Dryer</v>
          </cell>
        </row>
        <row r="50">
          <cell r="B50" t="str">
            <v>Dishwasher</v>
          </cell>
        </row>
        <row r="51">
          <cell r="B51" t="str">
            <v>Microwave</v>
          </cell>
        </row>
        <row r="52">
          <cell r="B52" t="str">
            <v>Electric Oven</v>
          </cell>
        </row>
        <row r="53">
          <cell r="B53" t="str">
            <v>Computer</v>
          </cell>
        </row>
        <row r="54">
          <cell r="B54" t="str">
            <v>Monitor</v>
          </cell>
        </row>
        <row r="55">
          <cell r="B55" t="str">
            <v>EISA nx</v>
          </cell>
        </row>
        <row r="56">
          <cell r="B56" t="str">
            <v>EISA x</v>
          </cell>
        </row>
        <row r="57">
          <cell r="B57" t="str">
            <v>WallSqft</v>
          </cell>
        </row>
        <row r="58">
          <cell r="B58" t="str">
            <v>AtticSqft</v>
          </cell>
        </row>
        <row r="59">
          <cell r="B59" t="str">
            <v>FloorSqft</v>
          </cell>
        </row>
        <row r="60">
          <cell r="B60" t="str">
            <v>WindowSqft</v>
          </cell>
        </row>
        <row r="61">
          <cell r="B61" t="str">
            <v>HomeSqft</v>
          </cell>
        </row>
        <row r="62">
          <cell r="B62" t="str">
            <v>Lighting</v>
          </cell>
        </row>
        <row r="63">
          <cell r="B63">
            <v>0</v>
          </cell>
        </row>
        <row r="64">
          <cell r="B64">
            <v>0</v>
          </cell>
        </row>
        <row r="65">
          <cell r="B65">
            <v>0</v>
          </cell>
        </row>
        <row r="66">
          <cell r="B66">
            <v>0</v>
          </cell>
        </row>
        <row r="67">
          <cell r="B67">
            <v>0</v>
          </cell>
        </row>
        <row r="68">
          <cell r="B68">
            <v>0</v>
          </cell>
        </row>
      </sheetData>
      <sheetData sheetId="17">
        <row r="8">
          <cell r="B8" t="str">
            <v>HVAC</v>
          </cell>
          <cell r="C8" t="str">
            <v>Envelope</v>
          </cell>
          <cell r="D8" t="str">
            <v>Insulation</v>
          </cell>
          <cell r="E8" t="str">
            <v>Attic Insulation</v>
          </cell>
          <cell r="F8" t="str">
            <v>Low/No insulation</v>
          </cell>
        </row>
        <row r="9">
          <cell r="B9" t="str">
            <v>HVAC</v>
          </cell>
          <cell r="C9" t="str">
            <v>Envelope</v>
          </cell>
          <cell r="D9" t="str">
            <v>Insulation</v>
          </cell>
          <cell r="E9" t="str">
            <v>Wall Insulation</v>
          </cell>
          <cell r="F9" t="str">
            <v>Low/No insulation</v>
          </cell>
        </row>
        <row r="10">
          <cell r="B10" t="str">
            <v>HVAC</v>
          </cell>
          <cell r="C10" t="str">
            <v>Envelope</v>
          </cell>
          <cell r="D10" t="str">
            <v>Insulation</v>
          </cell>
          <cell r="E10" t="str">
            <v xml:space="preserve">Floor Insulation </v>
          </cell>
          <cell r="F10" t="str">
            <v>Low/No insulation</v>
          </cell>
        </row>
        <row r="11">
          <cell r="B11" t="str">
            <v>HVAC</v>
          </cell>
          <cell r="C11" t="str">
            <v>Envelope</v>
          </cell>
          <cell r="D11" t="str">
            <v>Insulation</v>
          </cell>
          <cell r="E11" t="str">
            <v>Windows</v>
          </cell>
          <cell r="F11" t="str">
            <v>Single/Double Pane</v>
          </cell>
        </row>
        <row r="12">
          <cell r="B12" t="str">
            <v>HVAC</v>
          </cell>
          <cell r="C12" t="str">
            <v>Envelope</v>
          </cell>
          <cell r="D12" t="str">
            <v>Insulation</v>
          </cell>
          <cell r="E12" t="str">
            <v>Infiltration</v>
          </cell>
          <cell r="F12" t="str">
            <v>High leakage</v>
          </cell>
        </row>
        <row r="13">
          <cell r="B13" t="str">
            <v>HVAC</v>
          </cell>
          <cell r="C13" t="str">
            <v>Envelope</v>
          </cell>
          <cell r="D13" t="str">
            <v>Insulation</v>
          </cell>
          <cell r="E13" t="str">
            <v>Attic Insulation</v>
          </cell>
          <cell r="F13" t="str">
            <v>Code-avg</v>
          </cell>
        </row>
        <row r="14">
          <cell r="B14" t="str">
            <v>HVAC</v>
          </cell>
          <cell r="C14" t="str">
            <v>Envelope</v>
          </cell>
          <cell r="D14" t="str">
            <v>Insulation</v>
          </cell>
          <cell r="E14" t="str">
            <v>Wall Insulation</v>
          </cell>
          <cell r="F14" t="str">
            <v>Code-avg</v>
          </cell>
        </row>
        <row r="15">
          <cell r="B15" t="str">
            <v>HVAC</v>
          </cell>
          <cell r="C15" t="str">
            <v>Envelope</v>
          </cell>
          <cell r="D15" t="str">
            <v>Insulation</v>
          </cell>
          <cell r="E15" t="str">
            <v xml:space="preserve">Floor Insulation </v>
          </cell>
          <cell r="F15" t="str">
            <v>Code-avg</v>
          </cell>
        </row>
        <row r="16">
          <cell r="B16" t="str">
            <v>HVAC</v>
          </cell>
          <cell r="C16" t="str">
            <v>Envelope</v>
          </cell>
          <cell r="D16" t="str">
            <v>Insulation</v>
          </cell>
          <cell r="E16" t="str">
            <v>Windows</v>
          </cell>
          <cell r="F16" t="str">
            <v>Code-avg</v>
          </cell>
        </row>
        <row r="17">
          <cell r="B17" t="str">
            <v>HVAC</v>
          </cell>
          <cell r="C17" t="str">
            <v>Envelope</v>
          </cell>
          <cell r="D17" t="str">
            <v>Insulation</v>
          </cell>
          <cell r="E17" t="str">
            <v>Infiltration</v>
          </cell>
          <cell r="F17" t="str">
            <v>Code-avg</v>
          </cell>
        </row>
        <row r="18">
          <cell r="B18" t="str">
            <v>HVAC</v>
          </cell>
          <cell r="C18" t="str">
            <v>Heat Recovery</v>
          </cell>
          <cell r="D18" t="str">
            <v>Heat Recovery Improvements</v>
          </cell>
          <cell r="E18" t="str">
            <v>HRV</v>
          </cell>
          <cell r="F18" t="str">
            <v>Natural Ventilation</v>
          </cell>
        </row>
        <row r="19">
          <cell r="B19" t="str">
            <v>HVAC</v>
          </cell>
          <cell r="C19" t="str">
            <v>HVAC System</v>
          </cell>
          <cell r="D19" t="str">
            <v>Variable Speed Heat Pumps</v>
          </cell>
          <cell r="E19" t="str">
            <v>VS ASHP 12.0 HSPF/18 SEER + PTCS</v>
          </cell>
          <cell r="F19" t="str">
            <v>8.5HSPF/14SEER</v>
          </cell>
        </row>
        <row r="20">
          <cell r="B20" t="str">
            <v>HVAC</v>
          </cell>
          <cell r="C20" t="str">
            <v>HVAC System</v>
          </cell>
          <cell r="D20" t="str">
            <v>Air Source Heat Pump</v>
          </cell>
          <cell r="E20" t="str">
            <v>ASHP 9.0 HSPF/14 SEER</v>
          </cell>
          <cell r="F20" t="str">
            <v>8.5HSPF/14SEER</v>
          </cell>
        </row>
        <row r="21">
          <cell r="B21" t="str">
            <v>HVAC</v>
          </cell>
          <cell r="C21" t="str">
            <v>HVAC System</v>
          </cell>
          <cell r="D21" t="str">
            <v>Air Source Heat Pump</v>
          </cell>
          <cell r="E21" t="str">
            <v>ASHP 8.5 HSPF/14 SEER</v>
          </cell>
          <cell r="F21" t="str">
            <v>Electric FAF</v>
          </cell>
        </row>
        <row r="22">
          <cell r="B22" t="str">
            <v>HVAC</v>
          </cell>
          <cell r="C22" t="str">
            <v>HVAC System</v>
          </cell>
          <cell r="D22" t="str">
            <v>Ductless Heat Pump</v>
          </cell>
          <cell r="E22" t="str">
            <v>DHP 9.5 HSPF</v>
          </cell>
          <cell r="F22" t="str">
            <v>Zonal</v>
          </cell>
        </row>
        <row r="23">
          <cell r="B23" t="str">
            <v>HVAC</v>
          </cell>
          <cell r="C23" t="str">
            <v>HVAC System</v>
          </cell>
          <cell r="D23" t="str">
            <v>Ductless Heat Pump</v>
          </cell>
          <cell r="E23" t="str">
            <v>DHP 9.5 HSPF</v>
          </cell>
          <cell r="F23" t="str">
            <v>Electric FAF</v>
          </cell>
        </row>
        <row r="24">
          <cell r="B24" t="str">
            <v>HVAC</v>
          </cell>
          <cell r="C24" t="str">
            <v>HVAC System</v>
          </cell>
          <cell r="D24" t="str">
            <v>Duct Sealing</v>
          </cell>
          <cell r="E24" t="str">
            <v>PTCS-level sealing</v>
          </cell>
          <cell r="F24" t="str">
            <v>Leaky ducts</v>
          </cell>
        </row>
        <row r="25">
          <cell r="B25" t="str">
            <v>HVAC</v>
          </cell>
          <cell r="C25" t="str">
            <v>HVAC System</v>
          </cell>
          <cell r="D25" t="str">
            <v>Furnace Fan</v>
          </cell>
          <cell r="E25" t="str">
            <v>BPM motor</v>
          </cell>
          <cell r="F25" t="str">
            <v>PSC motor</v>
          </cell>
        </row>
        <row r="26">
          <cell r="B26" t="str">
            <v>HVAC</v>
          </cell>
          <cell r="C26" t="str">
            <v>HVAC System</v>
          </cell>
          <cell r="D26" t="str">
            <v>Whole House Fan</v>
          </cell>
          <cell r="E26" t="str">
            <v>Whole House Fan</v>
          </cell>
          <cell r="F26" t="str">
            <v>No Fan</v>
          </cell>
        </row>
        <row r="27">
          <cell r="B27" t="str">
            <v>HVAC</v>
          </cell>
          <cell r="C27" t="str">
            <v>HVAC System Controls</v>
          </cell>
          <cell r="D27" t="str">
            <v>Thermostats</v>
          </cell>
          <cell r="E27" t="str">
            <v>WIFI enabled tstats</v>
          </cell>
          <cell r="F27" t="str">
            <v>Manual thermostat</v>
          </cell>
        </row>
        <row r="28">
          <cell r="B28" t="str">
            <v>HVAC/Water Heating</v>
          </cell>
          <cell r="C28" t="str">
            <v>HVAC System/Water Heaters</v>
          </cell>
          <cell r="D28" t="str">
            <v>Combo DHP/HPWH units</v>
          </cell>
          <cell r="E28" t="str">
            <v>DHP + HPWH</v>
          </cell>
          <cell r="F28" t="str">
            <v>ER space heat/0.95 EF WH</v>
          </cell>
        </row>
        <row r="29">
          <cell r="B29" t="str">
            <v>Lighting</v>
          </cell>
          <cell r="C29" t="str">
            <v>Lamps/Fixtures</v>
          </cell>
          <cell r="D29" t="str">
            <v>Lamps</v>
          </cell>
          <cell r="E29" t="str">
            <v>LED/CFL Standard</v>
          </cell>
          <cell r="F29" t="str">
            <v>EISA 2014 &amp; 2020</v>
          </cell>
        </row>
        <row r="30">
          <cell r="B30" t="str">
            <v>Lighting</v>
          </cell>
          <cell r="C30" t="str">
            <v>Lamps/Fixtures</v>
          </cell>
          <cell r="D30" t="str">
            <v>Lamps</v>
          </cell>
          <cell r="E30" t="str">
            <v>LED/CFL Specialty</v>
          </cell>
          <cell r="F30" t="str">
            <v>Incandescent</v>
          </cell>
        </row>
        <row r="31">
          <cell r="B31" t="str">
            <v>Lighting</v>
          </cell>
          <cell r="C31" t="str">
            <v>Lighting Controls</v>
          </cell>
          <cell r="D31" t="str">
            <v>Lighting Controls</v>
          </cell>
          <cell r="E31" t="str">
            <v>Daylighting/Occ Sensors</v>
          </cell>
          <cell r="F31" t="str">
            <v>No Controls</v>
          </cell>
        </row>
        <row r="32">
          <cell r="B32" t="str">
            <v>Motors/Drives</v>
          </cell>
          <cell r="C32" t="str">
            <v>Motors/Drives Controls</v>
          </cell>
          <cell r="D32" t="str">
            <v>Motors/Drives Control Improvements (VFD)</v>
          </cell>
          <cell r="E32" t="str">
            <v>VSD Pump for well water</v>
          </cell>
          <cell r="F32" t="str">
            <v>Single-Speed Motor</v>
          </cell>
        </row>
        <row r="33">
          <cell r="B33" t="str">
            <v>Refrigeration</v>
          </cell>
          <cell r="C33" t="str">
            <v>Freezers</v>
          </cell>
          <cell r="D33" t="str">
            <v>Freezers</v>
          </cell>
          <cell r="E33" t="str">
            <v>ENERGY STAR freezer</v>
          </cell>
          <cell r="F33" t="str">
            <v>Fed Std 2014</v>
          </cell>
        </row>
        <row r="34">
          <cell r="B34" t="str">
            <v>Refrigeration</v>
          </cell>
          <cell r="C34" t="str">
            <v>Refrigerators</v>
          </cell>
          <cell r="D34" t="str">
            <v>Refrigerators</v>
          </cell>
          <cell r="E34" t="str">
            <v>ENERGY STAR fridge</v>
          </cell>
          <cell r="F34" t="str">
            <v>Fed Std 2014</v>
          </cell>
        </row>
        <row r="35">
          <cell r="B35" t="str">
            <v>Water Heating</v>
          </cell>
          <cell r="C35" t="str">
            <v>Pipe Insulation</v>
          </cell>
          <cell r="D35" t="str">
            <v>Pipe Insulation</v>
          </cell>
          <cell r="E35" t="str">
            <v>R4 insulation</v>
          </cell>
          <cell r="F35" t="str">
            <v>No Insulation</v>
          </cell>
        </row>
        <row r="36">
          <cell r="B36" t="str">
            <v>Water Heating</v>
          </cell>
          <cell r="C36" t="str">
            <v>Water Heaters</v>
          </cell>
          <cell r="D36" t="str">
            <v>Drain Water Heat Recovery</v>
          </cell>
          <cell r="E36" t="str">
            <v>Heat recovery unit</v>
          </cell>
          <cell r="F36" t="str">
            <v>No Heat Recovery</v>
          </cell>
        </row>
        <row r="37">
          <cell r="B37" t="str">
            <v>Water Heating</v>
          </cell>
          <cell r="C37" t="str">
            <v>Water Heaters</v>
          </cell>
          <cell r="D37" t="str">
            <v>Heat Pump Water Heaters</v>
          </cell>
          <cell r="E37" t="str">
            <v>HPWH Tier 1+</v>
          </cell>
          <cell r="F37" t="str">
            <v>0.95 EF WH</v>
          </cell>
        </row>
        <row r="38">
          <cell r="B38" t="str">
            <v>Water Heating</v>
          </cell>
          <cell r="C38" t="str">
            <v>Water Heaters</v>
          </cell>
          <cell r="D38" t="str">
            <v>Solar Water Heaters</v>
          </cell>
          <cell r="E38" t="str">
            <v>SRCC certified SWH</v>
          </cell>
          <cell r="F38" t="str">
            <v>Standard WH</v>
          </cell>
        </row>
        <row r="39">
          <cell r="B39" t="str">
            <v>Water Heating</v>
          </cell>
          <cell r="C39" t="str">
            <v>Water Using Devices</v>
          </cell>
          <cell r="D39" t="str">
            <v>Dishwashers</v>
          </cell>
          <cell r="E39" t="str">
            <v>ENERGY STAR Dishwasher</v>
          </cell>
          <cell r="F39" t="str">
            <v>Fed Std 2013</v>
          </cell>
        </row>
        <row r="40">
          <cell r="B40" t="str">
            <v>Water Heating</v>
          </cell>
          <cell r="C40" t="str">
            <v>Water Using Devices</v>
          </cell>
          <cell r="D40" t="str">
            <v>Clothes Washers</v>
          </cell>
          <cell r="E40" t="str">
            <v>ENERGY STAR Clothes Washer</v>
          </cell>
          <cell r="F40" t="str">
            <v>Fed Std 2015</v>
          </cell>
        </row>
        <row r="41">
          <cell r="B41" t="str">
            <v>Water Heating</v>
          </cell>
          <cell r="C41" t="str">
            <v>Water Using Devices</v>
          </cell>
          <cell r="D41" t="str">
            <v>Showerheads</v>
          </cell>
          <cell r="E41" t="str">
            <v>1.5 GPM</v>
          </cell>
          <cell r="F41" t="str">
            <v>2.5 GPM</v>
          </cell>
        </row>
        <row r="42">
          <cell r="B42" t="str">
            <v>Water Heating</v>
          </cell>
          <cell r="C42" t="str">
            <v>Water Using Devices</v>
          </cell>
          <cell r="D42" t="str">
            <v>Aerators</v>
          </cell>
          <cell r="E42" t="str">
            <v>1.0 GPM</v>
          </cell>
          <cell r="F42" t="str">
            <v>2.5 GPM</v>
          </cell>
        </row>
        <row r="43">
          <cell r="B43" t="str">
            <v>Whole Bldg/Meter Level</v>
          </cell>
          <cell r="C43" t="str">
            <v>Whole Bldg/Meter Level System Improvements</v>
          </cell>
          <cell r="D43" t="str">
            <v>Photovoltaics</v>
          </cell>
          <cell r="E43" t="str">
            <v>PV system</v>
          </cell>
          <cell r="F43" t="str">
            <v>No PV system</v>
          </cell>
        </row>
        <row r="44">
          <cell r="B44" t="str">
            <v>Whole Bldg/Meter Level</v>
          </cell>
          <cell r="C44" t="str">
            <v>Whole Bldg/Meter Level System Improvements</v>
          </cell>
          <cell r="D44" t="str">
            <v>Behavioral</v>
          </cell>
          <cell r="E44" t="str">
            <v>Home Energy Reports</v>
          </cell>
          <cell r="F44" t="str">
            <v>No Report</v>
          </cell>
        </row>
        <row r="45">
          <cell r="B45" t="str">
            <v>Whole Bldg/Meter Level</v>
          </cell>
          <cell r="C45" t="str">
            <v>Whole Bldg/Meter Level System Improvements</v>
          </cell>
          <cell r="D45" t="str">
            <v>Automation</v>
          </cell>
          <cell r="E45" t="str">
            <v>Smart Devices</v>
          </cell>
          <cell r="F45" t="str">
            <v>Standard Home</v>
          </cell>
        </row>
        <row r="46">
          <cell r="B46" t="str">
            <v>Electronics</v>
          </cell>
          <cell r="C46" t="str">
            <v>Plug Load</v>
          </cell>
          <cell r="D46" t="str">
            <v>Electric Vehicle Supply Equipment</v>
          </cell>
          <cell r="E46" t="str">
            <v>Efficient EVSE</v>
          </cell>
          <cell r="F46" t="str">
            <v>Standard EVSE</v>
          </cell>
        </row>
        <row r="47">
          <cell r="B47" t="str">
            <v>HVAC</v>
          </cell>
          <cell r="C47" t="str">
            <v>HVAC System</v>
          </cell>
          <cell r="D47" t="str">
            <v>Geothermal Heat Pump</v>
          </cell>
          <cell r="E47" t="str">
            <v>ENERGY STAR qualified</v>
          </cell>
          <cell r="F47" t="str">
            <v>ASHP</v>
          </cell>
        </row>
        <row r="48">
          <cell r="B48" t="str">
            <v>HVAC</v>
          </cell>
          <cell r="C48" t="str">
            <v>HVAC System</v>
          </cell>
          <cell r="D48" t="str">
            <v>Commissioning Controls Sizing</v>
          </cell>
          <cell r="E48" t="str">
            <v>Controls Commissioning &amp; Sizing</v>
          </cell>
          <cell r="F48" t="str">
            <v>Standard installation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adam_shick/AppData/Roaming/Microsoft/Excel/ESK%20install%20rates%20for%20true-up.msg"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sheetPr codeName="Sheet1"/>
  <dimension ref="B1:E18"/>
  <sheetViews>
    <sheetView workbookViewId="0">
      <selection activeCell="D14" sqref="D14"/>
    </sheetView>
  </sheetViews>
  <sheetFormatPr defaultRowHeight="12.75"/>
  <cols>
    <col min="1" max="1" width="9.140625" style="165"/>
    <col min="2" max="2" width="37.85546875" style="165" customWidth="1"/>
    <col min="3" max="3" width="53.42578125" style="165" customWidth="1"/>
    <col min="4" max="4" width="34.140625" style="165" customWidth="1"/>
    <col min="5" max="5" width="18.28515625" style="165" customWidth="1"/>
    <col min="6" max="256" width="9.140625" style="165"/>
    <col min="257" max="257" width="26.7109375" style="165" customWidth="1"/>
    <col min="258" max="258" width="73.7109375" style="165" customWidth="1"/>
    <col min="259" max="259" width="58.42578125" style="165" customWidth="1"/>
    <col min="260" max="260" width="28.85546875" style="165" customWidth="1"/>
    <col min="261" max="512" width="9.140625" style="165"/>
    <col min="513" max="513" width="26.7109375" style="165" customWidth="1"/>
    <col min="514" max="514" width="73.7109375" style="165" customWidth="1"/>
    <col min="515" max="515" width="58.42578125" style="165" customWidth="1"/>
    <col min="516" max="516" width="28.85546875" style="165" customWidth="1"/>
    <col min="517" max="768" width="9.140625" style="165"/>
    <col min="769" max="769" width="26.7109375" style="165" customWidth="1"/>
    <col min="770" max="770" width="73.7109375" style="165" customWidth="1"/>
    <col min="771" max="771" width="58.42578125" style="165" customWidth="1"/>
    <col min="772" max="772" width="28.85546875" style="165" customWidth="1"/>
    <col min="773" max="1024" width="9.140625" style="165"/>
    <col min="1025" max="1025" width="26.7109375" style="165" customWidth="1"/>
    <col min="1026" max="1026" width="73.7109375" style="165" customWidth="1"/>
    <col min="1027" max="1027" width="58.42578125" style="165" customWidth="1"/>
    <col min="1028" max="1028" width="28.85546875" style="165" customWidth="1"/>
    <col min="1029" max="1280" width="9.140625" style="165"/>
    <col min="1281" max="1281" width="26.7109375" style="165" customWidth="1"/>
    <col min="1282" max="1282" width="73.7109375" style="165" customWidth="1"/>
    <col min="1283" max="1283" width="58.42578125" style="165" customWidth="1"/>
    <col min="1284" max="1284" width="28.85546875" style="165" customWidth="1"/>
    <col min="1285" max="1536" width="9.140625" style="165"/>
    <col min="1537" max="1537" width="26.7109375" style="165" customWidth="1"/>
    <col min="1538" max="1538" width="73.7109375" style="165" customWidth="1"/>
    <col min="1539" max="1539" width="58.42578125" style="165" customWidth="1"/>
    <col min="1540" max="1540" width="28.85546875" style="165" customWidth="1"/>
    <col min="1541" max="1792" width="9.140625" style="165"/>
    <col min="1793" max="1793" width="26.7109375" style="165" customWidth="1"/>
    <col min="1794" max="1794" width="73.7109375" style="165" customWidth="1"/>
    <col min="1795" max="1795" width="58.42578125" style="165" customWidth="1"/>
    <col min="1796" max="1796" width="28.85546875" style="165" customWidth="1"/>
    <col min="1797" max="2048" width="9.140625" style="165"/>
    <col min="2049" max="2049" width="26.7109375" style="165" customWidth="1"/>
    <col min="2050" max="2050" width="73.7109375" style="165" customWidth="1"/>
    <col min="2051" max="2051" width="58.42578125" style="165" customWidth="1"/>
    <col min="2052" max="2052" width="28.85546875" style="165" customWidth="1"/>
    <col min="2053" max="2304" width="9.140625" style="165"/>
    <col min="2305" max="2305" width="26.7109375" style="165" customWidth="1"/>
    <col min="2306" max="2306" width="73.7109375" style="165" customWidth="1"/>
    <col min="2307" max="2307" width="58.42578125" style="165" customWidth="1"/>
    <col min="2308" max="2308" width="28.85546875" style="165" customWidth="1"/>
    <col min="2309" max="2560" width="9.140625" style="165"/>
    <col min="2561" max="2561" width="26.7109375" style="165" customWidth="1"/>
    <col min="2562" max="2562" width="73.7109375" style="165" customWidth="1"/>
    <col min="2563" max="2563" width="58.42578125" style="165" customWidth="1"/>
    <col min="2564" max="2564" width="28.85546875" style="165" customWidth="1"/>
    <col min="2565" max="2816" width="9.140625" style="165"/>
    <col min="2817" max="2817" width="26.7109375" style="165" customWidth="1"/>
    <col min="2818" max="2818" width="73.7109375" style="165" customWidth="1"/>
    <col min="2819" max="2819" width="58.42578125" style="165" customWidth="1"/>
    <col min="2820" max="2820" width="28.85546875" style="165" customWidth="1"/>
    <col min="2821" max="3072" width="9.140625" style="165"/>
    <col min="3073" max="3073" width="26.7109375" style="165" customWidth="1"/>
    <col min="3074" max="3074" width="73.7109375" style="165" customWidth="1"/>
    <col min="3075" max="3075" width="58.42578125" style="165" customWidth="1"/>
    <col min="3076" max="3076" width="28.85546875" style="165" customWidth="1"/>
    <col min="3077" max="3328" width="9.140625" style="165"/>
    <col min="3329" max="3329" width="26.7109375" style="165" customWidth="1"/>
    <col min="3330" max="3330" width="73.7109375" style="165" customWidth="1"/>
    <col min="3331" max="3331" width="58.42578125" style="165" customWidth="1"/>
    <col min="3332" max="3332" width="28.85546875" style="165" customWidth="1"/>
    <col min="3333" max="3584" width="9.140625" style="165"/>
    <col min="3585" max="3585" width="26.7109375" style="165" customWidth="1"/>
    <col min="3586" max="3586" width="73.7109375" style="165" customWidth="1"/>
    <col min="3587" max="3587" width="58.42578125" style="165" customWidth="1"/>
    <col min="3588" max="3588" width="28.85546875" style="165" customWidth="1"/>
    <col min="3589" max="3840" width="9.140625" style="165"/>
    <col min="3841" max="3841" width="26.7109375" style="165" customWidth="1"/>
    <col min="3842" max="3842" width="73.7109375" style="165" customWidth="1"/>
    <col min="3843" max="3843" width="58.42578125" style="165" customWidth="1"/>
    <col min="3844" max="3844" width="28.85546875" style="165" customWidth="1"/>
    <col min="3845" max="4096" width="9.140625" style="165"/>
    <col min="4097" max="4097" width="26.7109375" style="165" customWidth="1"/>
    <col min="4098" max="4098" width="73.7109375" style="165" customWidth="1"/>
    <col min="4099" max="4099" width="58.42578125" style="165" customWidth="1"/>
    <col min="4100" max="4100" width="28.85546875" style="165" customWidth="1"/>
    <col min="4101" max="4352" width="9.140625" style="165"/>
    <col min="4353" max="4353" width="26.7109375" style="165" customWidth="1"/>
    <col min="4354" max="4354" width="73.7109375" style="165" customWidth="1"/>
    <col min="4355" max="4355" width="58.42578125" style="165" customWidth="1"/>
    <col min="4356" max="4356" width="28.85546875" style="165" customWidth="1"/>
    <col min="4357" max="4608" width="9.140625" style="165"/>
    <col min="4609" max="4609" width="26.7109375" style="165" customWidth="1"/>
    <col min="4610" max="4610" width="73.7109375" style="165" customWidth="1"/>
    <col min="4611" max="4611" width="58.42578125" style="165" customWidth="1"/>
    <col min="4612" max="4612" width="28.85546875" style="165" customWidth="1"/>
    <col min="4613" max="4864" width="9.140625" style="165"/>
    <col min="4865" max="4865" width="26.7109375" style="165" customWidth="1"/>
    <col min="4866" max="4866" width="73.7109375" style="165" customWidth="1"/>
    <col min="4867" max="4867" width="58.42578125" style="165" customWidth="1"/>
    <col min="4868" max="4868" width="28.85546875" style="165" customWidth="1"/>
    <col min="4869" max="5120" width="9.140625" style="165"/>
    <col min="5121" max="5121" width="26.7109375" style="165" customWidth="1"/>
    <col min="5122" max="5122" width="73.7109375" style="165" customWidth="1"/>
    <col min="5123" max="5123" width="58.42578125" style="165" customWidth="1"/>
    <col min="5124" max="5124" width="28.85546875" style="165" customWidth="1"/>
    <col min="5125" max="5376" width="9.140625" style="165"/>
    <col min="5377" max="5377" width="26.7109375" style="165" customWidth="1"/>
    <col min="5378" max="5378" width="73.7109375" style="165" customWidth="1"/>
    <col min="5379" max="5379" width="58.42578125" style="165" customWidth="1"/>
    <col min="5380" max="5380" width="28.85546875" style="165" customWidth="1"/>
    <col min="5381" max="5632" width="9.140625" style="165"/>
    <col min="5633" max="5633" width="26.7109375" style="165" customWidth="1"/>
    <col min="5634" max="5634" width="73.7109375" style="165" customWidth="1"/>
    <col min="5635" max="5635" width="58.42578125" style="165" customWidth="1"/>
    <col min="5636" max="5636" width="28.85546875" style="165" customWidth="1"/>
    <col min="5637" max="5888" width="9.140625" style="165"/>
    <col min="5889" max="5889" width="26.7109375" style="165" customWidth="1"/>
    <col min="5890" max="5890" width="73.7109375" style="165" customWidth="1"/>
    <col min="5891" max="5891" width="58.42578125" style="165" customWidth="1"/>
    <col min="5892" max="5892" width="28.85546875" style="165" customWidth="1"/>
    <col min="5893" max="6144" width="9.140625" style="165"/>
    <col min="6145" max="6145" width="26.7109375" style="165" customWidth="1"/>
    <col min="6146" max="6146" width="73.7109375" style="165" customWidth="1"/>
    <col min="6147" max="6147" width="58.42578125" style="165" customWidth="1"/>
    <col min="6148" max="6148" width="28.85546875" style="165" customWidth="1"/>
    <col min="6149" max="6400" width="9.140625" style="165"/>
    <col min="6401" max="6401" width="26.7109375" style="165" customWidth="1"/>
    <col min="6402" max="6402" width="73.7109375" style="165" customWidth="1"/>
    <col min="6403" max="6403" width="58.42578125" style="165" customWidth="1"/>
    <col min="6404" max="6404" width="28.85546875" style="165" customWidth="1"/>
    <col min="6405" max="6656" width="9.140625" style="165"/>
    <col min="6657" max="6657" width="26.7109375" style="165" customWidth="1"/>
    <col min="6658" max="6658" width="73.7109375" style="165" customWidth="1"/>
    <col min="6659" max="6659" width="58.42578125" style="165" customWidth="1"/>
    <col min="6660" max="6660" width="28.85546875" style="165" customWidth="1"/>
    <col min="6661" max="6912" width="9.140625" style="165"/>
    <col min="6913" max="6913" width="26.7109375" style="165" customWidth="1"/>
    <col min="6914" max="6914" width="73.7109375" style="165" customWidth="1"/>
    <col min="6915" max="6915" width="58.42578125" style="165" customWidth="1"/>
    <col min="6916" max="6916" width="28.85546875" style="165" customWidth="1"/>
    <col min="6917" max="7168" width="9.140625" style="165"/>
    <col min="7169" max="7169" width="26.7109375" style="165" customWidth="1"/>
    <col min="7170" max="7170" width="73.7109375" style="165" customWidth="1"/>
    <col min="7171" max="7171" width="58.42578125" style="165" customWidth="1"/>
    <col min="7172" max="7172" width="28.85546875" style="165" customWidth="1"/>
    <col min="7173" max="7424" width="9.140625" style="165"/>
    <col min="7425" max="7425" width="26.7109375" style="165" customWidth="1"/>
    <col min="7426" max="7426" width="73.7109375" style="165" customWidth="1"/>
    <col min="7427" max="7427" width="58.42578125" style="165" customWidth="1"/>
    <col min="7428" max="7428" width="28.85546875" style="165" customWidth="1"/>
    <col min="7429" max="7680" width="9.140625" style="165"/>
    <col min="7681" max="7681" width="26.7109375" style="165" customWidth="1"/>
    <col min="7682" max="7682" width="73.7109375" style="165" customWidth="1"/>
    <col min="7683" max="7683" width="58.42578125" style="165" customWidth="1"/>
    <col min="7684" max="7684" width="28.85546875" style="165" customWidth="1"/>
    <col min="7685" max="7936" width="9.140625" style="165"/>
    <col min="7937" max="7937" width="26.7109375" style="165" customWidth="1"/>
    <col min="7938" max="7938" width="73.7109375" style="165" customWidth="1"/>
    <col min="7939" max="7939" width="58.42578125" style="165" customWidth="1"/>
    <col min="7940" max="7940" width="28.85546875" style="165" customWidth="1"/>
    <col min="7941" max="8192" width="9.140625" style="165"/>
    <col min="8193" max="8193" width="26.7109375" style="165" customWidth="1"/>
    <col min="8194" max="8194" width="73.7109375" style="165" customWidth="1"/>
    <col min="8195" max="8195" width="58.42578125" style="165" customWidth="1"/>
    <col min="8196" max="8196" width="28.85546875" style="165" customWidth="1"/>
    <col min="8197" max="8448" width="9.140625" style="165"/>
    <col min="8449" max="8449" width="26.7109375" style="165" customWidth="1"/>
    <col min="8450" max="8450" width="73.7109375" style="165" customWidth="1"/>
    <col min="8451" max="8451" width="58.42578125" style="165" customWidth="1"/>
    <col min="8452" max="8452" width="28.85546875" style="165" customWidth="1"/>
    <col min="8453" max="8704" width="9.140625" style="165"/>
    <col min="8705" max="8705" width="26.7109375" style="165" customWidth="1"/>
    <col min="8706" max="8706" width="73.7109375" style="165" customWidth="1"/>
    <col min="8707" max="8707" width="58.42578125" style="165" customWidth="1"/>
    <col min="8708" max="8708" width="28.85546875" style="165" customWidth="1"/>
    <col min="8709" max="8960" width="9.140625" style="165"/>
    <col min="8961" max="8961" width="26.7109375" style="165" customWidth="1"/>
    <col min="8962" max="8962" width="73.7109375" style="165" customWidth="1"/>
    <col min="8963" max="8963" width="58.42578125" style="165" customWidth="1"/>
    <col min="8964" max="8964" width="28.85546875" style="165" customWidth="1"/>
    <col min="8965" max="9216" width="9.140625" style="165"/>
    <col min="9217" max="9217" width="26.7109375" style="165" customWidth="1"/>
    <col min="9218" max="9218" width="73.7109375" style="165" customWidth="1"/>
    <col min="9219" max="9219" width="58.42578125" style="165" customWidth="1"/>
    <col min="9220" max="9220" width="28.85546875" style="165" customWidth="1"/>
    <col min="9221" max="9472" width="9.140625" style="165"/>
    <col min="9473" max="9473" width="26.7109375" style="165" customWidth="1"/>
    <col min="9474" max="9474" width="73.7109375" style="165" customWidth="1"/>
    <col min="9475" max="9475" width="58.42578125" style="165" customWidth="1"/>
    <col min="9476" max="9476" width="28.85546875" style="165" customWidth="1"/>
    <col min="9477" max="9728" width="9.140625" style="165"/>
    <col min="9729" max="9729" width="26.7109375" style="165" customWidth="1"/>
    <col min="9730" max="9730" width="73.7109375" style="165" customWidth="1"/>
    <col min="9731" max="9731" width="58.42578125" style="165" customWidth="1"/>
    <col min="9732" max="9732" width="28.85546875" style="165" customWidth="1"/>
    <col min="9733" max="9984" width="9.140625" style="165"/>
    <col min="9985" max="9985" width="26.7109375" style="165" customWidth="1"/>
    <col min="9986" max="9986" width="73.7109375" style="165" customWidth="1"/>
    <col min="9987" max="9987" width="58.42578125" style="165" customWidth="1"/>
    <col min="9988" max="9988" width="28.85546875" style="165" customWidth="1"/>
    <col min="9989" max="10240" width="9.140625" style="165"/>
    <col min="10241" max="10241" width="26.7109375" style="165" customWidth="1"/>
    <col min="10242" max="10242" width="73.7109375" style="165" customWidth="1"/>
    <col min="10243" max="10243" width="58.42578125" style="165" customWidth="1"/>
    <col min="10244" max="10244" width="28.85546875" style="165" customWidth="1"/>
    <col min="10245" max="10496" width="9.140625" style="165"/>
    <col min="10497" max="10497" width="26.7109375" style="165" customWidth="1"/>
    <col min="10498" max="10498" width="73.7109375" style="165" customWidth="1"/>
    <col min="10499" max="10499" width="58.42578125" style="165" customWidth="1"/>
    <col min="10500" max="10500" width="28.85546875" style="165" customWidth="1"/>
    <col min="10501" max="10752" width="9.140625" style="165"/>
    <col min="10753" max="10753" width="26.7109375" style="165" customWidth="1"/>
    <col min="10754" max="10754" width="73.7109375" style="165" customWidth="1"/>
    <col min="10755" max="10755" width="58.42578125" style="165" customWidth="1"/>
    <col min="10756" max="10756" width="28.85546875" style="165" customWidth="1"/>
    <col min="10757" max="11008" width="9.140625" style="165"/>
    <col min="11009" max="11009" width="26.7109375" style="165" customWidth="1"/>
    <col min="11010" max="11010" width="73.7109375" style="165" customWidth="1"/>
    <col min="11011" max="11011" width="58.42578125" style="165" customWidth="1"/>
    <col min="11012" max="11012" width="28.85546875" style="165" customWidth="1"/>
    <col min="11013" max="11264" width="9.140625" style="165"/>
    <col min="11265" max="11265" width="26.7109375" style="165" customWidth="1"/>
    <col min="11266" max="11266" width="73.7109375" style="165" customWidth="1"/>
    <col min="11267" max="11267" width="58.42578125" style="165" customWidth="1"/>
    <col min="11268" max="11268" width="28.85546875" style="165" customWidth="1"/>
    <col min="11269" max="11520" width="9.140625" style="165"/>
    <col min="11521" max="11521" width="26.7109375" style="165" customWidth="1"/>
    <col min="11522" max="11522" width="73.7109375" style="165" customWidth="1"/>
    <col min="11523" max="11523" width="58.42578125" style="165" customWidth="1"/>
    <col min="11524" max="11524" width="28.85546875" style="165" customWidth="1"/>
    <col min="11525" max="11776" width="9.140625" style="165"/>
    <col min="11777" max="11777" width="26.7109375" style="165" customWidth="1"/>
    <col min="11778" max="11778" width="73.7109375" style="165" customWidth="1"/>
    <col min="11779" max="11779" width="58.42578125" style="165" customWidth="1"/>
    <col min="11780" max="11780" width="28.85546875" style="165" customWidth="1"/>
    <col min="11781" max="12032" width="9.140625" style="165"/>
    <col min="12033" max="12033" width="26.7109375" style="165" customWidth="1"/>
    <col min="12034" max="12034" width="73.7109375" style="165" customWidth="1"/>
    <col min="12035" max="12035" width="58.42578125" style="165" customWidth="1"/>
    <col min="12036" max="12036" width="28.85546875" style="165" customWidth="1"/>
    <col min="12037" max="12288" width="9.140625" style="165"/>
    <col min="12289" max="12289" width="26.7109375" style="165" customWidth="1"/>
    <col min="12290" max="12290" width="73.7109375" style="165" customWidth="1"/>
    <col min="12291" max="12291" width="58.42578125" style="165" customWidth="1"/>
    <col min="12292" max="12292" width="28.85546875" style="165" customWidth="1"/>
    <col min="12293" max="12544" width="9.140625" style="165"/>
    <col min="12545" max="12545" width="26.7109375" style="165" customWidth="1"/>
    <col min="12546" max="12546" width="73.7109375" style="165" customWidth="1"/>
    <col min="12547" max="12547" width="58.42578125" style="165" customWidth="1"/>
    <col min="12548" max="12548" width="28.85546875" style="165" customWidth="1"/>
    <col min="12549" max="12800" width="9.140625" style="165"/>
    <col min="12801" max="12801" width="26.7109375" style="165" customWidth="1"/>
    <col min="12802" max="12802" width="73.7109375" style="165" customWidth="1"/>
    <col min="12803" max="12803" width="58.42578125" style="165" customWidth="1"/>
    <col min="12804" max="12804" width="28.85546875" style="165" customWidth="1"/>
    <col min="12805" max="13056" width="9.140625" style="165"/>
    <col min="13057" max="13057" width="26.7109375" style="165" customWidth="1"/>
    <col min="13058" max="13058" width="73.7109375" style="165" customWidth="1"/>
    <col min="13059" max="13059" width="58.42578125" style="165" customWidth="1"/>
    <col min="13060" max="13060" width="28.85546875" style="165" customWidth="1"/>
    <col min="13061" max="13312" width="9.140625" style="165"/>
    <col min="13313" max="13313" width="26.7109375" style="165" customWidth="1"/>
    <col min="13314" max="13314" width="73.7109375" style="165" customWidth="1"/>
    <col min="13315" max="13315" width="58.42578125" style="165" customWidth="1"/>
    <col min="13316" max="13316" width="28.85546875" style="165" customWidth="1"/>
    <col min="13317" max="13568" width="9.140625" style="165"/>
    <col min="13569" max="13569" width="26.7109375" style="165" customWidth="1"/>
    <col min="13570" max="13570" width="73.7109375" style="165" customWidth="1"/>
    <col min="13571" max="13571" width="58.42578125" style="165" customWidth="1"/>
    <col min="13572" max="13572" width="28.85546875" style="165" customWidth="1"/>
    <col min="13573" max="13824" width="9.140625" style="165"/>
    <col min="13825" max="13825" width="26.7109375" style="165" customWidth="1"/>
    <col min="13826" max="13826" width="73.7109375" style="165" customWidth="1"/>
    <col min="13827" max="13827" width="58.42578125" style="165" customWidth="1"/>
    <col min="13828" max="13828" width="28.85546875" style="165" customWidth="1"/>
    <col min="13829" max="14080" width="9.140625" style="165"/>
    <col min="14081" max="14081" width="26.7109375" style="165" customWidth="1"/>
    <col min="14082" max="14082" width="73.7109375" style="165" customWidth="1"/>
    <col min="14083" max="14083" width="58.42578125" style="165" customWidth="1"/>
    <col min="14084" max="14084" width="28.85546875" style="165" customWidth="1"/>
    <col min="14085" max="14336" width="9.140625" style="165"/>
    <col min="14337" max="14337" width="26.7109375" style="165" customWidth="1"/>
    <col min="14338" max="14338" width="73.7109375" style="165" customWidth="1"/>
    <col min="14339" max="14339" width="58.42578125" style="165" customWidth="1"/>
    <col min="14340" max="14340" width="28.85546875" style="165" customWidth="1"/>
    <col min="14341" max="14592" width="9.140625" style="165"/>
    <col min="14593" max="14593" width="26.7109375" style="165" customWidth="1"/>
    <col min="14594" max="14594" width="73.7109375" style="165" customWidth="1"/>
    <col min="14595" max="14595" width="58.42578125" style="165" customWidth="1"/>
    <col min="14596" max="14596" width="28.85546875" style="165" customWidth="1"/>
    <col min="14597" max="14848" width="9.140625" style="165"/>
    <col min="14849" max="14849" width="26.7109375" style="165" customWidth="1"/>
    <col min="14850" max="14850" width="73.7109375" style="165" customWidth="1"/>
    <col min="14851" max="14851" width="58.42578125" style="165" customWidth="1"/>
    <col min="14852" max="14852" width="28.85546875" style="165" customWidth="1"/>
    <col min="14853" max="15104" width="9.140625" style="165"/>
    <col min="15105" max="15105" width="26.7109375" style="165" customWidth="1"/>
    <col min="15106" max="15106" width="73.7109375" style="165" customWidth="1"/>
    <col min="15107" max="15107" width="58.42578125" style="165" customWidth="1"/>
    <col min="15108" max="15108" width="28.85546875" style="165" customWidth="1"/>
    <col min="15109" max="15360" width="9.140625" style="165"/>
    <col min="15361" max="15361" width="26.7109375" style="165" customWidth="1"/>
    <col min="15362" max="15362" width="73.7109375" style="165" customWidth="1"/>
    <col min="15363" max="15363" width="58.42578125" style="165" customWidth="1"/>
    <col min="15364" max="15364" width="28.85546875" style="165" customWidth="1"/>
    <col min="15365" max="15616" width="9.140625" style="165"/>
    <col min="15617" max="15617" width="26.7109375" style="165" customWidth="1"/>
    <col min="15618" max="15618" width="73.7109375" style="165" customWidth="1"/>
    <col min="15619" max="15619" width="58.42578125" style="165" customWidth="1"/>
    <col min="15620" max="15620" width="28.85546875" style="165" customWidth="1"/>
    <col min="15621" max="15872" width="9.140625" style="165"/>
    <col min="15873" max="15873" width="26.7109375" style="165" customWidth="1"/>
    <col min="15874" max="15874" width="73.7109375" style="165" customWidth="1"/>
    <col min="15875" max="15875" width="58.42578125" style="165" customWidth="1"/>
    <col min="15876" max="15876" width="28.85546875" style="165" customWidth="1"/>
    <col min="15877" max="16128" width="9.140625" style="165"/>
    <col min="16129" max="16129" width="26.7109375" style="165" customWidth="1"/>
    <col min="16130" max="16130" width="73.7109375" style="165" customWidth="1"/>
    <col min="16131" max="16131" width="58.42578125" style="165" customWidth="1"/>
    <col min="16132" max="16132" width="28.85546875" style="165" customWidth="1"/>
    <col min="16133" max="16384" width="9.140625" style="165"/>
  </cols>
  <sheetData>
    <row r="1" spans="2:5" ht="13.5" thickBot="1"/>
    <row r="2" spans="2:5" s="169" customFormat="1" ht="19.5" thickBot="1">
      <c r="B2" s="166" t="s">
        <v>251</v>
      </c>
      <c r="C2" s="167" t="s">
        <v>160</v>
      </c>
      <c r="D2" s="167"/>
      <c r="E2" s="168"/>
    </row>
    <row r="3" spans="2:5" s="169" customFormat="1" ht="15">
      <c r="B3" s="170" t="s">
        <v>252</v>
      </c>
      <c r="C3" s="170" t="s">
        <v>253</v>
      </c>
      <c r="D3" s="170" t="s">
        <v>254</v>
      </c>
      <c r="E3" s="170" t="s">
        <v>255</v>
      </c>
    </row>
    <row r="4" spans="2:5" ht="25.5">
      <c r="B4" s="171" t="s">
        <v>256</v>
      </c>
      <c r="C4" s="172" t="s">
        <v>266</v>
      </c>
      <c r="D4" s="172"/>
      <c r="E4" s="172" t="s">
        <v>281</v>
      </c>
    </row>
    <row r="5" spans="2:5" ht="25.5">
      <c r="B5" s="171" t="s">
        <v>257</v>
      </c>
      <c r="C5" s="173" t="s">
        <v>291</v>
      </c>
      <c r="D5" s="174" t="s">
        <v>269</v>
      </c>
      <c r="E5" s="174"/>
    </row>
    <row r="6" spans="2:5" ht="38.25">
      <c r="B6" s="171" t="s">
        <v>258</v>
      </c>
      <c r="C6" s="174" t="s">
        <v>292</v>
      </c>
      <c r="D6" s="173"/>
      <c r="E6" s="190"/>
    </row>
    <row r="7" spans="2:5" ht="51">
      <c r="B7" s="171" t="s">
        <v>259</v>
      </c>
      <c r="C7" s="173" t="s">
        <v>268</v>
      </c>
      <c r="D7" s="178" t="s">
        <v>267</v>
      </c>
      <c r="E7" s="173"/>
    </row>
    <row r="8" spans="2:5" s="169" customFormat="1" ht="39.75" customHeight="1">
      <c r="B8" s="175" t="s">
        <v>260</v>
      </c>
      <c r="C8" s="176" t="s">
        <v>261</v>
      </c>
      <c r="D8" s="177"/>
      <c r="E8" s="177"/>
    </row>
    <row r="9" spans="2:5">
      <c r="B9" s="171" t="s">
        <v>262</v>
      </c>
      <c r="C9" s="173" t="s">
        <v>282</v>
      </c>
      <c r="D9" s="173"/>
      <c r="E9" s="173"/>
    </row>
    <row r="10" spans="2:5">
      <c r="B10" s="171" t="s">
        <v>263</v>
      </c>
      <c r="C10" s="173" t="s">
        <v>229</v>
      </c>
      <c r="D10" s="173"/>
      <c r="E10" s="173"/>
    </row>
    <row r="11" spans="2:5">
      <c r="B11" s="171" t="s">
        <v>242</v>
      </c>
      <c r="C11" s="173" t="s">
        <v>229</v>
      </c>
      <c r="D11" s="173"/>
      <c r="E11" s="173"/>
    </row>
    <row r="12" spans="2:5">
      <c r="B12" s="171" t="s">
        <v>264</v>
      </c>
      <c r="C12" s="173" t="s">
        <v>283</v>
      </c>
      <c r="D12" s="173"/>
      <c r="E12" s="173"/>
    </row>
    <row r="13" spans="2:5" ht="38.25">
      <c r="B13" s="171" t="s">
        <v>265</v>
      </c>
      <c r="C13" s="173" t="s">
        <v>544</v>
      </c>
      <c r="D13" s="173" t="s">
        <v>545</v>
      </c>
      <c r="E13" s="173"/>
    </row>
    <row r="14" spans="2:5" customFormat="1"/>
    <row r="15" spans="2:5" customFormat="1"/>
    <row r="16" spans="2:5" customFormat="1"/>
    <row r="17" customFormat="1"/>
    <row r="18" customFormat="1"/>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1"/>
  <dimension ref="A2:U48"/>
  <sheetViews>
    <sheetView workbookViewId="0">
      <selection activeCell="D16" sqref="D16"/>
    </sheetView>
  </sheetViews>
  <sheetFormatPr defaultRowHeight="12.75"/>
  <cols>
    <col min="3" max="3" width="14.7109375" customWidth="1"/>
  </cols>
  <sheetData>
    <row r="2" spans="1:20" ht="18.75">
      <c r="A2" s="78" t="s">
        <v>160</v>
      </c>
      <c r="B2" s="78"/>
      <c r="C2" s="79"/>
      <c r="D2" s="80"/>
      <c r="E2" s="80"/>
      <c r="F2" s="80"/>
      <c r="G2" s="80"/>
      <c r="H2" s="80"/>
      <c r="I2" s="80"/>
      <c r="J2" s="80"/>
      <c r="K2" s="80"/>
      <c r="L2" s="80"/>
      <c r="M2" s="81"/>
      <c r="N2" s="81"/>
      <c r="O2" s="81"/>
      <c r="P2" s="81"/>
      <c r="Q2" s="81"/>
    </row>
    <row r="3" spans="1:20" ht="60">
      <c r="A3" s="80"/>
      <c r="B3" s="80"/>
      <c r="C3" s="82" t="s">
        <v>22</v>
      </c>
      <c r="D3" s="83" t="s">
        <v>161</v>
      </c>
      <c r="E3" s="84" t="s">
        <v>162</v>
      </c>
      <c r="F3" s="84" t="s">
        <v>163</v>
      </c>
      <c r="G3" s="84" t="s">
        <v>164</v>
      </c>
      <c r="H3" s="84" t="s">
        <v>165</v>
      </c>
      <c r="I3" s="84" t="s">
        <v>166</v>
      </c>
      <c r="J3" s="84" t="s">
        <v>167</v>
      </c>
      <c r="K3" s="84" t="s">
        <v>168</v>
      </c>
      <c r="L3" s="84" t="s">
        <v>169</v>
      </c>
      <c r="M3" s="84" t="s">
        <v>170</v>
      </c>
      <c r="N3" s="85" t="s">
        <v>171</v>
      </c>
      <c r="O3" s="85" t="s">
        <v>172</v>
      </c>
      <c r="P3" s="86" t="s">
        <v>173</v>
      </c>
      <c r="Q3" s="84" t="s">
        <v>174</v>
      </c>
    </row>
    <row r="4" spans="1:20" ht="15">
      <c r="A4" s="80"/>
      <c r="B4" s="80" t="s">
        <v>48</v>
      </c>
      <c r="C4" s="87" t="s">
        <v>178</v>
      </c>
      <c r="D4" s="88" t="s">
        <v>176</v>
      </c>
      <c r="E4" s="120">
        <f>VLOOKUP(B4,$C$23:$D$25,2,0)</f>
        <v>2.72</v>
      </c>
      <c r="F4" s="203">
        <f>$D$42</f>
        <v>0.59299999999999997</v>
      </c>
      <c r="G4" s="91">
        <f>365-7</f>
        <v>358</v>
      </c>
      <c r="H4" s="182">
        <v>1.6</v>
      </c>
      <c r="I4" s="93">
        <f t="shared" ref="I4:I10" si="0">$G$32</f>
        <v>2.48</v>
      </c>
      <c r="J4" s="100">
        <v>1</v>
      </c>
      <c r="K4" s="183">
        <v>0.45</v>
      </c>
      <c r="L4" s="90">
        <v>0.98</v>
      </c>
      <c r="M4" s="95">
        <v>1</v>
      </c>
      <c r="N4" s="96">
        <f>E4*G4*H4*(I4-J4)*F4*K4*$I$19/$I$22*$C$37/L4*M4</f>
        <v>114.68594709333053</v>
      </c>
      <c r="O4" s="96"/>
      <c r="P4" s="97">
        <f t="shared" ref="P4:P10" si="1">Q4*$C$28</f>
        <v>7.2285914219165104</v>
      </c>
      <c r="Q4" s="96">
        <f t="shared" ref="Q4:Q10" si="2">E4*G4*H4*(I4-J4)*F4*M4</f>
        <v>1367.3771622400002</v>
      </c>
    </row>
    <row r="5" spans="1:20" ht="15">
      <c r="A5" s="80" t="s">
        <v>352</v>
      </c>
      <c r="B5" s="80" t="s">
        <v>48</v>
      </c>
      <c r="C5" s="87" t="s">
        <v>353</v>
      </c>
      <c r="D5" s="88" t="s">
        <v>176</v>
      </c>
      <c r="E5" s="120">
        <f t="shared" ref="E5:E10" si="3">VLOOKUP(B5,$C$23:$D$25,2,0)</f>
        <v>2.72</v>
      </c>
      <c r="F5" s="203">
        <f t="shared" ref="F5:F10" si="4">$D$42</f>
        <v>0.59299999999999997</v>
      </c>
      <c r="G5" s="91">
        <f>G4</f>
        <v>358</v>
      </c>
      <c r="H5" s="182">
        <v>1.6</v>
      </c>
      <c r="I5" s="93">
        <f t="shared" si="0"/>
        <v>2.48</v>
      </c>
      <c r="J5" s="100">
        <v>1</v>
      </c>
      <c r="K5" s="183">
        <v>0.45</v>
      </c>
      <c r="L5" s="90">
        <v>0.75</v>
      </c>
      <c r="M5" s="95">
        <v>1</v>
      </c>
      <c r="N5" s="96"/>
      <c r="O5" s="96">
        <f>E5*G5*H5*(I5-J5)*F5*K5*$I$19*$C$37/POWER(10,5)/L5*M5</f>
        <v>5.1133068981964813</v>
      </c>
      <c r="P5" s="97">
        <f t="shared" si="1"/>
        <v>7.2285914219165104</v>
      </c>
      <c r="Q5" s="96">
        <f t="shared" si="2"/>
        <v>1367.3771622400002</v>
      </c>
    </row>
    <row r="6" spans="1:20" ht="15">
      <c r="A6" s="80" t="s">
        <v>284</v>
      </c>
      <c r="B6" s="80" t="s">
        <v>48</v>
      </c>
      <c r="C6" s="87" t="s">
        <v>178</v>
      </c>
      <c r="D6" s="88" t="s">
        <v>176</v>
      </c>
      <c r="E6" s="120">
        <f t="shared" si="3"/>
        <v>2.72</v>
      </c>
      <c r="F6" s="203">
        <f t="shared" si="4"/>
        <v>0.59299999999999997</v>
      </c>
      <c r="G6" s="91">
        <f>365-7</f>
        <v>358</v>
      </c>
      <c r="H6" s="182">
        <v>1.6</v>
      </c>
      <c r="I6" s="93">
        <f t="shared" si="0"/>
        <v>2.48</v>
      </c>
      <c r="J6" s="100">
        <v>1</v>
      </c>
      <c r="K6" s="183">
        <v>0.45</v>
      </c>
      <c r="L6" s="98">
        <v>2</v>
      </c>
      <c r="M6" s="95">
        <v>1</v>
      </c>
      <c r="N6" s="96">
        <f>E6*G6*H6*(I6-J6)*F6*K6*$I$19/$I$22*$C$37/L6*M6</f>
        <v>56.196114075731955</v>
      </c>
      <c r="O6" s="99"/>
      <c r="P6" s="97">
        <f t="shared" si="1"/>
        <v>7.2285914219165104</v>
      </c>
      <c r="Q6" s="96">
        <f t="shared" si="2"/>
        <v>1367.3771622400002</v>
      </c>
    </row>
    <row r="7" spans="1:20" ht="15">
      <c r="A7" s="80"/>
      <c r="B7" s="80" t="s">
        <v>184</v>
      </c>
      <c r="C7" s="87" t="s">
        <v>178</v>
      </c>
      <c r="D7" s="88" t="s">
        <v>176</v>
      </c>
      <c r="E7" s="120">
        <f>VLOOKUP(B7,$C$23:$D$25,2,0)</f>
        <v>1.92</v>
      </c>
      <c r="F7" s="203">
        <f t="shared" si="4"/>
        <v>0.59299999999999997</v>
      </c>
      <c r="G7" s="91">
        <f>365-7</f>
        <v>358</v>
      </c>
      <c r="H7" s="182">
        <v>1.6</v>
      </c>
      <c r="I7" s="93">
        <f t="shared" si="0"/>
        <v>2.48</v>
      </c>
      <c r="J7" s="100">
        <v>1</v>
      </c>
      <c r="K7" s="183">
        <v>0.45</v>
      </c>
      <c r="L7" s="90">
        <v>0.98</v>
      </c>
      <c r="M7" s="95">
        <v>1</v>
      </c>
      <c r="N7" s="96">
        <f>E7*G7*H7*(I7-J7)*F7*K7*$I$19/$I$22*$C$37/L7*M7</f>
        <v>80.954786183527418</v>
      </c>
      <c r="O7" s="96"/>
      <c r="P7" s="97">
        <f t="shared" si="1"/>
        <v>5.1025351213528296</v>
      </c>
      <c r="Q7" s="96">
        <f t="shared" si="2"/>
        <v>965.20740863999993</v>
      </c>
    </row>
    <row r="8" spans="1:20" ht="15">
      <c r="A8" s="80" t="s">
        <v>352</v>
      </c>
      <c r="B8" s="80" t="s">
        <v>184</v>
      </c>
      <c r="C8" s="87" t="s">
        <v>353</v>
      </c>
      <c r="D8" s="88" t="s">
        <v>176</v>
      </c>
      <c r="E8" s="120">
        <f t="shared" si="3"/>
        <v>1.92</v>
      </c>
      <c r="F8" s="203">
        <f t="shared" si="4"/>
        <v>0.59299999999999997</v>
      </c>
      <c r="G8" s="91">
        <f>G7</f>
        <v>358</v>
      </c>
      <c r="H8" s="182">
        <v>1.6</v>
      </c>
      <c r="I8" s="93">
        <f t="shared" si="0"/>
        <v>2.48</v>
      </c>
      <c r="J8" s="100">
        <v>1</v>
      </c>
      <c r="K8" s="183">
        <v>0.45</v>
      </c>
      <c r="L8" s="90">
        <v>0.75</v>
      </c>
      <c r="M8" s="95">
        <v>1</v>
      </c>
      <c r="N8" s="96"/>
      <c r="O8" s="96">
        <f>E8*G8*H8*(I8-J8)*F8*K8*$I$19*$C$37/POWER(10,5)/L8*M8</f>
        <v>3.6093931046092798</v>
      </c>
      <c r="P8" s="97">
        <f t="shared" si="1"/>
        <v>5.1025351213528296</v>
      </c>
      <c r="Q8" s="96">
        <f t="shared" si="2"/>
        <v>965.20740863999993</v>
      </c>
    </row>
    <row r="9" spans="1:20" ht="15">
      <c r="A9" s="80"/>
      <c r="B9" s="80" t="s">
        <v>51</v>
      </c>
      <c r="C9" s="87" t="s">
        <v>178</v>
      </c>
      <c r="D9" s="88" t="s">
        <v>176</v>
      </c>
      <c r="E9" s="120">
        <f t="shared" si="3"/>
        <v>2.5099999999999998</v>
      </c>
      <c r="F9" s="203">
        <f t="shared" si="4"/>
        <v>0.59299999999999997</v>
      </c>
      <c r="G9" s="91">
        <f>365-7</f>
        <v>358</v>
      </c>
      <c r="H9" s="182">
        <v>1.6</v>
      </c>
      <c r="I9" s="93">
        <f t="shared" si="0"/>
        <v>2.48</v>
      </c>
      <c r="J9" s="100">
        <v>1</v>
      </c>
      <c r="K9" s="183">
        <v>0.45</v>
      </c>
      <c r="L9" s="90">
        <v>0.98</v>
      </c>
      <c r="M9" s="95">
        <v>1</v>
      </c>
      <c r="N9" s="96">
        <f>E9*G9*H9*(I9-J9)*F9*K9*$I$19/$I$22*$C$37/L9*M9</f>
        <v>105.83151735450721</v>
      </c>
      <c r="O9" s="96"/>
      <c r="P9" s="97">
        <f t="shared" si="1"/>
        <v>6.6705016430185431</v>
      </c>
      <c r="Q9" s="96">
        <f t="shared" si="2"/>
        <v>1261.80760192</v>
      </c>
    </row>
    <row r="10" spans="1:20" ht="15">
      <c r="A10" s="80" t="s">
        <v>352</v>
      </c>
      <c r="B10" s="80" t="s">
        <v>51</v>
      </c>
      <c r="C10" s="87" t="s">
        <v>353</v>
      </c>
      <c r="D10" s="88" t="s">
        <v>176</v>
      </c>
      <c r="E10" s="120">
        <f t="shared" si="3"/>
        <v>2.5099999999999998</v>
      </c>
      <c r="F10" s="203">
        <f t="shared" si="4"/>
        <v>0.59299999999999997</v>
      </c>
      <c r="G10" s="91">
        <f>G9</f>
        <v>358</v>
      </c>
      <c r="H10" s="182">
        <v>1.6</v>
      </c>
      <c r="I10" s="93">
        <f t="shared" si="0"/>
        <v>2.48</v>
      </c>
      <c r="J10" s="100">
        <v>1</v>
      </c>
      <c r="K10" s="183">
        <v>0.45</v>
      </c>
      <c r="L10" s="90">
        <v>0.75</v>
      </c>
      <c r="M10" s="95">
        <v>1</v>
      </c>
      <c r="N10" s="96"/>
      <c r="O10" s="96">
        <f>E10*G10*H10*(I10-J10)*F10*K10*$I$19*$C$37/POWER(10,5)/L10*M10</f>
        <v>4.7185295273798404</v>
      </c>
      <c r="P10" s="97">
        <f t="shared" si="1"/>
        <v>6.6705016430185431</v>
      </c>
      <c r="Q10" s="96">
        <f t="shared" si="2"/>
        <v>1261.80760192</v>
      </c>
    </row>
    <row r="11" spans="1:20" ht="15">
      <c r="A11" s="80"/>
      <c r="B11" s="80"/>
      <c r="C11" s="80"/>
      <c r="D11" s="80"/>
      <c r="E11" s="80"/>
      <c r="F11" s="80"/>
      <c r="G11" s="80"/>
      <c r="H11" s="80"/>
      <c r="I11" s="80"/>
      <c r="J11" s="80"/>
      <c r="K11" s="80"/>
      <c r="L11" s="80"/>
      <c r="M11" s="80"/>
      <c r="N11" s="80"/>
      <c r="O11" s="80"/>
      <c r="P11" s="80"/>
      <c r="Q11" s="80"/>
    </row>
    <row r="15" spans="1:20" ht="15">
      <c r="P15" s="144"/>
      <c r="Q15" s="145" t="s">
        <v>231</v>
      </c>
      <c r="R15" s="146" t="s">
        <v>232</v>
      </c>
      <c r="S15" s="145" t="s">
        <v>233</v>
      </c>
      <c r="T15" s="147"/>
    </row>
    <row r="16" spans="1:20" ht="15">
      <c r="A16" s="102" t="s">
        <v>180</v>
      </c>
      <c r="B16" s="102"/>
      <c r="C16" s="80"/>
      <c r="D16" s="80"/>
      <c r="E16" s="80"/>
      <c r="F16" s="80"/>
      <c r="G16" s="80"/>
      <c r="H16" s="102" t="s">
        <v>181</v>
      </c>
      <c r="I16" s="80"/>
      <c r="J16" s="80"/>
      <c r="K16" s="80"/>
      <c r="L16" s="80"/>
      <c r="M16" s="80"/>
      <c r="P16" s="150" t="s">
        <v>234</v>
      </c>
      <c r="Q16" s="151">
        <v>128</v>
      </c>
      <c r="R16" s="152">
        <v>0.45</v>
      </c>
      <c r="S16" s="151">
        <f>R16*Q16</f>
        <v>57.6</v>
      </c>
      <c r="T16" s="147"/>
    </row>
    <row r="17" spans="1:21" ht="15">
      <c r="A17" s="80"/>
      <c r="B17" s="80"/>
      <c r="C17" s="202" t="s">
        <v>248</v>
      </c>
      <c r="D17" s="202" t="s">
        <v>355</v>
      </c>
      <c r="E17" s="80"/>
      <c r="F17" s="80"/>
      <c r="G17" s="80"/>
      <c r="H17" s="80"/>
      <c r="I17" s="80"/>
      <c r="J17" s="80"/>
      <c r="K17" s="80"/>
      <c r="L17" s="80"/>
      <c r="M17" s="80"/>
      <c r="P17" s="150" t="s">
        <v>235</v>
      </c>
      <c r="Q17" s="151">
        <v>53</v>
      </c>
      <c r="R17" s="152">
        <v>0.55000000000000004</v>
      </c>
      <c r="S17" s="151">
        <f>R17*Q17</f>
        <v>29.150000000000002</v>
      </c>
      <c r="T17" s="147"/>
    </row>
    <row r="18" spans="1:21" ht="15">
      <c r="A18" s="80"/>
      <c r="B18" s="80"/>
      <c r="C18" s="196" t="s">
        <v>48</v>
      </c>
      <c r="D18" s="197">
        <f>VLOOKUP($C$17,[2]!ExistingSat,MATCH($C18,[2]SATS!$C$10:$F$10,0)+1,FALSE)</f>
        <v>0.55200000000000005</v>
      </c>
      <c r="H18" s="80"/>
      <c r="I18" s="102" t="s">
        <v>183</v>
      </c>
      <c r="J18" s="80"/>
      <c r="K18" s="80"/>
      <c r="L18" s="80"/>
      <c r="M18" s="80"/>
      <c r="P18" s="144"/>
      <c r="Q18" s="147">
        <f>Q16-Q17</f>
        <v>75</v>
      </c>
      <c r="R18" s="147"/>
      <c r="S18" s="147"/>
      <c r="T18" s="147"/>
    </row>
    <row r="19" spans="1:21" ht="15">
      <c r="A19" s="80"/>
      <c r="B19" s="80"/>
      <c r="C19" s="198" t="s">
        <v>49</v>
      </c>
      <c r="D19" s="199">
        <f>VLOOKUP($C$17,[2]!ExistingSat,MATCH($C19,[2]SATS!$C$10:$F$10,0)+1,FALSE)</f>
        <v>0.94699999999999995</v>
      </c>
      <c r="H19" s="80"/>
      <c r="I19" s="107">
        <v>8.31</v>
      </c>
      <c r="J19" s="80"/>
      <c r="K19" s="80"/>
      <c r="L19" s="80"/>
      <c r="M19" s="80"/>
      <c r="P19" s="153"/>
      <c r="Q19" s="154"/>
      <c r="R19" s="155" t="s">
        <v>236</v>
      </c>
      <c r="S19" s="155">
        <f>S16+S17</f>
        <v>86.75</v>
      </c>
      <c r="T19" s="156" t="s">
        <v>237</v>
      </c>
    </row>
    <row r="20" spans="1:21" ht="15">
      <c r="A20" s="80"/>
      <c r="B20" s="80"/>
      <c r="C20" s="198" t="s">
        <v>50</v>
      </c>
      <c r="D20" s="199">
        <f>VLOOKUP($C$17,[2]!ExistingSat,MATCH($C20,[2]SATS!$C$10:$F$10,0)+1,FALSE)</f>
        <v>0.94699999999999995</v>
      </c>
      <c r="H20" s="80"/>
      <c r="I20" s="80"/>
      <c r="J20" s="80"/>
      <c r="K20" s="80"/>
      <c r="L20" s="80"/>
      <c r="M20" s="80"/>
    </row>
    <row r="21" spans="1:21" ht="15">
      <c r="A21" s="80"/>
      <c r="B21" s="80"/>
      <c r="C21" s="200" t="s">
        <v>51</v>
      </c>
      <c r="D21" s="201">
        <f>VLOOKUP($C$17,[2]!ExistingSat,MATCH($C21,[2]SATS!$C$10:$F$10,0)+1,FALSE)</f>
        <v>0.88900000000000001</v>
      </c>
      <c r="H21" s="80"/>
      <c r="I21" s="102" t="s">
        <v>185</v>
      </c>
      <c r="J21" s="80"/>
      <c r="K21" s="80"/>
      <c r="L21" s="80"/>
      <c r="M21" s="80"/>
    </row>
    <row r="22" spans="1:21" ht="15">
      <c r="A22" s="80"/>
      <c r="B22" s="80"/>
      <c r="C22" s="102" t="s">
        <v>354</v>
      </c>
      <c r="D22" s="80"/>
      <c r="E22" s="80"/>
      <c r="F22" s="80"/>
      <c r="G22" s="80"/>
      <c r="H22" s="80"/>
      <c r="I22" s="107">
        <v>3412.14</v>
      </c>
      <c r="J22" s="80"/>
      <c r="K22" s="80"/>
      <c r="L22" s="80"/>
      <c r="M22" s="80"/>
    </row>
    <row r="23" spans="1:21" ht="15">
      <c r="A23" s="80"/>
      <c r="B23" s="80"/>
      <c r="C23" s="105" t="s">
        <v>48</v>
      </c>
      <c r="D23" s="108">
        <v>2.72</v>
      </c>
      <c r="E23" s="80"/>
      <c r="F23" s="80"/>
      <c r="G23" s="80"/>
      <c r="H23" s="80"/>
      <c r="I23" s="80"/>
      <c r="J23" s="80"/>
      <c r="K23" s="80"/>
      <c r="L23" s="80"/>
      <c r="M23" s="80"/>
    </row>
    <row r="24" spans="1:21" ht="15">
      <c r="A24" s="80"/>
      <c r="B24" s="80"/>
      <c r="C24" s="105" t="s">
        <v>184</v>
      </c>
      <c r="D24" s="108">
        <v>1.92</v>
      </c>
      <c r="E24" s="80"/>
      <c r="F24" s="80"/>
      <c r="G24" s="80"/>
      <c r="H24" s="80"/>
      <c r="I24" s="80"/>
      <c r="J24" s="80"/>
      <c r="K24" s="80"/>
      <c r="L24" s="80"/>
      <c r="M24" s="80"/>
    </row>
    <row r="25" spans="1:21" ht="15">
      <c r="C25" s="109" t="s">
        <v>51</v>
      </c>
      <c r="D25" s="110">
        <v>2.5099999999999998</v>
      </c>
      <c r="E25" s="80"/>
      <c r="F25" s="80"/>
      <c r="G25" s="80"/>
      <c r="H25" s="80"/>
      <c r="I25" s="80"/>
      <c r="J25" s="80"/>
      <c r="K25" s="80"/>
      <c r="L25" s="80"/>
      <c r="M25" s="80"/>
    </row>
    <row r="26" spans="1:21" ht="15">
      <c r="A26" s="80"/>
      <c r="B26" s="80"/>
      <c r="C26" s="80"/>
      <c r="D26" s="80"/>
      <c r="E26" s="80"/>
      <c r="F26" s="80"/>
      <c r="G26" s="80"/>
      <c r="H26" s="80"/>
      <c r="I26" s="80"/>
      <c r="J26" s="80"/>
      <c r="K26" s="80"/>
      <c r="L26" s="80"/>
      <c r="M26" s="80"/>
    </row>
    <row r="27" spans="1:21" ht="15">
      <c r="A27" s="80"/>
      <c r="B27" s="80"/>
      <c r="C27" s="102" t="s">
        <v>188</v>
      </c>
      <c r="D27" s="80"/>
      <c r="E27" s="80"/>
      <c r="F27" s="102" t="s">
        <v>189</v>
      </c>
      <c r="G27" s="80"/>
      <c r="H27" s="80"/>
      <c r="I27" s="80"/>
      <c r="J27" s="80"/>
      <c r="K27" s="80"/>
      <c r="L27" s="80"/>
      <c r="M27" s="80"/>
    </row>
    <row r="28" spans="1:21" ht="15">
      <c r="A28" s="80"/>
      <c r="B28" s="80"/>
      <c r="C28" s="111">
        <f>5.28646493559599/1000</f>
        <v>5.2864649355959898E-3</v>
      </c>
      <c r="D28" s="80"/>
      <c r="E28" s="80"/>
      <c r="F28" s="107">
        <v>1.162E-2</v>
      </c>
      <c r="G28" s="80"/>
      <c r="H28" s="80"/>
      <c r="I28" s="80"/>
      <c r="J28" s="80"/>
      <c r="K28" s="80"/>
      <c r="L28" s="80"/>
      <c r="M28" s="80"/>
    </row>
    <row r="29" spans="1:21" ht="15">
      <c r="A29" s="80"/>
      <c r="B29" s="80"/>
      <c r="C29" s="80"/>
      <c r="D29" s="80"/>
      <c r="E29" s="80"/>
      <c r="F29" s="80"/>
      <c r="G29" s="80"/>
      <c r="H29" s="80"/>
      <c r="I29" s="80"/>
      <c r="J29" s="80"/>
      <c r="K29" s="80"/>
      <c r="L29" s="80"/>
      <c r="M29" s="80"/>
    </row>
    <row r="30" spans="1:21" ht="15.75" thickBot="1">
      <c r="A30" s="80"/>
      <c r="B30" s="80"/>
      <c r="C30" s="80"/>
      <c r="D30" s="80"/>
      <c r="E30" s="80"/>
      <c r="F30" s="80"/>
      <c r="G30" s="80"/>
      <c r="H30" s="80"/>
      <c r="I30" s="80"/>
      <c r="J30" s="80"/>
      <c r="K30" s="80"/>
      <c r="L30" s="80"/>
    </row>
    <row r="31" spans="1:21" ht="16.5" thickTop="1" thickBot="1">
      <c r="A31" s="80"/>
      <c r="B31" s="80"/>
      <c r="E31" s="80"/>
      <c r="F31" s="102" t="s">
        <v>199</v>
      </c>
      <c r="G31" s="80"/>
      <c r="H31" s="80"/>
      <c r="L31" s="80"/>
      <c r="P31" t="s">
        <v>349</v>
      </c>
      <c r="Q31" s="185"/>
      <c r="R31" s="186" t="s">
        <v>335</v>
      </c>
      <c r="S31" s="187" t="s">
        <v>286</v>
      </c>
      <c r="T31" s="188">
        <v>15.33</v>
      </c>
      <c r="U31" s="135" t="s">
        <v>350</v>
      </c>
    </row>
    <row r="32" spans="1:21" ht="15.75" thickTop="1">
      <c r="A32" s="80"/>
      <c r="B32" s="80"/>
      <c r="E32" s="80"/>
      <c r="F32" s="109" t="s">
        <v>187</v>
      </c>
      <c r="G32" s="108">
        <v>2.48</v>
      </c>
      <c r="H32" s="80"/>
      <c r="L32" s="80"/>
    </row>
    <row r="33" spans="1:12" ht="15">
      <c r="A33" s="80"/>
      <c r="B33" s="80"/>
      <c r="E33" s="80"/>
      <c r="F33" s="80"/>
      <c r="G33" s="80"/>
      <c r="H33" s="80"/>
      <c r="L33" s="80"/>
    </row>
    <row r="34" spans="1:12" ht="15">
      <c r="A34" s="80"/>
      <c r="B34" s="80"/>
      <c r="E34" s="80"/>
      <c r="F34" s="80"/>
      <c r="G34" s="80"/>
      <c r="H34" s="80"/>
      <c r="I34" s="80"/>
      <c r="J34" s="80"/>
      <c r="K34" s="80"/>
      <c r="L34" s="80"/>
    </row>
    <row r="35" spans="1:12" ht="15">
      <c r="A35" s="80"/>
      <c r="B35" s="80"/>
      <c r="C35" s="80"/>
      <c r="D35" s="80"/>
      <c r="E35" s="80"/>
      <c r="F35" s="80"/>
      <c r="G35" s="80"/>
      <c r="H35" s="80"/>
      <c r="I35" s="80"/>
      <c r="J35" s="80"/>
      <c r="K35" s="80"/>
      <c r="L35" s="80"/>
    </row>
    <row r="36" spans="1:12" ht="15">
      <c r="A36" s="80"/>
      <c r="B36" s="80"/>
      <c r="C36" s="117" t="s">
        <v>200</v>
      </c>
      <c r="D36" s="80"/>
      <c r="E36" s="80"/>
      <c r="F36" s="80"/>
      <c r="G36" s="80"/>
      <c r="H36" s="80"/>
      <c r="I36" s="80"/>
      <c r="J36" s="80"/>
      <c r="K36" s="80"/>
      <c r="L36" s="80"/>
    </row>
    <row r="37" spans="1:12" ht="15">
      <c r="A37" s="80"/>
      <c r="B37" s="80"/>
      <c r="C37" s="107">
        <v>75</v>
      </c>
      <c r="D37" s="80" t="s">
        <v>351</v>
      </c>
      <c r="E37" s="80"/>
      <c r="F37" s="80"/>
      <c r="G37" s="248" t="s">
        <v>250</v>
      </c>
      <c r="H37" s="249"/>
      <c r="I37" s="80"/>
      <c r="J37" s="80"/>
      <c r="K37" s="80"/>
      <c r="L37" s="80"/>
    </row>
    <row r="38" spans="1:12" ht="15">
      <c r="A38" s="80"/>
      <c r="B38" s="80"/>
      <c r="C38" s="80"/>
      <c r="D38" s="80"/>
      <c r="E38" s="80"/>
      <c r="F38" s="80"/>
      <c r="G38" s="80"/>
      <c r="H38" s="80"/>
      <c r="I38" s="80"/>
      <c r="J38" s="80"/>
      <c r="K38" s="80"/>
      <c r="L38" s="80"/>
    </row>
    <row r="39" spans="1:12" ht="15">
      <c r="A39" s="80"/>
      <c r="B39" s="80"/>
      <c r="C39" s="80"/>
      <c r="D39" s="80"/>
      <c r="E39" s="80"/>
      <c r="F39" s="80"/>
      <c r="G39" s="80"/>
      <c r="H39" s="80"/>
      <c r="I39" s="80"/>
      <c r="J39" s="80"/>
      <c r="K39" s="80"/>
      <c r="L39" s="80"/>
    </row>
    <row r="40" spans="1:12">
      <c r="C40" s="202" t="s">
        <v>356</v>
      </c>
    </row>
    <row r="41" spans="1:12">
      <c r="C41" t="s">
        <v>357</v>
      </c>
    </row>
    <row r="42" spans="1:12">
      <c r="C42" t="s">
        <v>358</v>
      </c>
      <c r="D42">
        <v>0.59299999999999997</v>
      </c>
    </row>
    <row r="48" spans="1:12">
      <c r="C48" t="s">
        <v>359</v>
      </c>
    </row>
  </sheetData>
  <mergeCells count="1">
    <mergeCell ref="G37:H37"/>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sheetPr codeName="Sheet12"/>
  <dimension ref="A1:AD72"/>
  <sheetViews>
    <sheetView topLeftCell="A13" workbookViewId="0">
      <selection activeCell="I32" sqref="I32"/>
    </sheetView>
  </sheetViews>
  <sheetFormatPr defaultRowHeight="12.75"/>
  <cols>
    <col min="3" max="3" width="11.140625" customWidth="1"/>
    <col min="4" max="4" width="10.42578125" customWidth="1"/>
    <col min="6" max="6" width="11" customWidth="1"/>
    <col min="14" max="14" width="7.5703125" bestFit="1" customWidth="1"/>
  </cols>
  <sheetData>
    <row r="1" spans="1:30" ht="15">
      <c r="A1" s="80" t="s">
        <v>228</v>
      </c>
      <c r="B1" s="80" t="s">
        <v>229</v>
      </c>
      <c r="C1" s="80"/>
      <c r="D1" s="80" t="s">
        <v>201</v>
      </c>
      <c r="E1" s="80"/>
      <c r="F1" s="80"/>
      <c r="G1" s="80"/>
      <c r="H1" s="80"/>
      <c r="I1" s="80"/>
      <c r="J1" s="80"/>
      <c r="K1" s="80"/>
      <c r="L1" s="80"/>
      <c r="M1" s="80"/>
      <c r="N1" s="80"/>
      <c r="O1" s="80"/>
      <c r="P1" s="80"/>
      <c r="Q1" s="80"/>
      <c r="R1" s="80"/>
      <c r="S1" s="80"/>
      <c r="T1" s="80"/>
      <c r="U1" s="80"/>
      <c r="V1" s="80"/>
      <c r="W1" s="80"/>
      <c r="X1" s="80"/>
      <c r="Y1" s="80"/>
      <c r="Z1" s="80"/>
      <c r="AA1" s="80"/>
      <c r="AB1" s="80"/>
      <c r="AC1" s="80"/>
      <c r="AD1" s="80"/>
    </row>
    <row r="2" spans="1:30" ht="1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row>
    <row r="3" spans="1:30" ht="18.75">
      <c r="A3" s="118"/>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row>
    <row r="4" spans="1:30" ht="15">
      <c r="A4" s="80"/>
      <c r="B4" s="82"/>
      <c r="C4" s="83"/>
      <c r="D4" s="84"/>
      <c r="E4" s="84"/>
      <c r="F4" s="84"/>
      <c r="G4" s="84"/>
      <c r="H4" s="84"/>
      <c r="I4" s="84"/>
      <c r="J4" s="84"/>
      <c r="K4" s="84"/>
      <c r="L4" s="84"/>
      <c r="M4" s="85"/>
      <c r="N4" s="85"/>
      <c r="O4" s="86"/>
      <c r="P4" s="84"/>
      <c r="Q4" s="80"/>
      <c r="R4" s="80"/>
      <c r="S4" s="80"/>
      <c r="T4" s="80"/>
      <c r="U4" s="80"/>
      <c r="V4" s="80"/>
      <c r="W4" s="80"/>
      <c r="X4" s="80"/>
      <c r="Y4" s="80"/>
      <c r="Z4" s="80"/>
      <c r="AA4" s="80"/>
      <c r="AB4" s="80"/>
      <c r="AC4" s="80"/>
      <c r="AD4" s="80"/>
    </row>
    <row r="5" spans="1:30" ht="15">
      <c r="A5" s="80"/>
      <c r="B5" s="87"/>
      <c r="C5" s="88"/>
      <c r="D5" s="89"/>
      <c r="E5" s="119"/>
      <c r="F5" s="92"/>
      <c r="G5" s="92"/>
      <c r="H5" s="120"/>
      <c r="I5" s="92"/>
      <c r="J5" s="121"/>
      <c r="K5" s="90"/>
      <c r="L5" s="95"/>
      <c r="M5" s="96"/>
      <c r="N5" s="97"/>
      <c r="O5" s="97"/>
      <c r="P5" s="96"/>
      <c r="Q5" s="80"/>
      <c r="R5" s="80"/>
      <c r="S5" s="80"/>
      <c r="T5" s="80"/>
      <c r="U5" s="80"/>
      <c r="V5" s="80"/>
      <c r="W5" s="80"/>
      <c r="X5" s="80"/>
      <c r="Y5" s="80"/>
      <c r="Z5" s="80"/>
      <c r="AA5" s="80"/>
      <c r="AB5" s="80"/>
      <c r="AC5" s="80"/>
      <c r="AD5" s="80"/>
    </row>
    <row r="6" spans="1:30" ht="15">
      <c r="A6" s="80"/>
      <c r="B6" s="87"/>
      <c r="C6" s="88"/>
      <c r="D6" s="89"/>
      <c r="E6" s="119"/>
      <c r="F6" s="92"/>
      <c r="G6" s="92"/>
      <c r="H6" s="120"/>
      <c r="I6" s="92"/>
      <c r="J6" s="121"/>
      <c r="K6" s="90"/>
      <c r="L6" s="95"/>
      <c r="M6" s="96"/>
      <c r="N6" s="96"/>
      <c r="O6" s="97"/>
      <c r="P6" s="96"/>
      <c r="Q6" s="80"/>
      <c r="R6" s="80"/>
      <c r="S6" s="80"/>
      <c r="T6" s="80"/>
      <c r="U6" s="80"/>
      <c r="V6" s="80"/>
      <c r="W6" s="80"/>
      <c r="X6" s="80"/>
      <c r="Y6" s="80"/>
      <c r="Z6" s="80"/>
      <c r="AA6" s="80"/>
      <c r="AB6" s="80"/>
      <c r="AC6" s="80"/>
      <c r="AD6" s="80"/>
    </row>
    <row r="7" spans="1:30" s="80" customFormat="1" ht="15"/>
    <row r="8" spans="1:30" s="80" customFormat="1" ht="15">
      <c r="L8" s="81"/>
      <c r="M8" s="81"/>
      <c r="N8" s="81"/>
      <c r="O8" s="81"/>
      <c r="P8" s="81"/>
    </row>
    <row r="9" spans="1:30" s="80" customFormat="1" ht="18.75">
      <c r="A9" s="78" t="s">
        <v>160</v>
      </c>
      <c r="B9" s="79"/>
      <c r="L9" s="81"/>
      <c r="M9" s="81"/>
      <c r="N9" s="81"/>
      <c r="O9" s="81"/>
      <c r="P9" s="81"/>
    </row>
    <row r="10" spans="1:30" s="80" customFormat="1" ht="60">
      <c r="B10" s="82" t="s">
        <v>22</v>
      </c>
      <c r="C10" s="83" t="s">
        <v>161</v>
      </c>
      <c r="D10" s="84" t="s">
        <v>162</v>
      </c>
      <c r="E10" s="84" t="s">
        <v>163</v>
      </c>
      <c r="F10" s="84" t="s">
        <v>164</v>
      </c>
      <c r="G10" s="84" t="s">
        <v>165</v>
      </c>
      <c r="H10" s="84" t="s">
        <v>166</v>
      </c>
      <c r="I10" s="84" t="s">
        <v>167</v>
      </c>
      <c r="J10" s="84" t="s">
        <v>168</v>
      </c>
      <c r="K10" s="84" t="s">
        <v>169</v>
      </c>
      <c r="L10" s="84" t="s">
        <v>170</v>
      </c>
      <c r="M10" s="85" t="s">
        <v>171</v>
      </c>
      <c r="N10" s="85" t="s">
        <v>172</v>
      </c>
      <c r="O10" s="86" t="s">
        <v>173</v>
      </c>
      <c r="P10" s="84" t="s">
        <v>174</v>
      </c>
    </row>
    <row r="11" spans="1:30" s="80" customFormat="1" ht="15">
      <c r="B11" s="87" t="s">
        <v>175</v>
      </c>
      <c r="C11" s="88" t="s">
        <v>176</v>
      </c>
      <c r="D11" s="89">
        <f>$C$29</f>
        <v>2.3518999999999997</v>
      </c>
      <c r="E11" s="90">
        <v>0.5</v>
      </c>
      <c r="F11" s="91">
        <v>365</v>
      </c>
      <c r="G11" s="92">
        <v>2.5</v>
      </c>
      <c r="H11" s="93">
        <f>$C$44</f>
        <v>2.7378999999999998</v>
      </c>
      <c r="I11" s="92">
        <v>1.5</v>
      </c>
      <c r="J11" s="94">
        <v>0.68</v>
      </c>
      <c r="K11" s="90">
        <v>0.98</v>
      </c>
      <c r="L11" s="95">
        <f>$E$54</f>
        <v>0.6</v>
      </c>
      <c r="M11" s="96">
        <f>D11*F11*G11*(H11-I11)*E11*J11*$H$23/$H$26*$B$47*K11*L11</f>
        <v>93.779026411694119</v>
      </c>
      <c r="N11" s="97"/>
      <c r="O11" s="97">
        <f>P11*$B$32</f>
        <v>4.2133147025519175</v>
      </c>
      <c r="P11" s="96">
        <f>D11*F11*G11*(H11-I11)*E11*L11</f>
        <v>797.00040648749962</v>
      </c>
    </row>
    <row r="12" spans="1:30" s="80" customFormat="1" ht="15">
      <c r="B12" s="87" t="s">
        <v>177</v>
      </c>
      <c r="C12" s="88" t="s">
        <v>176</v>
      </c>
      <c r="D12" s="89">
        <f>$C$29</f>
        <v>2.3518999999999997</v>
      </c>
      <c r="E12" s="90">
        <v>0.5</v>
      </c>
      <c r="F12" s="91">
        <v>365</v>
      </c>
      <c r="G12" s="92">
        <v>2.5</v>
      </c>
      <c r="H12" s="93">
        <f>$C$44</f>
        <v>2.7378999999999998</v>
      </c>
      <c r="I12" s="92">
        <v>1.5</v>
      </c>
      <c r="J12" s="94">
        <v>0.68</v>
      </c>
      <c r="K12" s="90">
        <v>0.75</v>
      </c>
      <c r="L12" s="95">
        <f>$E$54</f>
        <v>0.6</v>
      </c>
      <c r="M12" s="96"/>
      <c r="N12" s="96">
        <f>D12*F12*G12*(H12-I12)*E12*J12*$H$23*$B$47/POWER(10,5)/K12*L12</f>
        <v>4.3535669004135782</v>
      </c>
      <c r="O12" s="97">
        <f>P12*$B$32</f>
        <v>4.2133147025519175</v>
      </c>
      <c r="P12" s="96">
        <f>D12*F12*G12*(H12-I12)*E12*L12</f>
        <v>797.00040648749962</v>
      </c>
    </row>
    <row r="13" spans="1:30" s="80" customFormat="1" ht="15">
      <c r="D13" s="81"/>
      <c r="E13" s="81"/>
      <c r="F13" s="81"/>
      <c r="G13" s="81"/>
      <c r="H13" s="81"/>
      <c r="I13" s="81"/>
      <c r="K13" s="98"/>
      <c r="L13" s="81"/>
      <c r="M13" s="99"/>
      <c r="N13" s="99"/>
      <c r="O13" s="99"/>
      <c r="P13" s="99"/>
    </row>
    <row r="14" spans="1:30" s="80" customFormat="1" ht="15">
      <c r="B14" s="87" t="s">
        <v>178</v>
      </c>
      <c r="C14" s="88" t="s">
        <v>176</v>
      </c>
      <c r="D14" s="120">
        <f>$C$29</f>
        <v>2.3518999999999997</v>
      </c>
      <c r="E14" s="90">
        <v>0.5</v>
      </c>
      <c r="F14" s="91">
        <v>365</v>
      </c>
      <c r="G14" s="92">
        <v>2.5</v>
      </c>
      <c r="H14" s="93">
        <f>$F$42</f>
        <v>2.48</v>
      </c>
      <c r="I14" s="100">
        <v>1</v>
      </c>
      <c r="J14" s="184">
        <v>0.68</v>
      </c>
      <c r="K14" s="90">
        <v>0.98</v>
      </c>
      <c r="L14" s="95">
        <f>$E$53</f>
        <v>0.76500000000000001</v>
      </c>
      <c r="M14" s="96">
        <f>D14*F14*G14*(H14-I14)*E14*J14*$H$23/$H$26*$B$47*K14*L14</f>
        <v>142.9525994336108</v>
      </c>
      <c r="N14" s="96"/>
      <c r="O14" s="97">
        <f>P14*$B$32</f>
        <v>6.4225905515110018</v>
      </c>
      <c r="P14" s="96">
        <f>D14*F14*G14*(H14-I14)*E14*L14</f>
        <v>1214.9121633749996</v>
      </c>
    </row>
    <row r="15" spans="1:30" s="80" customFormat="1" ht="15">
      <c r="B15" s="87" t="s">
        <v>179</v>
      </c>
      <c r="C15" s="88" t="s">
        <v>176</v>
      </c>
      <c r="D15" s="89">
        <f>$C$29</f>
        <v>2.3518999999999997</v>
      </c>
      <c r="E15" s="90">
        <v>0.5</v>
      </c>
      <c r="F15" s="91">
        <v>365</v>
      </c>
      <c r="G15" s="92">
        <v>2.5</v>
      </c>
      <c r="H15" s="93">
        <f>$F$42</f>
        <v>2.48</v>
      </c>
      <c r="I15" s="100">
        <v>1</v>
      </c>
      <c r="J15" s="101">
        <v>0.68</v>
      </c>
      <c r="K15" s="90">
        <v>0.75</v>
      </c>
      <c r="L15" s="95">
        <f>$E$53</f>
        <v>0.76500000000000001</v>
      </c>
      <c r="M15" s="97"/>
      <c r="N15" s="96">
        <f>D15*F15*G15*(H15-I15)*E15*J15*$H$23*$B$47/POWER(10,5)/K15*L15</f>
        <v>6.6363847977061354</v>
      </c>
      <c r="O15" s="97">
        <f>P15*$B$32</f>
        <v>6.4225905515110018</v>
      </c>
      <c r="P15" s="96">
        <f>D15*F15*G15*(H15-I15)*E15*L15</f>
        <v>1214.9121633749996</v>
      </c>
    </row>
    <row r="16" spans="1:30" s="80" customFormat="1" ht="15"/>
    <row r="17" spans="1:23" s="80" customFormat="1" ht="15"/>
    <row r="18" spans="1:23" s="80" customFormat="1" ht="15"/>
    <row r="19" spans="1:23" s="80" customFormat="1" ht="15"/>
    <row r="20" spans="1:23" s="80" customFormat="1" ht="15">
      <c r="A20" s="102" t="s">
        <v>180</v>
      </c>
      <c r="G20" s="102" t="s">
        <v>181</v>
      </c>
      <c r="O20" s="141" t="s">
        <v>238</v>
      </c>
      <c r="P20" s="142"/>
      <c r="Q20" s="142"/>
      <c r="R20" s="142"/>
      <c r="S20" s="142"/>
      <c r="T20" s="142"/>
      <c r="U20" s="142"/>
      <c r="V20" s="142"/>
      <c r="W20" s="143"/>
    </row>
    <row r="21" spans="1:23" s="80" customFormat="1" ht="15">
      <c r="O21" s="144"/>
      <c r="P21" s="145" t="s">
        <v>231</v>
      </c>
      <c r="Q21" s="146" t="s">
        <v>232</v>
      </c>
      <c r="R21" s="145" t="s">
        <v>233</v>
      </c>
      <c r="S21" s="147"/>
      <c r="T21" s="148"/>
      <c r="U21" s="148"/>
      <c r="V21" s="148"/>
      <c r="W21" s="149"/>
    </row>
    <row r="22" spans="1:23" s="80" customFormat="1" ht="15">
      <c r="B22" s="103" t="s">
        <v>182</v>
      </c>
      <c r="C22" s="104"/>
      <c r="H22" s="102" t="s">
        <v>183</v>
      </c>
      <c r="O22" s="150" t="s">
        <v>234</v>
      </c>
      <c r="P22" s="151">
        <v>125</v>
      </c>
      <c r="Q22" s="152">
        <v>0.68</v>
      </c>
      <c r="R22" s="151">
        <f>Q22*P22</f>
        <v>85</v>
      </c>
      <c r="S22" s="147"/>
      <c r="T22" s="148"/>
      <c r="U22" s="148"/>
      <c r="V22" s="148"/>
      <c r="W22" s="149"/>
    </row>
    <row r="23" spans="1:23" s="80" customFormat="1" ht="15">
      <c r="B23" s="105" t="s">
        <v>48</v>
      </c>
      <c r="C23" s="106">
        <v>0.69</v>
      </c>
      <c r="H23" s="107">
        <v>8.31</v>
      </c>
      <c r="O23" s="150" t="s">
        <v>235</v>
      </c>
      <c r="P23" s="151">
        <v>50</v>
      </c>
      <c r="Q23" s="152">
        <v>0.32</v>
      </c>
      <c r="R23" s="151">
        <f>Q23*P23</f>
        <v>16</v>
      </c>
      <c r="S23" s="147"/>
      <c r="T23" s="148"/>
      <c r="U23" s="148"/>
      <c r="V23" s="148"/>
      <c r="W23" s="149"/>
    </row>
    <row r="24" spans="1:23" s="80" customFormat="1" ht="15">
      <c r="B24" s="105" t="s">
        <v>184</v>
      </c>
      <c r="C24" s="106">
        <v>0.31</v>
      </c>
      <c r="O24" s="144" t="s">
        <v>347</v>
      </c>
      <c r="P24" s="147">
        <f>P22-P23</f>
        <v>75</v>
      </c>
      <c r="Q24" s="147"/>
      <c r="R24" s="147"/>
      <c r="S24" s="147"/>
      <c r="T24" s="148"/>
      <c r="U24" s="148"/>
      <c r="V24" s="148"/>
      <c r="W24" s="149"/>
    </row>
    <row r="25" spans="1:23" s="80" customFormat="1" ht="15">
      <c r="H25" s="102" t="s">
        <v>185</v>
      </c>
      <c r="O25" s="153"/>
      <c r="P25" s="154"/>
      <c r="Q25" s="155" t="s">
        <v>236</v>
      </c>
      <c r="R25" s="155">
        <f>R22+R23</f>
        <v>101</v>
      </c>
      <c r="S25" s="156" t="s">
        <v>237</v>
      </c>
      <c r="T25" s="157" t="s">
        <v>239</v>
      </c>
      <c r="U25" s="157"/>
      <c r="V25" s="157"/>
      <c r="W25" s="158"/>
    </row>
    <row r="26" spans="1:23" s="80" customFormat="1" ht="15">
      <c r="B26" s="102" t="s">
        <v>186</v>
      </c>
      <c r="H26" s="107">
        <v>3412.14</v>
      </c>
      <c r="T26" s="140"/>
    </row>
    <row r="27" spans="1:23" s="80" customFormat="1" ht="15">
      <c r="B27" s="105" t="s">
        <v>48</v>
      </c>
      <c r="C27" s="108">
        <v>2.5099999999999998</v>
      </c>
      <c r="O27" s="80" t="s">
        <v>345</v>
      </c>
    </row>
    <row r="28" spans="1:23" s="80" customFormat="1" ht="15">
      <c r="B28" s="105" t="s">
        <v>184</v>
      </c>
      <c r="C28" s="108">
        <v>2</v>
      </c>
      <c r="O28" s="80" t="s">
        <v>234</v>
      </c>
      <c r="P28" s="80">
        <v>128</v>
      </c>
    </row>
    <row r="29" spans="1:23" s="80" customFormat="1" ht="15">
      <c r="A29" s="109" t="s">
        <v>187</v>
      </c>
      <c r="B29" s="109" t="s">
        <v>51</v>
      </c>
      <c r="C29" s="110">
        <f>C23*C27+C24*C28</f>
        <v>2.3518999999999997</v>
      </c>
      <c r="O29" s="80" t="s">
        <v>346</v>
      </c>
      <c r="P29" s="80">
        <v>55.1</v>
      </c>
    </row>
    <row r="30" spans="1:23" s="80" customFormat="1" ht="15">
      <c r="P30" s="80">
        <f>P28-P29</f>
        <v>72.900000000000006</v>
      </c>
      <c r="Q30" s="80" t="s">
        <v>348</v>
      </c>
    </row>
    <row r="31" spans="1:23" s="80" customFormat="1" ht="15">
      <c r="B31" s="102" t="s">
        <v>188</v>
      </c>
      <c r="E31" s="102" t="s">
        <v>189</v>
      </c>
    </row>
    <row r="32" spans="1:23" s="80" customFormat="1" ht="15">
      <c r="B32" s="111">
        <f>5.28646493559599/1000</f>
        <v>5.2864649355959898E-3</v>
      </c>
      <c r="E32" s="107">
        <v>1.162E-2</v>
      </c>
    </row>
    <row r="33" spans="1:30" s="80" customFormat="1" ht="15"/>
    <row r="34" spans="1:30" s="80" customFormat="1" ht="15" hidden="1">
      <c r="B34" s="102" t="s">
        <v>190</v>
      </c>
    </row>
    <row r="35" spans="1:30" s="80" customFormat="1" ht="15" hidden="1">
      <c r="B35" s="112" t="s">
        <v>191</v>
      </c>
      <c r="C35" s="113">
        <v>0.755</v>
      </c>
    </row>
    <row r="36" spans="1:30" s="80" customFormat="1" ht="15" hidden="1">
      <c r="B36" s="112" t="s">
        <v>192</v>
      </c>
      <c r="C36" s="113">
        <v>0.76850000000000007</v>
      </c>
      <c r="D36" s="114">
        <f>C35-C36</f>
        <v>-1.3500000000000068E-2</v>
      </c>
    </row>
    <row r="37" spans="1:30" s="80" customFormat="1" ht="15" hidden="1">
      <c r="B37" s="112" t="s">
        <v>193</v>
      </c>
      <c r="C37" s="113">
        <v>0.78200000000000003</v>
      </c>
      <c r="D37" s="114">
        <f>C36-C37</f>
        <v>-1.3499999999999956E-2</v>
      </c>
    </row>
    <row r="38" spans="1:30" s="80" customFormat="1" ht="15" hidden="1">
      <c r="A38" s="80" t="s">
        <v>194</v>
      </c>
      <c r="B38" s="115" t="s">
        <v>195</v>
      </c>
      <c r="C38" s="101">
        <f>C37-D37</f>
        <v>0.79549999999999998</v>
      </c>
      <c r="D38" s="114">
        <f>C37-C38</f>
        <v>-1.3499999999999956E-2</v>
      </c>
      <c r="E38" s="80" t="s">
        <v>196</v>
      </c>
    </row>
    <row r="39" spans="1:30" s="80" customFormat="1" ht="15" hidden="1">
      <c r="A39" s="80" t="s">
        <v>194</v>
      </c>
      <c r="B39" s="116" t="s">
        <v>197</v>
      </c>
      <c r="C39" s="101">
        <f>C38-D38</f>
        <v>0.80899999999999994</v>
      </c>
    </row>
    <row r="40" spans="1:30" s="80" customFormat="1" ht="15"/>
    <row r="41" spans="1:30" s="80" customFormat="1" ht="15">
      <c r="B41" s="102" t="s">
        <v>198</v>
      </c>
      <c r="E41" s="102" t="s">
        <v>199</v>
      </c>
      <c r="H41"/>
      <c r="I41"/>
      <c r="J41"/>
    </row>
    <row r="42" spans="1:30" s="80" customFormat="1" ht="15">
      <c r="B42" s="105" t="s">
        <v>48</v>
      </c>
      <c r="C42" s="108">
        <v>2.71</v>
      </c>
      <c r="E42" s="109" t="s">
        <v>187</v>
      </c>
      <c r="F42" s="108">
        <v>2.48</v>
      </c>
      <c r="H42"/>
      <c r="I42"/>
      <c r="J42"/>
    </row>
    <row r="43" spans="1:30" s="80" customFormat="1" ht="15">
      <c r="B43" s="105" t="s">
        <v>184</v>
      </c>
      <c r="C43" s="108">
        <v>2.8</v>
      </c>
      <c r="H43"/>
      <c r="I43"/>
      <c r="J43"/>
    </row>
    <row r="44" spans="1:30" s="80" customFormat="1" ht="15">
      <c r="B44" s="109" t="s">
        <v>187</v>
      </c>
      <c r="C44" s="110">
        <f>C23*C42+C24*C43</f>
        <v>2.7378999999999998</v>
      </c>
      <c r="O44" s="141" t="s">
        <v>240</v>
      </c>
      <c r="P44" s="142" t="s">
        <v>241</v>
      </c>
      <c r="Q44" s="142"/>
      <c r="R44" s="142"/>
      <c r="S44" s="143"/>
    </row>
    <row r="45" spans="1:30" s="80" customFormat="1" ht="15">
      <c r="O45" s="159" t="s">
        <v>242</v>
      </c>
      <c r="P45" s="148">
        <v>15</v>
      </c>
      <c r="Q45" s="148" t="s">
        <v>243</v>
      </c>
      <c r="R45" s="148"/>
      <c r="S45" s="149"/>
    </row>
    <row r="46" spans="1:30" s="80" customFormat="1" ht="15">
      <c r="B46" s="117" t="s">
        <v>200</v>
      </c>
      <c r="O46" s="159" t="s">
        <v>244</v>
      </c>
      <c r="P46" s="162">
        <v>5</v>
      </c>
      <c r="Q46" s="148"/>
      <c r="R46" s="148"/>
      <c r="S46" s="149"/>
    </row>
    <row r="47" spans="1:30" s="80" customFormat="1" ht="15">
      <c r="B47" s="107">
        <v>72.5</v>
      </c>
      <c r="C47" s="80" t="s">
        <v>249</v>
      </c>
      <c r="F47" s="248" t="s">
        <v>250</v>
      </c>
      <c r="G47" s="249"/>
      <c r="O47" s="160" t="s">
        <v>245</v>
      </c>
      <c r="P47" s="161">
        <v>8</v>
      </c>
      <c r="Q47" s="157" t="s">
        <v>246</v>
      </c>
      <c r="R47" s="157" t="s">
        <v>247</v>
      </c>
      <c r="S47" s="158"/>
    </row>
    <row r="48" spans="1:30" ht="15">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row>
    <row r="49" spans="1:18" ht="15">
      <c r="A49" s="80"/>
      <c r="B49" s="80"/>
      <c r="C49" s="80"/>
      <c r="D49" s="80"/>
      <c r="E49" s="80"/>
      <c r="F49" s="80"/>
      <c r="G49" s="80"/>
      <c r="H49" s="80"/>
      <c r="I49" s="80"/>
      <c r="J49" s="80"/>
      <c r="K49" s="80"/>
      <c r="L49" s="80"/>
      <c r="M49" s="80"/>
      <c r="N49" s="80"/>
      <c r="O49" s="80"/>
      <c r="P49" s="80"/>
      <c r="Q49" s="80"/>
      <c r="R49" s="80"/>
    </row>
    <row r="50" spans="1:18" ht="15">
      <c r="A50" s="80"/>
      <c r="B50" s="80"/>
      <c r="C50" s="80"/>
      <c r="D50" s="80"/>
      <c r="E50" s="80"/>
      <c r="F50" s="80"/>
      <c r="G50" s="80"/>
      <c r="H50" s="80"/>
      <c r="I50" s="80"/>
      <c r="J50" s="80"/>
      <c r="K50" s="80"/>
      <c r="L50" s="80"/>
      <c r="M50" s="80"/>
      <c r="N50" s="80"/>
      <c r="O50" s="80"/>
      <c r="P50" s="80"/>
      <c r="Q50" s="80"/>
      <c r="R50" s="80"/>
    </row>
    <row r="51" spans="1:18" ht="15">
      <c r="A51" s="80"/>
      <c r="B51" s="102" t="s">
        <v>203</v>
      </c>
      <c r="C51" s="80"/>
      <c r="D51" s="80"/>
      <c r="E51" s="80"/>
      <c r="F51" s="80"/>
      <c r="G51" s="80"/>
      <c r="H51" s="80"/>
      <c r="I51" s="80"/>
      <c r="J51" s="80"/>
      <c r="K51" s="80"/>
      <c r="L51" s="80"/>
      <c r="M51" s="80"/>
      <c r="N51" s="80"/>
      <c r="O51" s="80"/>
      <c r="P51" s="80"/>
      <c r="Q51" s="80"/>
      <c r="R51" s="80"/>
    </row>
    <row r="52" spans="1:18" ht="60">
      <c r="A52" s="80"/>
      <c r="B52" s="122"/>
      <c r="C52" s="123" t="s">
        <v>204</v>
      </c>
      <c r="D52" s="123" t="s">
        <v>205</v>
      </c>
      <c r="E52" s="123" t="s">
        <v>206</v>
      </c>
      <c r="F52" s="80"/>
      <c r="G52" s="80"/>
      <c r="H52" s="80"/>
      <c r="I52" s="80"/>
      <c r="J52" s="80"/>
      <c r="K52" s="80"/>
      <c r="L52" s="80"/>
      <c r="M52" s="80"/>
      <c r="N52" s="80"/>
      <c r="O52" s="80"/>
      <c r="P52" s="80"/>
      <c r="Q52" s="80"/>
      <c r="R52" s="80"/>
    </row>
    <row r="53" spans="1:18" ht="15">
      <c r="A53" s="80"/>
      <c r="B53" s="124" t="s">
        <v>207</v>
      </c>
      <c r="C53" s="125">
        <v>0.63</v>
      </c>
      <c r="D53" s="126">
        <v>0.9</v>
      </c>
      <c r="E53" s="126">
        <f t="shared" ref="E53:E60" si="0">AVERAGE(D53,C53)</f>
        <v>0.76500000000000001</v>
      </c>
      <c r="F53" s="80"/>
      <c r="G53" s="80"/>
      <c r="H53" s="80"/>
      <c r="I53" s="80"/>
      <c r="J53" s="80"/>
      <c r="K53" s="80"/>
      <c r="L53" s="80"/>
      <c r="M53" s="80"/>
      <c r="N53" s="80"/>
      <c r="O53" s="80"/>
      <c r="P53" s="80"/>
      <c r="Q53" s="80"/>
      <c r="R53" s="80"/>
    </row>
    <row r="54" spans="1:18" ht="15">
      <c r="A54" s="80"/>
      <c r="B54" s="127" t="s">
        <v>208</v>
      </c>
      <c r="C54" s="128">
        <v>0.46</v>
      </c>
      <c r="D54" s="129">
        <v>0.74</v>
      </c>
      <c r="E54" s="129">
        <f t="shared" si="0"/>
        <v>0.6</v>
      </c>
      <c r="F54" s="80"/>
      <c r="G54" s="80"/>
      <c r="H54" s="80"/>
      <c r="I54" s="80"/>
      <c r="J54" s="80"/>
      <c r="K54" s="80"/>
      <c r="L54" s="80"/>
      <c r="M54" s="80"/>
      <c r="N54" s="80"/>
      <c r="O54" s="80"/>
      <c r="P54" s="80"/>
      <c r="Q54" s="80"/>
      <c r="R54" s="80"/>
    </row>
    <row r="55" spans="1:18" ht="15">
      <c r="A55" s="80"/>
      <c r="B55" s="124" t="s">
        <v>202</v>
      </c>
      <c r="C55" s="125">
        <v>0.62</v>
      </c>
      <c r="D55" s="130">
        <v>0.86</v>
      </c>
      <c r="E55" s="130">
        <f t="shared" si="0"/>
        <v>0.74</v>
      </c>
      <c r="F55" s="80"/>
      <c r="G55" s="80"/>
      <c r="H55" s="80"/>
      <c r="I55" s="80"/>
      <c r="J55" s="80"/>
      <c r="K55" s="80"/>
      <c r="L55" s="80"/>
      <c r="M55" s="80"/>
      <c r="N55" s="80"/>
      <c r="O55" s="80"/>
      <c r="P55" s="80"/>
      <c r="Q55" s="80"/>
      <c r="R55" s="80"/>
    </row>
    <row r="56" spans="1:18" ht="15">
      <c r="A56" s="80"/>
      <c r="B56" s="127" t="s">
        <v>209</v>
      </c>
      <c r="C56" s="128">
        <v>0.75</v>
      </c>
      <c r="D56" s="129">
        <v>0.93</v>
      </c>
      <c r="E56" s="129">
        <f t="shared" si="0"/>
        <v>0.84000000000000008</v>
      </c>
      <c r="F56" s="80"/>
      <c r="G56" s="80"/>
      <c r="H56" s="80"/>
      <c r="I56" s="80"/>
      <c r="J56" s="80"/>
      <c r="K56" s="80"/>
      <c r="L56" s="80"/>
      <c r="M56" s="80"/>
      <c r="N56" s="80"/>
      <c r="O56" s="80"/>
      <c r="P56" s="80"/>
      <c r="Q56" s="80"/>
      <c r="R56" s="80"/>
    </row>
    <row r="57" spans="1:18" ht="15">
      <c r="A57" s="80"/>
      <c r="B57" s="124" t="s">
        <v>210</v>
      </c>
      <c r="C57" s="125">
        <v>0.73</v>
      </c>
      <c r="D57" s="130">
        <v>0.96</v>
      </c>
      <c r="E57" s="130">
        <f t="shared" si="0"/>
        <v>0.84499999999999997</v>
      </c>
      <c r="F57" s="80"/>
      <c r="G57" s="80"/>
      <c r="H57" s="80"/>
      <c r="I57" s="80"/>
      <c r="J57" s="80"/>
      <c r="K57" s="80"/>
      <c r="L57" s="80"/>
      <c r="M57" s="80"/>
      <c r="N57" s="80"/>
      <c r="O57" s="80"/>
      <c r="P57" s="80"/>
      <c r="Q57" s="80"/>
      <c r="R57" s="80"/>
    </row>
    <row r="58" spans="1:18" ht="15">
      <c r="A58" s="80"/>
      <c r="B58" s="127" t="s">
        <v>211</v>
      </c>
      <c r="C58" s="128">
        <v>0.64</v>
      </c>
      <c r="D58" s="129">
        <v>0.85</v>
      </c>
      <c r="E58" s="129">
        <f t="shared" si="0"/>
        <v>0.745</v>
      </c>
      <c r="F58" s="80"/>
      <c r="G58" s="80"/>
      <c r="H58" s="80"/>
      <c r="I58" s="80"/>
      <c r="J58" s="80"/>
      <c r="K58" s="80"/>
      <c r="L58" s="80"/>
      <c r="M58" s="80"/>
      <c r="N58" s="80"/>
      <c r="O58" s="80"/>
      <c r="P58" s="80"/>
      <c r="Q58" s="80"/>
      <c r="R58" s="80"/>
    </row>
    <row r="59" spans="1:18" ht="15">
      <c r="A59" s="80"/>
      <c r="B59" s="124" t="s">
        <v>212</v>
      </c>
      <c r="C59" s="125">
        <v>0.56999999999999995</v>
      </c>
      <c r="D59" s="130">
        <v>0.88</v>
      </c>
      <c r="E59" s="130">
        <f t="shared" si="0"/>
        <v>0.72499999999999998</v>
      </c>
      <c r="F59" s="80"/>
      <c r="G59" s="80"/>
      <c r="H59" s="80"/>
      <c r="I59" s="80"/>
      <c r="J59" s="80"/>
      <c r="K59" s="80"/>
      <c r="L59" s="80"/>
      <c r="M59" s="80"/>
      <c r="N59" s="80"/>
      <c r="O59" s="80"/>
      <c r="P59" s="80"/>
      <c r="Q59" s="80"/>
      <c r="R59" s="80"/>
    </row>
    <row r="60" spans="1:18" ht="15">
      <c r="A60" s="80"/>
      <c r="B60" s="127" t="s">
        <v>213</v>
      </c>
      <c r="C60" s="128">
        <v>0.41</v>
      </c>
      <c r="D60" s="129">
        <v>0.72</v>
      </c>
      <c r="E60" s="129">
        <f t="shared" si="0"/>
        <v>0.56499999999999995</v>
      </c>
      <c r="F60" s="80"/>
      <c r="G60" s="80"/>
      <c r="H60" s="80"/>
      <c r="I60" s="80"/>
      <c r="J60" s="80"/>
      <c r="K60" s="80"/>
      <c r="L60" s="80"/>
      <c r="M60" s="80"/>
      <c r="N60" s="80"/>
      <c r="O60" s="80"/>
      <c r="P60" s="80"/>
      <c r="Q60" s="80"/>
      <c r="R60" s="80"/>
    </row>
    <row r="61" spans="1:18" ht="15">
      <c r="A61" s="80"/>
      <c r="B61" s="131" t="s">
        <v>214</v>
      </c>
      <c r="C61" s="132"/>
      <c r="D61" s="133"/>
      <c r="E61" s="133"/>
      <c r="F61" s="80"/>
      <c r="G61" s="80"/>
      <c r="H61" s="80"/>
      <c r="I61" s="80"/>
      <c r="J61" s="80"/>
      <c r="K61" s="80"/>
      <c r="L61" s="80"/>
      <c r="M61" s="80"/>
      <c r="N61" s="80"/>
      <c r="O61" s="80"/>
      <c r="P61" s="80"/>
      <c r="Q61" s="80"/>
      <c r="R61" s="80"/>
    </row>
    <row r="62" spans="1:18" ht="15">
      <c r="A62" s="80"/>
      <c r="B62" s="80"/>
      <c r="C62" s="80"/>
      <c r="D62" s="80"/>
      <c r="E62" s="80"/>
      <c r="F62" s="80"/>
      <c r="G62" s="80"/>
      <c r="H62" s="80"/>
      <c r="I62" s="80"/>
      <c r="J62" s="80"/>
      <c r="K62" s="80"/>
      <c r="L62" s="80"/>
      <c r="M62" s="80"/>
      <c r="N62" s="80"/>
      <c r="O62" s="80"/>
      <c r="P62" s="80"/>
      <c r="Q62" s="80"/>
      <c r="R62" s="80"/>
    </row>
    <row r="63" spans="1:18" ht="15">
      <c r="A63" s="80"/>
      <c r="B63" s="80"/>
      <c r="C63" s="80"/>
      <c r="D63" s="80"/>
      <c r="E63" s="80"/>
      <c r="F63" s="80"/>
      <c r="G63" s="80"/>
      <c r="H63" s="80"/>
      <c r="I63" s="80"/>
      <c r="J63" s="80"/>
      <c r="K63" s="80"/>
      <c r="L63" s="80"/>
      <c r="M63" s="80"/>
      <c r="N63" s="80"/>
      <c r="O63" s="80"/>
      <c r="P63" s="80"/>
      <c r="Q63" s="80"/>
      <c r="R63" s="80"/>
    </row>
    <row r="64" spans="1:18" ht="15.75" thickBot="1">
      <c r="A64" s="80"/>
      <c r="B64" s="102" t="s">
        <v>215</v>
      </c>
      <c r="C64" s="80"/>
      <c r="D64" s="80"/>
      <c r="E64" s="80"/>
      <c r="F64" s="80"/>
      <c r="G64" s="80"/>
      <c r="H64" s="80"/>
      <c r="I64" s="80"/>
      <c r="J64" s="80"/>
      <c r="K64" s="80"/>
      <c r="L64" s="80"/>
      <c r="M64" s="80"/>
      <c r="N64" s="80"/>
      <c r="O64" s="80"/>
      <c r="P64" s="80"/>
      <c r="Q64" s="80"/>
      <c r="R64" s="80"/>
    </row>
    <row r="65" spans="1:30" ht="31.5" thickTop="1" thickBot="1">
      <c r="A65" s="80"/>
      <c r="B65" s="250"/>
      <c r="C65" s="250"/>
      <c r="D65" s="250"/>
      <c r="E65" s="134" t="s">
        <v>216</v>
      </c>
      <c r="F65" s="134" t="s">
        <v>217</v>
      </c>
      <c r="G65" s="134" t="s">
        <v>218</v>
      </c>
      <c r="H65" s="135"/>
      <c r="I65" s="135"/>
      <c r="J65" s="135"/>
      <c r="K65" s="135"/>
      <c r="L65" s="135"/>
      <c r="M65" s="135"/>
      <c r="N65" s="135"/>
      <c r="O65" s="135"/>
      <c r="P65" s="135"/>
      <c r="Q65" s="135"/>
      <c r="R65" s="135"/>
      <c r="S65" s="135"/>
      <c r="T65" s="135"/>
      <c r="U65" s="135"/>
      <c r="V65" s="135"/>
      <c r="W65" s="135"/>
      <c r="X65" s="135"/>
      <c r="Y65" s="80"/>
      <c r="Z65" s="80"/>
      <c r="AA65" s="80"/>
      <c r="AB65" s="80"/>
      <c r="AC65" s="80"/>
      <c r="AD65" s="80"/>
    </row>
    <row r="66" spans="1:30" ht="16.5" thickTop="1" thickBot="1">
      <c r="A66" s="80"/>
      <c r="B66" s="136" t="s">
        <v>219</v>
      </c>
      <c r="C66" s="137"/>
      <c r="D66" s="138"/>
      <c r="E66" s="139">
        <v>0.8</v>
      </c>
      <c r="F66" s="139">
        <v>0.75</v>
      </c>
      <c r="G66" s="139">
        <v>0.7</v>
      </c>
      <c r="H66" s="135"/>
      <c r="I66" s="135" t="s">
        <v>220</v>
      </c>
      <c r="J66" s="135"/>
      <c r="K66" s="135"/>
      <c r="L66" s="135"/>
      <c r="M66" s="135"/>
      <c r="N66" s="135"/>
      <c r="O66" s="135"/>
      <c r="P66" s="135"/>
      <c r="Q66" s="135"/>
      <c r="R66" s="135"/>
      <c r="S66" s="135"/>
      <c r="T66" s="135"/>
      <c r="U66" s="135"/>
      <c r="V66" s="135"/>
      <c r="W66" s="135"/>
      <c r="X66" s="135"/>
      <c r="Y66" s="80"/>
      <c r="Z66" s="80"/>
      <c r="AA66" s="80"/>
      <c r="AB66" s="80"/>
      <c r="AC66" s="80"/>
      <c r="AD66" s="80"/>
    </row>
    <row r="67" spans="1:30" ht="16.5" thickTop="1" thickBot="1">
      <c r="A67" s="80"/>
      <c r="B67" s="136" t="s">
        <v>221</v>
      </c>
      <c r="C67" s="137"/>
      <c r="D67" s="138"/>
      <c r="E67" s="139">
        <v>0.76</v>
      </c>
      <c r="F67" s="139">
        <v>0.76</v>
      </c>
      <c r="G67" s="139">
        <v>0.76</v>
      </c>
      <c r="H67" s="135"/>
      <c r="I67" s="135" t="s">
        <v>222</v>
      </c>
      <c r="J67" s="135"/>
      <c r="K67" s="135"/>
      <c r="L67" s="135"/>
      <c r="M67" s="135"/>
      <c r="N67" s="135"/>
      <c r="O67" s="135"/>
      <c r="P67" s="135"/>
      <c r="Q67" s="135"/>
      <c r="R67" s="135"/>
      <c r="S67" s="135"/>
      <c r="T67" s="135"/>
      <c r="U67" s="135"/>
      <c r="V67" s="135"/>
      <c r="W67" s="135"/>
      <c r="X67" s="135"/>
      <c r="Y67" s="80"/>
      <c r="Z67" s="80"/>
      <c r="AA67" s="80"/>
      <c r="AB67" s="80"/>
      <c r="AC67" s="80"/>
      <c r="AD67" s="80"/>
    </row>
    <row r="68" spans="1:30" ht="16.5" thickTop="1" thickBot="1">
      <c r="A68" s="80"/>
      <c r="B68" s="136" t="s">
        <v>223</v>
      </c>
      <c r="C68" s="137"/>
      <c r="D68" s="138"/>
      <c r="E68" s="139">
        <v>0.9</v>
      </c>
      <c r="F68" s="139">
        <v>0.9</v>
      </c>
      <c r="G68" s="139">
        <v>0.9</v>
      </c>
      <c r="H68" s="135"/>
      <c r="I68" s="251" t="s">
        <v>224</v>
      </c>
      <c r="J68" s="251"/>
      <c r="K68" s="251"/>
      <c r="L68" s="251"/>
      <c r="M68" s="251"/>
      <c r="N68" s="251"/>
      <c r="O68" s="251"/>
      <c r="P68" s="251"/>
      <c r="Q68" s="251"/>
      <c r="R68" s="251"/>
      <c r="S68" s="251"/>
      <c r="T68" s="251"/>
      <c r="U68" s="251"/>
      <c r="V68" s="251"/>
      <c r="W68" s="251"/>
      <c r="X68" s="251"/>
      <c r="Y68" s="80"/>
      <c r="Z68" s="80"/>
      <c r="AA68" s="80"/>
      <c r="AB68" s="80"/>
      <c r="AC68" s="80"/>
      <c r="AD68" s="80"/>
    </row>
    <row r="69" spans="1:30" ht="16.5" thickTop="1" thickBot="1">
      <c r="A69" s="80"/>
      <c r="B69" s="136" t="s">
        <v>225</v>
      </c>
      <c r="C69" s="137"/>
      <c r="D69" s="138"/>
      <c r="E69" s="139">
        <v>0.8</v>
      </c>
      <c r="F69" s="139">
        <v>0.75</v>
      </c>
      <c r="G69" s="139">
        <v>0.7</v>
      </c>
      <c r="H69" s="135"/>
      <c r="I69" s="251"/>
      <c r="J69" s="251"/>
      <c r="K69" s="251"/>
      <c r="L69" s="251"/>
      <c r="M69" s="251"/>
      <c r="N69" s="251"/>
      <c r="O69" s="251"/>
      <c r="P69" s="251"/>
      <c r="Q69" s="251"/>
      <c r="R69" s="251"/>
      <c r="S69" s="251"/>
      <c r="T69" s="251"/>
      <c r="U69" s="251"/>
      <c r="V69" s="251"/>
      <c r="W69" s="251"/>
      <c r="X69" s="251"/>
      <c r="Y69" s="80"/>
      <c r="Z69" s="80"/>
      <c r="AA69" s="80"/>
      <c r="AB69" s="80"/>
      <c r="AC69" s="80"/>
      <c r="AD69" s="80"/>
    </row>
    <row r="70" spans="1:30" ht="16.5" thickTop="1" thickBot="1">
      <c r="A70" s="80"/>
      <c r="B70" s="136" t="s">
        <v>226</v>
      </c>
      <c r="C70" s="137"/>
      <c r="D70" s="138"/>
      <c r="E70" s="139">
        <v>0.6</v>
      </c>
      <c r="F70" s="139">
        <v>0.6</v>
      </c>
      <c r="G70" s="139">
        <v>0.6</v>
      </c>
      <c r="H70" s="135"/>
      <c r="I70" s="135"/>
      <c r="J70" s="135"/>
      <c r="K70" s="135"/>
      <c r="L70" s="135"/>
      <c r="M70" s="135"/>
      <c r="N70" s="135"/>
      <c r="O70" s="135"/>
      <c r="P70" s="135"/>
      <c r="Q70" s="135"/>
      <c r="R70" s="135"/>
      <c r="S70" s="135"/>
      <c r="T70" s="135"/>
      <c r="U70" s="135"/>
      <c r="V70" s="135"/>
      <c r="W70" s="135"/>
      <c r="X70" s="135"/>
      <c r="Y70" s="80"/>
      <c r="Z70" s="80"/>
      <c r="AA70" s="80"/>
      <c r="AB70" s="80"/>
      <c r="AC70" s="80"/>
      <c r="AD70" s="80"/>
    </row>
    <row r="71" spans="1:30" ht="16.5" thickTop="1" thickBot="1">
      <c r="A71" s="80"/>
      <c r="B71" s="136" t="s">
        <v>227</v>
      </c>
      <c r="C71" s="137"/>
      <c r="D71" s="138"/>
      <c r="E71" s="139">
        <v>0.9</v>
      </c>
      <c r="F71" s="139">
        <v>0.9</v>
      </c>
      <c r="G71" s="139">
        <v>0.9</v>
      </c>
      <c r="H71" s="135"/>
      <c r="I71" s="135"/>
      <c r="J71" s="135"/>
      <c r="K71" s="135"/>
      <c r="L71" s="135"/>
      <c r="M71" s="135"/>
      <c r="N71" s="135"/>
      <c r="O71" s="135"/>
      <c r="P71" s="135"/>
      <c r="Q71" s="135"/>
      <c r="R71" s="135"/>
      <c r="S71" s="135"/>
      <c r="T71" s="135"/>
      <c r="U71" s="135"/>
      <c r="V71" s="135"/>
      <c r="W71" s="135"/>
      <c r="X71" s="135"/>
      <c r="Y71" s="80"/>
      <c r="Z71" s="80"/>
      <c r="AA71" s="80"/>
      <c r="AB71" s="80"/>
      <c r="AC71" s="80"/>
      <c r="AD71" s="80"/>
    </row>
    <row r="72" spans="1:30" ht="13.5" thickTop="1"/>
  </sheetData>
  <mergeCells count="3">
    <mergeCell ref="B65:D65"/>
    <mergeCell ref="I68:X69"/>
    <mergeCell ref="F47:G47"/>
  </mergeCells>
  <hyperlinks>
    <hyperlink ref="B61" r:id="rId1"/>
  </hyperlinks>
  <pageMargins left="0.7" right="0.7" top="0.75" bottom="0.75" header="0.3" footer="0.3"/>
  <legacyDrawing r:id="rId2"/>
</worksheet>
</file>

<file path=xl/worksheets/sheet12.xml><?xml version="1.0" encoding="utf-8"?>
<worksheet xmlns="http://schemas.openxmlformats.org/spreadsheetml/2006/main" xmlns:r="http://schemas.openxmlformats.org/officeDocument/2006/relationships">
  <sheetPr codeName="Sheet13"/>
  <dimension ref="A1"/>
  <sheetViews>
    <sheetView topLeftCell="B40" workbookViewId="0">
      <selection activeCell="L67" sqref="L67"/>
    </sheetView>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2"/>
  <dimension ref="A1:BD12"/>
  <sheetViews>
    <sheetView workbookViewId="0">
      <selection activeCell="C22" sqref="C22"/>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72" t="s">
        <v>328</v>
      </c>
      <c r="B1" s="72" t="s">
        <v>329</v>
      </c>
      <c r="C1" s="72" t="s">
        <v>330</v>
      </c>
      <c r="D1" s="72" t="s">
        <v>331</v>
      </c>
      <c r="E1" s="72" t="s">
        <v>332</v>
      </c>
      <c r="F1" s="72" t="s">
        <v>333</v>
      </c>
      <c r="G1" s="72" t="s">
        <v>334</v>
      </c>
      <c r="H1" s="72" t="s">
        <v>280</v>
      </c>
      <c r="I1" s="72" t="s">
        <v>76</v>
      </c>
      <c r="J1" s="72" t="s">
        <v>77</v>
      </c>
      <c r="K1" s="66">
        <v>2016</v>
      </c>
      <c r="L1" s="67">
        <v>2017</v>
      </c>
      <c r="M1" s="67">
        <v>2018</v>
      </c>
      <c r="N1" s="67">
        <v>2019</v>
      </c>
      <c r="O1" s="67">
        <v>2020</v>
      </c>
      <c r="P1" s="67">
        <v>2021</v>
      </c>
      <c r="Q1" s="67">
        <v>2022</v>
      </c>
      <c r="R1" s="67">
        <v>2023</v>
      </c>
      <c r="S1" s="67">
        <v>2024</v>
      </c>
      <c r="T1" s="67">
        <v>2025</v>
      </c>
      <c r="U1" s="67">
        <v>2026</v>
      </c>
      <c r="V1" s="67">
        <v>2027</v>
      </c>
      <c r="W1" s="67">
        <v>2028</v>
      </c>
      <c r="X1" s="67">
        <v>2029</v>
      </c>
      <c r="Y1" s="67">
        <v>2030</v>
      </c>
      <c r="Z1" s="67">
        <v>2031</v>
      </c>
      <c r="AA1" s="67">
        <v>2032</v>
      </c>
      <c r="AB1" s="67">
        <v>2033</v>
      </c>
      <c r="AC1" s="67">
        <v>2034</v>
      </c>
      <c r="AD1" s="67">
        <v>2035</v>
      </c>
      <c r="AE1" s="68" t="s">
        <v>70</v>
      </c>
      <c r="AF1" s="46" t="s">
        <v>324</v>
      </c>
      <c r="AG1" s="47"/>
      <c r="AH1" s="47"/>
      <c r="AI1" s="47"/>
      <c r="AJ1" s="47"/>
      <c r="AK1" s="47"/>
      <c r="AL1" s="47"/>
      <c r="AM1" s="47"/>
      <c r="AN1" s="47"/>
      <c r="AO1" s="47"/>
      <c r="AP1" s="47"/>
      <c r="AQ1" s="41"/>
      <c r="AR1" s="45"/>
      <c r="AS1" s="46" t="s">
        <v>325</v>
      </c>
      <c r="AT1" s="47"/>
      <c r="AU1" s="47"/>
      <c r="AV1" s="47"/>
      <c r="AW1" s="47"/>
      <c r="AX1" s="47"/>
      <c r="AY1" s="47"/>
      <c r="AZ1" s="47"/>
      <c r="BA1" s="47"/>
      <c r="BB1" s="47"/>
      <c r="BC1" s="47"/>
      <c r="BD1" s="41"/>
    </row>
    <row r="2" spans="1:56" ht="15">
      <c r="A2" s="72"/>
      <c r="B2" s="72"/>
      <c r="C2" s="72"/>
      <c r="D2" s="72"/>
      <c r="E2" s="72"/>
      <c r="F2" s="72" t="s">
        <v>326</v>
      </c>
      <c r="G2" s="72" t="s">
        <v>46</v>
      </c>
      <c r="H2" s="72" t="s">
        <v>75</v>
      </c>
      <c r="I2" s="72">
        <v>1</v>
      </c>
      <c r="J2" s="72"/>
      <c r="K2" s="69" t="str">
        <f t="shared" ref="K2:AD2" si="0">CONCATENATE("aMW_",K$1)</f>
        <v>aMW_2016</v>
      </c>
      <c r="L2" s="70" t="str">
        <f t="shared" si="0"/>
        <v>aMW_2017</v>
      </c>
      <c r="M2" s="70" t="str">
        <f t="shared" si="0"/>
        <v>aMW_2018</v>
      </c>
      <c r="N2" s="70" t="str">
        <f t="shared" si="0"/>
        <v>aMW_2019</v>
      </c>
      <c r="O2" s="70" t="str">
        <f t="shared" si="0"/>
        <v>aMW_2020</v>
      </c>
      <c r="P2" s="70" t="str">
        <f t="shared" si="0"/>
        <v>aMW_2021</v>
      </c>
      <c r="Q2" s="70" t="str">
        <f t="shared" si="0"/>
        <v>aMW_2022</v>
      </c>
      <c r="R2" s="70" t="str">
        <f t="shared" si="0"/>
        <v>aMW_2023</v>
      </c>
      <c r="S2" s="70" t="str">
        <f t="shared" si="0"/>
        <v>aMW_2024</v>
      </c>
      <c r="T2" s="70" t="str">
        <f t="shared" si="0"/>
        <v>aMW_2025</v>
      </c>
      <c r="U2" s="70" t="str">
        <f t="shared" si="0"/>
        <v>aMW_2026</v>
      </c>
      <c r="V2" s="70" t="str">
        <f t="shared" si="0"/>
        <v>aMW_2027</v>
      </c>
      <c r="W2" s="70" t="str">
        <f t="shared" si="0"/>
        <v>aMW_2028</v>
      </c>
      <c r="X2" s="70" t="str">
        <f t="shared" si="0"/>
        <v>aMW_2029</v>
      </c>
      <c r="Y2" s="70" t="str">
        <f t="shared" si="0"/>
        <v>aMW_2030</v>
      </c>
      <c r="Z2" s="70" t="str">
        <f t="shared" si="0"/>
        <v>aMW_2031</v>
      </c>
      <c r="AA2" s="70" t="str">
        <f t="shared" si="0"/>
        <v>aMW_2032</v>
      </c>
      <c r="AB2" s="70" t="str">
        <f t="shared" si="0"/>
        <v>aMW_2033</v>
      </c>
      <c r="AC2" s="70" t="str">
        <f t="shared" si="0"/>
        <v>aMW_2034</v>
      </c>
      <c r="AD2" s="70" t="str">
        <f t="shared" si="0"/>
        <v>aMW_2035</v>
      </c>
      <c r="AE2" s="71" t="s">
        <v>70</v>
      </c>
      <c r="AF2" s="39" t="s">
        <v>33</v>
      </c>
      <c r="AG2" s="39" t="s">
        <v>34</v>
      </c>
      <c r="AH2" s="39" t="s">
        <v>35</v>
      </c>
      <c r="AI2" s="39" t="s">
        <v>36</v>
      </c>
      <c r="AJ2" s="39" t="s">
        <v>37</v>
      </c>
      <c r="AK2" s="39" t="s">
        <v>38</v>
      </c>
      <c r="AL2" s="39" t="s">
        <v>39</v>
      </c>
      <c r="AM2" s="39" t="s">
        <v>40</v>
      </c>
      <c r="AN2" s="39" t="s">
        <v>41</v>
      </c>
      <c r="AO2" s="39" t="s">
        <v>42</v>
      </c>
      <c r="AP2" s="39" t="s">
        <v>43</v>
      </c>
      <c r="AQ2" s="39" t="s">
        <v>44</v>
      </c>
      <c r="AR2" s="39"/>
      <c r="AS2" s="39" t="s">
        <v>33</v>
      </c>
      <c r="AT2" s="39" t="s">
        <v>34</v>
      </c>
      <c r="AU2" s="39" t="s">
        <v>35</v>
      </c>
      <c r="AV2" s="39" t="s">
        <v>36</v>
      </c>
      <c r="AW2" s="39" t="s">
        <v>37</v>
      </c>
      <c r="AX2" s="39" t="s">
        <v>38</v>
      </c>
      <c r="AY2" s="39" t="s">
        <v>39</v>
      </c>
      <c r="AZ2" s="39" t="s">
        <v>40</v>
      </c>
      <c r="BA2" s="39" t="s">
        <v>41</v>
      </c>
      <c r="BB2" s="39" t="s">
        <v>42</v>
      </c>
      <c r="BC2" s="39" t="s">
        <v>43</v>
      </c>
      <c r="BD2" s="39" t="s">
        <v>44</v>
      </c>
    </row>
    <row r="3" spans="1:56" ht="15">
      <c r="A3" s="63" t="str">
        <f>VLOOKUP(CONCATENATE($C3," - ",$B3),[2]ACHIEV!$B$12:$C$78,2,FALSE)</f>
        <v>LO3Slow</v>
      </c>
      <c r="B3" s="63" t="str">
        <f>'SC-New'!$C$7</f>
        <v>New</v>
      </c>
      <c r="C3" s="63" t="str">
        <f>'SC-New'!$C$8</f>
        <v>Aerator</v>
      </c>
      <c r="D3" s="63" t="s">
        <v>335</v>
      </c>
      <c r="E3" s="63" t="str">
        <f>'SC-New'!$A$9</f>
        <v>Water Heating</v>
      </c>
      <c r="F3" s="192">
        <f t="shared" ref="F3:F12" si="1">VLOOKUP(CONCATENATE($I3," ",$J3),MeasureOutput,14,FALSE)</f>
        <v>1.3998939688222571E-2</v>
      </c>
      <c r="G3" s="65">
        <f>'SC-New'!A44</f>
        <v>72.337106520484056</v>
      </c>
      <c r="H3" s="65">
        <f>'SC-New'!B44</f>
        <v>-310.57246291587876</v>
      </c>
      <c r="I3" s="9" t="str">
        <f>'SC-New'!C44</f>
        <v>Single Family</v>
      </c>
      <c r="J3" s="9" t="str">
        <f>'SC-New'!D44</f>
        <v>Bathroom Aerator 1.0 GPM AnyWH</v>
      </c>
      <c r="K3" s="36">
        <f>'SC-New'!E44</f>
        <v>1.4776386934041339E-3</v>
      </c>
      <c r="L3" s="36">
        <f>'SC-New'!F44</f>
        <v>3.635207295597573E-3</v>
      </c>
      <c r="M3" s="36">
        <f>'SC-New'!G44</f>
        <v>7.6573543311964105E-3</v>
      </c>
      <c r="N3" s="36">
        <f>'SC-New'!H44</f>
        <v>1.4539089101634388E-2</v>
      </c>
      <c r="O3" s="36">
        <f>'SC-New'!I44</f>
        <v>2.4942648244169224E-2</v>
      </c>
      <c r="P3" s="36">
        <f>'SC-New'!J44</f>
        <v>3.8164177670871553E-2</v>
      </c>
      <c r="Q3" s="36">
        <f>'SC-New'!K44</f>
        <v>5.491604397581392E-2</v>
      </c>
      <c r="R3" s="36">
        <f>'SC-New'!L44</f>
        <v>7.5338145557795805E-2</v>
      </c>
      <c r="S3" s="36">
        <f>'SC-New'!M44</f>
        <v>9.6607340732796906E-2</v>
      </c>
      <c r="T3" s="36">
        <f>'SC-New'!N44</f>
        <v>0.12076213336929027</v>
      </c>
      <c r="U3" s="36">
        <f>'SC-New'!O44</f>
        <v>0.14269366345052359</v>
      </c>
      <c r="V3" s="36">
        <f>'SC-New'!P44</f>
        <v>0.15907692076206895</v>
      </c>
      <c r="W3" s="36">
        <f>'SC-New'!Q44</f>
        <v>0.16946604567877574</v>
      </c>
      <c r="X3" s="36">
        <f>'SC-New'!R44</f>
        <v>0.18101126793613082</v>
      </c>
      <c r="Y3" s="36">
        <f>'SC-New'!S44</f>
        <v>0.19159877128059863</v>
      </c>
      <c r="Z3" s="36">
        <f>'SC-New'!T44</f>
        <v>0.196689098284896</v>
      </c>
      <c r="AA3" s="36">
        <f>'SC-New'!U44</f>
        <v>0.1939905678887372</v>
      </c>
      <c r="AB3" s="36">
        <f>'SC-New'!V44</f>
        <v>0.19607781548653361</v>
      </c>
      <c r="AC3" s="36">
        <f>'SC-New'!W44</f>
        <v>0.19805207779034792</v>
      </c>
      <c r="AD3" s="36">
        <f>'SC-New'!X44</f>
        <v>0.20026365510834995</v>
      </c>
      <c r="AE3" s="36">
        <f>'SC-New'!Y44</f>
        <v>2.266959662639533</v>
      </c>
      <c r="AF3" s="193">
        <f t="shared" ref="AF3:AF12" si="2">VLOOKUP(CONCATENATE($I3," ",$J3),MeasureOutput,15,FALSE)</f>
        <v>4.7829249691422415</v>
      </c>
      <c r="AG3" s="193">
        <f t="shared" ref="AG3:AG12" si="3">VLOOKUP(CONCATENATE($I3," ",$J3),MeasureOutput,16,FALSE)</f>
        <v>4.2846961854147585</v>
      </c>
      <c r="AH3" s="193">
        <f t="shared" ref="AH3:AH12" si="4">VLOOKUP(CONCATENATE($I3," ",$J3),MeasureOutput,17,FALSE)</f>
        <v>4.929037203096482</v>
      </c>
      <c r="AI3" s="193">
        <f t="shared" ref="AI3:AI12" si="5">VLOOKUP(CONCATENATE($I3," ",$J3),MeasureOutput,18,FALSE)</f>
        <v>4.2747278980773142</v>
      </c>
      <c r="AJ3" s="193">
        <f t="shared" ref="AJ3:AJ12" si="6">VLOOKUP(CONCATENATE($I3," ",$J3),MeasureOutput,19,FALSE)</f>
        <v>4.0773420306890085</v>
      </c>
      <c r="AK3" s="193">
        <f t="shared" ref="AK3:AK12" si="7">VLOOKUP(CONCATENATE($I3," ",$J3),MeasureOutput,20,FALSE)</f>
        <v>3.9753295537210374</v>
      </c>
      <c r="AL3" s="193">
        <f t="shared" ref="AL3:AL12" si="8">VLOOKUP(CONCATENATE($I3," ",$J3),MeasureOutput,21,FALSE)</f>
        <v>3.3644576412576668</v>
      </c>
      <c r="AM3" s="193">
        <f t="shared" ref="AM3:AM12" si="9">VLOOKUP(CONCATENATE($I3," ",$J3),MeasureOutput,22,FALSE)</f>
        <v>3.5185226922701758</v>
      </c>
      <c r="AN3" s="193">
        <f t="shared" ref="AN3:AN12" si="10">VLOOKUP(CONCATENATE($I3," ",$J3),MeasureOutput,23,FALSE)</f>
        <v>3.3008874021680494</v>
      </c>
      <c r="AO3" s="193">
        <f t="shared" ref="AO3:AO12" si="11">VLOOKUP(CONCATENATE($I3," ",$J3),MeasureOutput,24,FALSE)</f>
        <v>3.9852251644679768</v>
      </c>
      <c r="AP3" s="193">
        <f t="shared" ref="AP3:AP12" si="12">VLOOKUP(CONCATENATE($I3," ",$J3),MeasureOutput,25,FALSE)</f>
        <v>4.0847001453990259</v>
      </c>
      <c r="AQ3" s="193">
        <f t="shared" ref="AQ3:AQ12" si="13">VLOOKUP(CONCATENATE($I3," ",$J3),MeasureOutput,26,FALSE)</f>
        <v>4.7491927097235704</v>
      </c>
      <c r="AR3" s="193"/>
      <c r="AS3" s="193">
        <f t="shared" ref="AS3:AS12" si="14">VLOOKUP(CONCATENATE($I3," ",$J3),MeasureOutput,28,FALSE)</f>
        <v>2.3999917628544014</v>
      </c>
      <c r="AT3" s="193">
        <f t="shared" ref="AT3:AT12" si="15">VLOOKUP(CONCATENATE($I3," ",$J3),MeasureOutput,29,FALSE)</f>
        <v>2.0102871895558829</v>
      </c>
      <c r="AU3" s="193">
        <f t="shared" ref="AU3:AU12" si="16">VLOOKUP(CONCATENATE($I3," ",$J3),MeasureOutput,30,FALSE)</f>
        <v>1.9193312934989404</v>
      </c>
      <c r="AV3" s="193">
        <f t="shared" ref="AV3:AV12" si="17">VLOOKUP(CONCATENATE($I3," ",$J3),MeasureOutput,31,FALSE)</f>
        <v>1.9965580498528037</v>
      </c>
      <c r="AW3" s="193">
        <f t="shared" ref="AW3:AW12" si="18">VLOOKUP(CONCATENATE($I3," ",$J3),MeasureOutput,32,FALSE)</f>
        <v>1.9951536685972522</v>
      </c>
      <c r="AX3" s="193">
        <f t="shared" ref="AX3:AX12" si="19">VLOOKUP(CONCATENATE($I3," ",$J3),MeasureOutput,33,FALSE)</f>
        <v>1.6542074667191453</v>
      </c>
      <c r="AY3" s="193">
        <f t="shared" ref="AY3:AY12" si="20">VLOOKUP(CONCATENATE($I3," ",$J3),MeasureOutput,34,FALSE)</f>
        <v>1.7986886499233703</v>
      </c>
      <c r="AZ3" s="193">
        <f t="shared" ref="AZ3:AZ12" si="21">VLOOKUP(CONCATENATE($I3," ",$J3),MeasureOutput,35,FALSE)</f>
        <v>1.4121629650345993</v>
      </c>
      <c r="BA3" s="193">
        <f t="shared" ref="BA3:BA12" si="22">VLOOKUP(CONCATENATE($I3," ",$J3),MeasureOutput,36,FALSE)</f>
        <v>1.7398411517686971</v>
      </c>
      <c r="BB3" s="193">
        <f t="shared" ref="BB3:BB12" si="23">VLOOKUP(CONCATENATE($I3," ",$J3),MeasureOutput,37,FALSE)</f>
        <v>1.6232091819271706</v>
      </c>
      <c r="BC3" s="193">
        <f t="shared" ref="BC3:BC12" si="24">VLOOKUP(CONCATENATE($I3," ",$J3),MeasureOutput,38,FALSE)</f>
        <v>2.1257516159279173</v>
      </c>
      <c r="BD3" s="193">
        <f t="shared" ref="BD3:BD12" si="25">VLOOKUP(CONCATENATE($I3," ",$J3),MeasureOutput,39,FALSE)</f>
        <v>2.3348799293965716</v>
      </c>
    </row>
    <row r="4" spans="1:56" ht="15">
      <c r="A4" s="63" t="str">
        <f>VLOOKUP(CONCATENATE($C4," - ",$B4),[2]ACHIEV!$B$12:$C$78,2,FALSE)</f>
        <v>LO3Slow</v>
      </c>
      <c r="B4" s="63" t="str">
        <f>'SC-New'!$C$7</f>
        <v>New</v>
      </c>
      <c r="C4" s="63" t="str">
        <f>'SC-New'!$C$8</f>
        <v>Aerator</v>
      </c>
      <c r="D4" s="63" t="s">
        <v>335</v>
      </c>
      <c r="E4" s="63" t="str">
        <f>'SC-New'!$A$9</f>
        <v>Water Heating</v>
      </c>
      <c r="F4" s="192">
        <f t="shared" si="1"/>
        <v>1.6952680159522726E-2</v>
      </c>
      <c r="G4" s="65">
        <f>'SC-New'!A45</f>
        <v>87.60005099091866</v>
      </c>
      <c r="H4" s="65">
        <f>'SC-New'!B45</f>
        <v>-175.02096174204908</v>
      </c>
      <c r="I4" s="9" t="str">
        <f>'SC-New'!C45</f>
        <v>Multifamily - Low Rise</v>
      </c>
      <c r="J4" s="9" t="str">
        <f>'SC-New'!D45</f>
        <v>Bathroom Aerator 1.0 GPM AnyWH</v>
      </c>
      <c r="K4" s="36">
        <f>'SC-New'!E45</f>
        <v>4.3103771271113441E-4</v>
      </c>
      <c r="L4" s="36">
        <f>'SC-New'!F45</f>
        <v>1.0960685487123264E-3</v>
      </c>
      <c r="M4" s="36">
        <f>'SC-New'!G45</f>
        <v>2.414086298393354E-3</v>
      </c>
      <c r="N4" s="36">
        <f>'SC-New'!H45</f>
        <v>4.5870483703140813E-3</v>
      </c>
      <c r="O4" s="36">
        <f>'SC-New'!I45</f>
        <v>7.6223786918948738E-3</v>
      </c>
      <c r="P4" s="36">
        <f>'SC-New'!J45</f>
        <v>1.1800991111948893E-2</v>
      </c>
      <c r="Q4" s="36">
        <f>'SC-New'!K45</f>
        <v>1.7308809583132533E-2</v>
      </c>
      <c r="R4" s="36">
        <f>'SC-New'!L45</f>
        <v>2.4303351005398172E-2</v>
      </c>
      <c r="S4" s="36">
        <f>'SC-New'!M45</f>
        <v>3.2255385691262378E-2</v>
      </c>
      <c r="T4" s="36">
        <f>'SC-New'!N45</f>
        <v>4.0692932362511071E-2</v>
      </c>
      <c r="U4" s="36">
        <f>'SC-New'!O45</f>
        <v>4.7949039000697927E-2</v>
      </c>
      <c r="V4" s="36">
        <f>'SC-New'!P45</f>
        <v>5.4164338570556157E-2</v>
      </c>
      <c r="W4" s="36">
        <f>'SC-New'!Q45</f>
        <v>5.9366766947837907E-2</v>
      </c>
      <c r="X4" s="36">
        <f>'SC-New'!R45</f>
        <v>6.2656002213761511E-2</v>
      </c>
      <c r="Y4" s="36">
        <f>'SC-New'!S45</f>
        <v>6.4765683067074642E-2</v>
      </c>
      <c r="Z4" s="36">
        <f>'SC-New'!T45</f>
        <v>6.5405000788810841E-2</v>
      </c>
      <c r="AA4" s="36">
        <f>'SC-New'!U45</f>
        <v>6.5577241638337003E-2</v>
      </c>
      <c r="AB4" s="36">
        <f>'SC-New'!V45</f>
        <v>6.5554681825655409E-2</v>
      </c>
      <c r="AC4" s="36">
        <f>'SC-New'!W45</f>
        <v>6.4775351372125894E-2</v>
      </c>
      <c r="AD4" s="36">
        <f>'SC-New'!X45</f>
        <v>6.4810894993785576E-2</v>
      </c>
      <c r="AE4" s="36">
        <f>'SC-New'!Y45</f>
        <v>0.75753708979492163</v>
      </c>
      <c r="AF4" s="193">
        <f t="shared" si="2"/>
        <v>5.7921099050865745</v>
      </c>
      <c r="AG4" s="193">
        <f t="shared" si="3"/>
        <v>5.1887561222350067</v>
      </c>
      <c r="AH4" s="193">
        <f t="shared" si="4"/>
        <v>5.9690514467165832</v>
      </c>
      <c r="AI4" s="193">
        <f t="shared" si="5"/>
        <v>5.176684551763703</v>
      </c>
      <c r="AJ4" s="193">
        <f t="shared" si="6"/>
        <v>4.9376507711796549</v>
      </c>
      <c r="AK4" s="193">
        <f t="shared" si="7"/>
        <v>4.8141139224729175</v>
      </c>
      <c r="AL4" s="193">
        <f t="shared" si="8"/>
        <v>4.0743495988120326</v>
      </c>
      <c r="AM4" s="193">
        <f t="shared" si="9"/>
        <v>4.2609219815599175</v>
      </c>
      <c r="AN4" s="193">
        <f t="shared" si="10"/>
        <v>3.9973662018582381</v>
      </c>
      <c r="AO4" s="193">
        <f t="shared" si="11"/>
        <v>4.8260974817789943</v>
      </c>
      <c r="AP4" s="193">
        <f t="shared" si="12"/>
        <v>4.9465614292747784</v>
      </c>
      <c r="AQ4" s="193">
        <f t="shared" si="13"/>
        <v>5.7512602252023273</v>
      </c>
      <c r="AR4" s="193"/>
      <c r="AS4" s="193">
        <f t="shared" si="14"/>
        <v>2.9063838867303295</v>
      </c>
      <c r="AT4" s="193">
        <f t="shared" si="15"/>
        <v>2.434452645152712</v>
      </c>
      <c r="AU4" s="193">
        <f t="shared" si="16"/>
        <v>2.3243052876515296</v>
      </c>
      <c r="AV4" s="193">
        <f t="shared" si="17"/>
        <v>2.4178266920851721</v>
      </c>
      <c r="AW4" s="193">
        <f t="shared" si="18"/>
        <v>2.4161259899764671</v>
      </c>
      <c r="AX4" s="193">
        <f t="shared" si="19"/>
        <v>2.0032410114872508</v>
      </c>
      <c r="AY4" s="193">
        <f t="shared" si="20"/>
        <v>2.1782073548304748</v>
      </c>
      <c r="AZ4" s="193">
        <f t="shared" si="21"/>
        <v>1.710125738986912</v>
      </c>
      <c r="BA4" s="193">
        <f t="shared" si="22"/>
        <v>2.1069431850702762</v>
      </c>
      <c r="BB4" s="193">
        <f t="shared" si="23"/>
        <v>1.9657021678836704</v>
      </c>
      <c r="BC4" s="193">
        <f t="shared" si="24"/>
        <v>2.5742797701838072</v>
      </c>
      <c r="BD4" s="193">
        <f t="shared" si="25"/>
        <v>2.8275336229393262</v>
      </c>
    </row>
    <row r="5" spans="1:56" ht="15">
      <c r="A5" s="63" t="str">
        <f>VLOOKUP(CONCATENATE($C5," - ",$B5),[2]ACHIEV!$B$12:$C$78,2,FALSE)</f>
        <v>LO3Slow</v>
      </c>
      <c r="B5" s="63" t="str">
        <f>'SC-New'!$C$7</f>
        <v>New</v>
      </c>
      <c r="C5" s="63" t="str">
        <f>'SC-New'!$C$8</f>
        <v>Aerator</v>
      </c>
      <c r="D5" s="63" t="s">
        <v>335</v>
      </c>
      <c r="E5" s="63" t="str">
        <f>'SC-New'!$A$9</f>
        <v>Water Heating</v>
      </c>
      <c r="F5" s="192">
        <f t="shared" si="1"/>
        <v>1.6952680159522726E-2</v>
      </c>
      <c r="G5" s="65">
        <f>'SC-New'!A46</f>
        <v>87.60005099091866</v>
      </c>
      <c r="H5" s="65">
        <f>'SC-New'!B46</f>
        <v>-175.02096174204908</v>
      </c>
      <c r="I5" s="9" t="str">
        <f>'SC-New'!C46</f>
        <v>Multifamily - High Rise</v>
      </c>
      <c r="J5" s="9" t="str">
        <f>'SC-New'!D46</f>
        <v>Bathroom Aerator 1.0 GPM AnyWH</v>
      </c>
      <c r="K5" s="36">
        <f>'SC-New'!E46</f>
        <v>9.6764278612612687E-5</v>
      </c>
      <c r="L5" s="36">
        <f>'SC-New'!F46</f>
        <v>2.495218096757841E-4</v>
      </c>
      <c r="M5" s="36">
        <f>'SC-New'!G46</f>
        <v>5.5784227606942396E-4</v>
      </c>
      <c r="N5" s="36">
        <f>'SC-New'!H46</f>
        <v>1.0355236628899571E-3</v>
      </c>
      <c r="O5" s="36">
        <f>'SC-New'!I46</f>
        <v>1.687418287438762E-3</v>
      </c>
      <c r="P5" s="36">
        <f>'SC-New'!J46</f>
        <v>2.6515920538029204E-3</v>
      </c>
      <c r="Q5" s="36">
        <f>'SC-New'!K46</f>
        <v>3.9005729385623235E-3</v>
      </c>
      <c r="R5" s="36">
        <f>'SC-New'!L46</f>
        <v>5.5448859186999497E-3</v>
      </c>
      <c r="S5" s="36">
        <f>'SC-New'!M46</f>
        <v>7.307430296730439E-3</v>
      </c>
      <c r="T5" s="36">
        <f>'SC-New'!N46</f>
        <v>9.2179848132888202E-3</v>
      </c>
      <c r="U5" s="36">
        <f>'SC-New'!O46</f>
        <v>1.073092649612929E-2</v>
      </c>
      <c r="V5" s="36">
        <f>'SC-New'!P46</f>
        <v>1.2098450361342715E-2</v>
      </c>
      <c r="W5" s="36">
        <f>'SC-New'!Q46</f>
        <v>1.3146103712587693E-2</v>
      </c>
      <c r="X5" s="36">
        <f>'SC-New'!R46</f>
        <v>1.3983166464429184E-2</v>
      </c>
      <c r="Y5" s="36">
        <f>'SC-New'!S46</f>
        <v>1.4522847541339999E-2</v>
      </c>
      <c r="Z5" s="36">
        <f>'SC-New'!T46</f>
        <v>1.4655819192952701E-2</v>
      </c>
      <c r="AA5" s="36">
        <f>'SC-New'!U46</f>
        <v>1.4712045297451062E-2</v>
      </c>
      <c r="AB5" s="36">
        <f>'SC-New'!V46</f>
        <v>1.4552748840180809E-2</v>
      </c>
      <c r="AC5" s="36">
        <f>'SC-New'!W46</f>
        <v>1.4606081122610564E-2</v>
      </c>
      <c r="AD5" s="36">
        <f>'SC-New'!X46</f>
        <v>1.460276182050819E-2</v>
      </c>
      <c r="AE5" s="36">
        <f>'SC-New'!Y46</f>
        <v>0.16986048718530319</v>
      </c>
      <c r="AF5" s="193">
        <f t="shared" si="2"/>
        <v>5.7921099050865745</v>
      </c>
      <c r="AG5" s="193">
        <f t="shared" si="3"/>
        <v>5.1887561222350067</v>
      </c>
      <c r="AH5" s="193">
        <f t="shared" si="4"/>
        <v>5.9690514467165832</v>
      </c>
      <c r="AI5" s="193">
        <f t="shared" si="5"/>
        <v>5.176684551763703</v>
      </c>
      <c r="AJ5" s="193">
        <f t="shared" si="6"/>
        <v>4.9376507711796549</v>
      </c>
      <c r="AK5" s="193">
        <f t="shared" si="7"/>
        <v>4.8141139224729175</v>
      </c>
      <c r="AL5" s="193">
        <f t="shared" si="8"/>
        <v>4.0743495988120326</v>
      </c>
      <c r="AM5" s="193">
        <f t="shared" si="9"/>
        <v>4.2609219815599175</v>
      </c>
      <c r="AN5" s="193">
        <f t="shared" si="10"/>
        <v>3.9973662018582381</v>
      </c>
      <c r="AO5" s="193">
        <f t="shared" si="11"/>
        <v>4.8260974817789943</v>
      </c>
      <c r="AP5" s="193">
        <f t="shared" si="12"/>
        <v>4.9465614292747784</v>
      </c>
      <c r="AQ5" s="193">
        <f t="shared" si="13"/>
        <v>5.7512602252023273</v>
      </c>
      <c r="AR5" s="193"/>
      <c r="AS5" s="193">
        <f t="shared" si="14"/>
        <v>2.9063838867303295</v>
      </c>
      <c r="AT5" s="193">
        <f t="shared" si="15"/>
        <v>2.434452645152712</v>
      </c>
      <c r="AU5" s="193">
        <f t="shared" si="16"/>
        <v>2.3243052876515296</v>
      </c>
      <c r="AV5" s="193">
        <f t="shared" si="17"/>
        <v>2.4178266920851721</v>
      </c>
      <c r="AW5" s="193">
        <f t="shared" si="18"/>
        <v>2.4161259899764671</v>
      </c>
      <c r="AX5" s="193">
        <f t="shared" si="19"/>
        <v>2.0032410114872508</v>
      </c>
      <c r="AY5" s="193">
        <f t="shared" si="20"/>
        <v>2.1782073548304748</v>
      </c>
      <c r="AZ5" s="193">
        <f t="shared" si="21"/>
        <v>1.710125738986912</v>
      </c>
      <c r="BA5" s="193">
        <f t="shared" si="22"/>
        <v>2.1069431850702762</v>
      </c>
      <c r="BB5" s="193">
        <f t="shared" si="23"/>
        <v>1.9657021678836704</v>
      </c>
      <c r="BC5" s="193">
        <f t="shared" si="24"/>
        <v>2.5742797701838072</v>
      </c>
      <c r="BD5" s="193">
        <f t="shared" si="25"/>
        <v>2.8275336229393262</v>
      </c>
    </row>
    <row r="6" spans="1:56" ht="15">
      <c r="A6" s="63" t="str">
        <f>VLOOKUP(CONCATENATE($C6," - ",$B6),[2]ACHIEV!$B$12:$C$78,2,FALSE)</f>
        <v>LO3Slow</v>
      </c>
      <c r="B6" s="63" t="str">
        <f>'SC-New'!$C$7</f>
        <v>New</v>
      </c>
      <c r="C6" s="63" t="str">
        <f>'SC-New'!$C$8</f>
        <v>Aerator</v>
      </c>
      <c r="D6" s="63" t="s">
        <v>335</v>
      </c>
      <c r="E6" s="63" t="str">
        <f>'SC-New'!$A$9</f>
        <v>Water Heating</v>
      </c>
      <c r="F6" s="192">
        <f t="shared" si="1"/>
        <v>2.0804756787419384E-2</v>
      </c>
      <c r="G6" s="65">
        <f>'SC-New'!A47</f>
        <v>107.50499261958046</v>
      </c>
      <c r="H6" s="65">
        <f>'SC-New'!B47</f>
        <v>-188.61824926443111</v>
      </c>
      <c r="I6" s="9" t="str">
        <f>'SC-New'!C47</f>
        <v>Manufactured</v>
      </c>
      <c r="J6" s="9" t="str">
        <f>'SC-New'!D47</f>
        <v>Bathroom Aerator 1.0 GPM AnyWH</v>
      </c>
      <c r="K6" s="36">
        <f>'SC-New'!E47</f>
        <v>6.1512253973209342E-5</v>
      </c>
      <c r="L6" s="36">
        <f>'SC-New'!F47</f>
        <v>1.5923794255774676E-4</v>
      </c>
      <c r="M6" s="36">
        <f>'SC-New'!G47</f>
        <v>3.6654847772367227E-4</v>
      </c>
      <c r="N6" s="36">
        <f>'SC-New'!H47</f>
        <v>7.4596635566935739E-4</v>
      </c>
      <c r="O6" s="36">
        <f>'SC-New'!I47</f>
        <v>1.2749525944643454E-3</v>
      </c>
      <c r="P6" s="36">
        <f>'SC-New'!J47</f>
        <v>2.0150914440155163E-3</v>
      </c>
      <c r="Q6" s="36">
        <f>'SC-New'!K47</f>
        <v>2.992578320701972E-3</v>
      </c>
      <c r="R6" s="36">
        <f>'SC-New'!L47</f>
        <v>4.1484270172773251E-3</v>
      </c>
      <c r="S6" s="36">
        <f>'SC-New'!M47</f>
        <v>5.40453058604678E-3</v>
      </c>
      <c r="T6" s="36">
        <f>'SC-New'!N47</f>
        <v>6.6420578198849471E-3</v>
      </c>
      <c r="U6" s="36">
        <f>'SC-New'!O47</f>
        <v>7.7518204015258295E-3</v>
      </c>
      <c r="V6" s="36">
        <f>'SC-New'!P47</f>
        <v>8.7450234342261145E-3</v>
      </c>
      <c r="W6" s="36">
        <f>'SC-New'!Q47</f>
        <v>9.5832699591414487E-3</v>
      </c>
      <c r="X6" s="36">
        <f>'SC-New'!R47</f>
        <v>1.0236910637001292E-2</v>
      </c>
      <c r="Y6" s="36">
        <f>'SC-New'!S47</f>
        <v>1.0714571557036359E-2</v>
      </c>
      <c r="Z6" s="36">
        <f>'SC-New'!T47</f>
        <v>1.104091547708593E-2</v>
      </c>
      <c r="AA6" s="36">
        <f>'SC-New'!U47</f>
        <v>1.1254334590332479E-2</v>
      </c>
      <c r="AB6" s="36">
        <f>'SC-New'!V47</f>
        <v>1.1396179812141893E-2</v>
      </c>
      <c r="AC6" s="36">
        <f>'SC-New'!W47</f>
        <v>1.1485253946588283E-2</v>
      </c>
      <c r="AD6" s="36">
        <f>'SC-New'!X47</f>
        <v>1.153655614848282E-2</v>
      </c>
      <c r="AE6" s="36">
        <f>'SC-New'!Y47</f>
        <v>0.12755573877587731</v>
      </c>
      <c r="AF6" s="193">
        <f t="shared" si="2"/>
        <v>7.1082234034622127</v>
      </c>
      <c r="AG6" s="193">
        <f t="shared" si="3"/>
        <v>6.3677724192592686</v>
      </c>
      <c r="AH6" s="193">
        <f t="shared" si="4"/>
        <v>7.3253705273720282</v>
      </c>
      <c r="AI6" s="193">
        <f t="shared" si="5"/>
        <v>6.3529578834257361</v>
      </c>
      <c r="AJ6" s="193">
        <f t="shared" si="6"/>
        <v>6.059609597359298</v>
      </c>
      <c r="AK6" s="193">
        <f t="shared" si="7"/>
        <v>5.9080020599408467</v>
      </c>
      <c r="AL6" s="193">
        <f t="shared" si="8"/>
        <v>5.0001446185834562</v>
      </c>
      <c r="AM6" s="193">
        <f t="shared" si="9"/>
        <v>5.2291109536876244</v>
      </c>
      <c r="AN6" s="193">
        <f t="shared" si="10"/>
        <v>4.9056686516435972</v>
      </c>
      <c r="AO6" s="193">
        <f t="shared" si="11"/>
        <v>5.9227085862519964</v>
      </c>
      <c r="AP6" s="193">
        <f t="shared" si="12"/>
        <v>6.0705449817787791</v>
      </c>
      <c r="AQ6" s="193">
        <f t="shared" si="13"/>
        <v>7.0580916457201592</v>
      </c>
      <c r="AR6" s="193"/>
      <c r="AS6" s="193">
        <f t="shared" si="14"/>
        <v>3.5667876303519837</v>
      </c>
      <c r="AT6" s="193">
        <f t="shared" si="15"/>
        <v>2.9876217044324793</v>
      </c>
      <c r="AU6" s="193">
        <f t="shared" si="16"/>
        <v>2.8524460884221812</v>
      </c>
      <c r="AV6" s="193">
        <f t="shared" si="17"/>
        <v>2.9672179153752709</v>
      </c>
      <c r="AW6" s="193">
        <f t="shared" si="18"/>
        <v>2.9651307708408075</v>
      </c>
      <c r="AX6" s="193">
        <f t="shared" si="19"/>
        <v>2.4584279086493188</v>
      </c>
      <c r="AY6" s="193">
        <f t="shared" si="20"/>
        <v>2.6731510193897248</v>
      </c>
      <c r="AZ6" s="193">
        <f t="shared" si="21"/>
        <v>2.0987094512924616</v>
      </c>
      <c r="BA6" s="193">
        <f t="shared" si="22"/>
        <v>2.585693832351045</v>
      </c>
      <c r="BB6" s="193">
        <f t="shared" si="23"/>
        <v>2.4123592927193021</v>
      </c>
      <c r="BC6" s="193">
        <f t="shared" si="24"/>
        <v>3.159221079940187</v>
      </c>
      <c r="BD6" s="193">
        <f t="shared" si="25"/>
        <v>3.4700205973307061</v>
      </c>
    </row>
    <row r="7" spans="1:56" ht="15">
      <c r="A7" s="63" t="str">
        <f>VLOOKUP(CONCATENATE($C7," - ",$B7),[2]ACHIEV!$B$12:$C$78,2,FALSE)</f>
        <v>LO3Slow</v>
      </c>
      <c r="B7" s="63" t="str">
        <f>'SC-New'!$C$7</f>
        <v>New</v>
      </c>
      <c r="C7" s="63" t="str">
        <f>'SC-New'!$C$8</f>
        <v>Aerator</v>
      </c>
      <c r="D7" s="63" t="s">
        <v>335</v>
      </c>
      <c r="E7" s="63" t="str">
        <f>'SC-New'!$A$9</f>
        <v>Water Heating</v>
      </c>
      <c r="F7" s="192">
        <f t="shared" si="1"/>
        <v>1.4392877014777969E-2</v>
      </c>
      <c r="G7" s="65">
        <f>'SC-New'!A48</f>
        <v>68.226290676354807</v>
      </c>
      <c r="H7" s="65">
        <f>'SC-New'!B48</f>
        <v>-311.43735778033295</v>
      </c>
      <c r="I7" s="9" t="str">
        <f>'SC-New'!C48</f>
        <v>Single Family</v>
      </c>
      <c r="J7" s="9" t="str">
        <f>'SC-New'!D48</f>
        <v>Bathroom Aerator 1.0 GPM HPWH</v>
      </c>
      <c r="K7" s="36">
        <f>'SC-New'!E48</f>
        <v>1.900454411424973E-4</v>
      </c>
      <c r="L7" s="36">
        <f>'SC-New'!F48</f>
        <v>4.67539580020538E-4</v>
      </c>
      <c r="M7" s="36">
        <f>'SC-New'!G48</f>
        <v>9.8484513728054135E-4</v>
      </c>
      <c r="N7" s="36">
        <f>'SC-New'!H48</f>
        <v>1.8699345208433023E-3</v>
      </c>
      <c r="O7" s="36">
        <f>'SC-New'!I48</f>
        <v>3.2079808210117187E-3</v>
      </c>
      <c r="P7" s="36">
        <f>'SC-New'!J48</f>
        <v>4.9084583489028572E-3</v>
      </c>
      <c r="Q7" s="36">
        <f>'SC-New'!K48</f>
        <v>7.0629876232741196E-3</v>
      </c>
      <c r="R7" s="36">
        <f>'SC-New'!L48</f>
        <v>9.6895615763853693E-3</v>
      </c>
      <c r="S7" s="36">
        <f>'SC-New'!M48</f>
        <v>1.2425083864629512E-2</v>
      </c>
      <c r="T7" s="36">
        <f>'SC-New'!N48</f>
        <v>1.5531735201521936E-2</v>
      </c>
      <c r="U7" s="36">
        <f>'SC-New'!O48</f>
        <v>1.8352443218862678E-2</v>
      </c>
      <c r="V7" s="36">
        <f>'SC-New'!P48</f>
        <v>2.0459564111826541E-2</v>
      </c>
      <c r="W7" s="36">
        <f>'SC-New'!Q48</f>
        <v>2.1795753964388868E-2</v>
      </c>
      <c r="X7" s="36">
        <f>'SC-New'!R48</f>
        <v>2.3280634447541679E-2</v>
      </c>
      <c r="Y7" s="36">
        <f>'SC-New'!S48</f>
        <v>2.4642338599360845E-2</v>
      </c>
      <c r="Z7" s="36">
        <f>'SC-New'!T48</f>
        <v>2.529702735745137E-2</v>
      </c>
      <c r="AA7" s="36">
        <f>'SC-New'!U48</f>
        <v>2.4949957805291113E-2</v>
      </c>
      <c r="AB7" s="36">
        <f>'SC-New'!V48</f>
        <v>2.5218407658606067E-2</v>
      </c>
      <c r="AC7" s="36">
        <f>'SC-New'!W48</f>
        <v>2.5472325989341588E-2</v>
      </c>
      <c r="AD7" s="36">
        <f>'SC-New'!X48</f>
        <v>2.5756766420481195E-2</v>
      </c>
      <c r="AE7" s="36">
        <f>'SC-New'!Y48</f>
        <v>0.29156339168816431</v>
      </c>
      <c r="AF7" s="193">
        <f t="shared" si="2"/>
        <v>5.3025653460883069</v>
      </c>
      <c r="AG7" s="193">
        <f t="shared" si="3"/>
        <v>4.7790092216692379</v>
      </c>
      <c r="AH7" s="193">
        <f t="shared" si="4"/>
        <v>5.3487933676960218</v>
      </c>
      <c r="AI7" s="193">
        <f t="shared" si="5"/>
        <v>4.1971694600742273</v>
      </c>
      <c r="AJ7" s="193">
        <f t="shared" si="6"/>
        <v>3.4866412192534346</v>
      </c>
      <c r="AK7" s="193">
        <f t="shared" si="7"/>
        <v>2.9488936388702194</v>
      </c>
      <c r="AL7" s="193">
        <f t="shared" si="8"/>
        <v>2.5180740990031514</v>
      </c>
      <c r="AM7" s="193">
        <f t="shared" si="9"/>
        <v>2.5686240281475903</v>
      </c>
      <c r="AN7" s="193">
        <f t="shared" si="10"/>
        <v>2.5506848686052739</v>
      </c>
      <c r="AO7" s="193">
        <f t="shared" si="11"/>
        <v>3.4216040784643398</v>
      </c>
      <c r="AP7" s="193">
        <f t="shared" si="12"/>
        <v>3.7862089978236639</v>
      </c>
      <c r="AQ7" s="193">
        <f t="shared" si="13"/>
        <v>5.1620810007949736</v>
      </c>
      <c r="AR7" s="193"/>
      <c r="AS7" s="193">
        <f t="shared" si="14"/>
        <v>2.7881414344288595</v>
      </c>
      <c r="AT7" s="193">
        <f t="shared" si="15"/>
        <v>2.3481157830682133</v>
      </c>
      <c r="AU7" s="193">
        <f t="shared" si="16"/>
        <v>2.15195996469948</v>
      </c>
      <c r="AV7" s="193">
        <f t="shared" si="17"/>
        <v>2.0044549831592144</v>
      </c>
      <c r="AW7" s="193">
        <f t="shared" si="18"/>
        <v>1.7029336551664787</v>
      </c>
      <c r="AX7" s="193">
        <f t="shared" si="19"/>
        <v>1.2854212891633343</v>
      </c>
      <c r="AY7" s="193">
        <f t="shared" si="20"/>
        <v>1.350069723162018</v>
      </c>
      <c r="AZ7" s="193">
        <f t="shared" si="21"/>
        <v>1.1176460546297713</v>
      </c>
      <c r="BA7" s="193">
        <f t="shared" si="22"/>
        <v>1.340426492104642</v>
      </c>
      <c r="BB7" s="193">
        <f t="shared" si="23"/>
        <v>1.4130541826880811</v>
      </c>
      <c r="BC7" s="193">
        <f t="shared" si="24"/>
        <v>1.968117307166757</v>
      </c>
      <c r="BD7" s="193">
        <f t="shared" si="25"/>
        <v>2.68560048042752</v>
      </c>
    </row>
    <row r="8" spans="1:56" ht="15">
      <c r="A8" s="63" t="str">
        <f>VLOOKUP(CONCATENATE($C8," - ",$B8),[2]ACHIEV!$B$12:$C$78,2,FALSE)</f>
        <v>Retro3Slow</v>
      </c>
      <c r="B8" s="63" t="str">
        <f>'SC-Retro'!$C$7</f>
        <v>Retro</v>
      </c>
      <c r="C8" s="63" t="str">
        <f>'SC-Retro'!$C$8</f>
        <v>Aerator</v>
      </c>
      <c r="D8" s="63" t="s">
        <v>335</v>
      </c>
      <c r="E8" s="63" t="str">
        <f>'SC-Retro'!$A$9</f>
        <v>Water Heating</v>
      </c>
      <c r="F8" s="192">
        <f t="shared" si="1"/>
        <v>1.3998939688222571E-2</v>
      </c>
      <c r="G8" s="65">
        <f>'SC-Retro'!A61</f>
        <v>72.337106520484056</v>
      </c>
      <c r="H8" s="65">
        <f>'SC-Retro'!B61</f>
        <v>-310.57246291587876</v>
      </c>
      <c r="I8" s="9" t="str">
        <f>'SC-Retro'!C61</f>
        <v>Single Family</v>
      </c>
      <c r="J8" s="9" t="str">
        <f>'SC-Retro'!D61</f>
        <v>Bathroom Aerator 1.0 GPM AnyWH</v>
      </c>
      <c r="K8" s="36">
        <f>'SC-Retro'!E61</f>
        <v>9.9086237809219463E-2</v>
      </c>
      <c r="L8" s="36">
        <f>'SC-Retro'!F61</f>
        <v>0.15771995512135331</v>
      </c>
      <c r="M8" s="36">
        <f>'SC-Retro'!G61</f>
        <v>0.31916077775224333</v>
      </c>
      <c r="N8" s="36">
        <f>'SC-Retro'!H61</f>
        <v>0.56460727788607612</v>
      </c>
      <c r="O8" s="36">
        <f>'SC-Retro'!I61</f>
        <v>0.88727356087424125</v>
      </c>
      <c r="P8" s="36">
        <f>'SC-Retro'!J61</f>
        <v>1.2541808866716404</v>
      </c>
      <c r="Q8" s="36">
        <f>'SC-Retro'!K61</f>
        <v>1.6103015876984648</v>
      </c>
      <c r="R8" s="36">
        <f>'SC-Retro'!L61</f>
        <v>1.8940736762896688</v>
      </c>
      <c r="S8" s="36">
        <f>'SC-Retro'!M61</f>
        <v>2.0556668754356369</v>
      </c>
      <c r="T8" s="36">
        <f>'SC-Retro'!N61</f>
        <v>2.0707383825167054</v>
      </c>
      <c r="U8" s="36">
        <f>'SC-Retro'!O61</f>
        <v>1.9464907436178511</v>
      </c>
      <c r="V8" s="36">
        <f>'SC-Retro'!P61</f>
        <v>1.7148832791250535</v>
      </c>
      <c r="W8" s="36">
        <f>'SC-Retro'!Q61</f>
        <v>1.421393937908334</v>
      </c>
      <c r="X8" s="36">
        <f>'SC-Retro'!R61</f>
        <v>1.112176937206077</v>
      </c>
      <c r="Y8" s="36">
        <f>'SC-Retro'!S61</f>
        <v>0.82428359720151756</v>
      </c>
      <c r="Z8" s="36">
        <f>'SC-Retro'!T61</f>
        <v>0.58033779880499448</v>
      </c>
      <c r="AA8" s="36">
        <f>'SC-Retro'!U61</f>
        <v>0.38907690255892663</v>
      </c>
      <c r="AB8" s="36">
        <f>'SC-Retro'!V61</f>
        <v>0.24891180879245048</v>
      </c>
      <c r="AC8" s="36">
        <f>'SC-Retro'!W61</f>
        <v>0.15230744774266744</v>
      </c>
      <c r="AD8" s="36">
        <f>'SC-Retro'!X61</f>
        <v>8.9310580335338577E-2</v>
      </c>
      <c r="AE8" s="36">
        <f>'SC-Retro'!Y61</f>
        <v>20.732824521806378</v>
      </c>
      <c r="AF8" s="193">
        <f t="shared" si="2"/>
        <v>4.7829249691422415</v>
      </c>
      <c r="AG8" s="193">
        <f t="shared" si="3"/>
        <v>4.2846961854147585</v>
      </c>
      <c r="AH8" s="193">
        <f t="shared" si="4"/>
        <v>4.929037203096482</v>
      </c>
      <c r="AI8" s="193">
        <f t="shared" si="5"/>
        <v>4.2747278980773142</v>
      </c>
      <c r="AJ8" s="193">
        <f t="shared" si="6"/>
        <v>4.0773420306890085</v>
      </c>
      <c r="AK8" s="193">
        <f t="shared" si="7"/>
        <v>3.9753295537210374</v>
      </c>
      <c r="AL8" s="193">
        <f t="shared" si="8"/>
        <v>3.3644576412576668</v>
      </c>
      <c r="AM8" s="193">
        <f t="shared" si="9"/>
        <v>3.5185226922701758</v>
      </c>
      <c r="AN8" s="193">
        <f t="shared" si="10"/>
        <v>3.3008874021680494</v>
      </c>
      <c r="AO8" s="193">
        <f t="shared" si="11"/>
        <v>3.9852251644679768</v>
      </c>
      <c r="AP8" s="193">
        <f t="shared" si="12"/>
        <v>4.0847001453990259</v>
      </c>
      <c r="AQ8" s="193">
        <f t="shared" si="13"/>
        <v>4.7491927097235704</v>
      </c>
      <c r="AR8" s="193"/>
      <c r="AS8" s="193">
        <f t="shared" si="14"/>
        <v>2.3999917628544014</v>
      </c>
      <c r="AT8" s="193">
        <f t="shared" si="15"/>
        <v>2.0102871895558829</v>
      </c>
      <c r="AU8" s="193">
        <f t="shared" si="16"/>
        <v>1.9193312934989404</v>
      </c>
      <c r="AV8" s="193">
        <f t="shared" si="17"/>
        <v>1.9965580498528037</v>
      </c>
      <c r="AW8" s="193">
        <f t="shared" si="18"/>
        <v>1.9951536685972522</v>
      </c>
      <c r="AX8" s="193">
        <f t="shared" si="19"/>
        <v>1.6542074667191453</v>
      </c>
      <c r="AY8" s="193">
        <f t="shared" si="20"/>
        <v>1.7986886499233703</v>
      </c>
      <c r="AZ8" s="193">
        <f t="shared" si="21"/>
        <v>1.4121629650345993</v>
      </c>
      <c r="BA8" s="193">
        <f t="shared" si="22"/>
        <v>1.7398411517686971</v>
      </c>
      <c r="BB8" s="193">
        <f t="shared" si="23"/>
        <v>1.6232091819271706</v>
      </c>
      <c r="BC8" s="193">
        <f t="shared" si="24"/>
        <v>2.1257516159279173</v>
      </c>
      <c r="BD8" s="193">
        <f t="shared" si="25"/>
        <v>2.3348799293965716</v>
      </c>
    </row>
    <row r="9" spans="1:56" ht="15">
      <c r="A9" s="63" t="str">
        <f>VLOOKUP(CONCATENATE($C9," - ",$B9),[2]ACHIEV!$B$12:$C$78,2,FALSE)</f>
        <v>Retro3Slow</v>
      </c>
      <c r="B9" s="63" t="str">
        <f>'SC-Retro'!$C$7</f>
        <v>Retro</v>
      </c>
      <c r="C9" s="63" t="str">
        <f>'SC-Retro'!$C$8</f>
        <v>Aerator</v>
      </c>
      <c r="D9" s="63" t="s">
        <v>335</v>
      </c>
      <c r="E9" s="63" t="str">
        <f>'SC-Retro'!$A$9</f>
        <v>Water Heating</v>
      </c>
      <c r="F9" s="192">
        <f t="shared" si="1"/>
        <v>1.6952680159522726E-2</v>
      </c>
      <c r="G9" s="65">
        <f>'SC-Retro'!A62</f>
        <v>87.60005099091866</v>
      </c>
      <c r="H9" s="65">
        <f>'SC-Retro'!B62</f>
        <v>-175.02096174204908</v>
      </c>
      <c r="I9" s="9" t="str">
        <f>'SC-Retro'!C62</f>
        <v>Multifamily - Low Rise</v>
      </c>
      <c r="J9" s="9" t="str">
        <f>'SC-Retro'!D62</f>
        <v>Bathroom Aerator 1.0 GPM AnyWH</v>
      </c>
      <c r="K9" s="36">
        <f>'SC-Retro'!E62</f>
        <v>1.7149476886655361E-2</v>
      </c>
      <c r="L9" s="36">
        <f>'SC-Retro'!F62</f>
        <v>2.7572718242714383E-2</v>
      </c>
      <c r="M9" s="36">
        <f>'SC-Retro'!G62</f>
        <v>5.6357977864851402E-2</v>
      </c>
      <c r="N9" s="36">
        <f>'SC-Retro'!H62</f>
        <v>0.10071718883556162</v>
      </c>
      <c r="O9" s="36">
        <f>'SC-Retro'!I62</f>
        <v>0.15978164393424552</v>
      </c>
      <c r="P9" s="36">
        <f>'SC-Retro'!J62</f>
        <v>0.22771482839354115</v>
      </c>
      <c r="Q9" s="36">
        <f>'SC-Retro'!K62</f>
        <v>0.29463179165680997</v>
      </c>
      <c r="R9" s="36">
        <f>'SC-Retro'!L62</f>
        <v>0.34914848114934838</v>
      </c>
      <c r="S9" s="36">
        <f>'SC-Retro'!M62</f>
        <v>0.381768047511854</v>
      </c>
      <c r="T9" s="36">
        <f>'SC-Retro'!N62</f>
        <v>0.38748084524519849</v>
      </c>
      <c r="U9" s="36">
        <f>'SC-Retro'!O62</f>
        <v>0.36694552371354183</v>
      </c>
      <c r="V9" s="36">
        <f>'SC-Retro'!P62</f>
        <v>0.32557093465107056</v>
      </c>
      <c r="W9" s="36">
        <f>'SC-Retro'!Q62</f>
        <v>0.27170173789512014</v>
      </c>
      <c r="X9" s="36">
        <f>'SC-Retro'!R62</f>
        <v>0.2140415025358722</v>
      </c>
      <c r="Y9" s="36">
        <f>'SC-Retro'!S62</f>
        <v>0.15965020802635002</v>
      </c>
      <c r="Z9" s="36">
        <f>'SC-Retro'!T62</f>
        <v>0.11306975625349126</v>
      </c>
      <c r="AA9" s="36">
        <f>'SC-Retro'!U62</f>
        <v>7.6225920355020793E-2</v>
      </c>
      <c r="AB9" s="36">
        <f>'SC-Retro'!V62</f>
        <v>4.9031239472869546E-2</v>
      </c>
      <c r="AC9" s="36">
        <f>'SC-Retro'!W62</f>
        <v>3.0157795440584324E-2</v>
      </c>
      <c r="AD9" s="36">
        <f>'SC-Retro'!X62</f>
        <v>1.7769887328994413E-2</v>
      </c>
      <c r="AE9" s="36">
        <f>'SC-Retro'!Y62</f>
        <v>4.1251546499976639</v>
      </c>
      <c r="AF9" s="193">
        <f t="shared" si="2"/>
        <v>5.7921099050865745</v>
      </c>
      <c r="AG9" s="193">
        <f t="shared" si="3"/>
        <v>5.1887561222350067</v>
      </c>
      <c r="AH9" s="193">
        <f t="shared" si="4"/>
        <v>5.9690514467165832</v>
      </c>
      <c r="AI9" s="193">
        <f t="shared" si="5"/>
        <v>5.176684551763703</v>
      </c>
      <c r="AJ9" s="193">
        <f t="shared" si="6"/>
        <v>4.9376507711796549</v>
      </c>
      <c r="AK9" s="193">
        <f t="shared" si="7"/>
        <v>4.8141139224729175</v>
      </c>
      <c r="AL9" s="193">
        <f t="shared" si="8"/>
        <v>4.0743495988120326</v>
      </c>
      <c r="AM9" s="193">
        <f t="shared" si="9"/>
        <v>4.2609219815599175</v>
      </c>
      <c r="AN9" s="193">
        <f t="shared" si="10"/>
        <v>3.9973662018582381</v>
      </c>
      <c r="AO9" s="193">
        <f t="shared" si="11"/>
        <v>4.8260974817789943</v>
      </c>
      <c r="AP9" s="193">
        <f t="shared" si="12"/>
        <v>4.9465614292747784</v>
      </c>
      <c r="AQ9" s="193">
        <f t="shared" si="13"/>
        <v>5.7512602252023273</v>
      </c>
      <c r="AR9" s="193"/>
      <c r="AS9" s="193">
        <f t="shared" si="14"/>
        <v>2.9063838867303295</v>
      </c>
      <c r="AT9" s="193">
        <f t="shared" si="15"/>
        <v>2.434452645152712</v>
      </c>
      <c r="AU9" s="193">
        <f t="shared" si="16"/>
        <v>2.3243052876515296</v>
      </c>
      <c r="AV9" s="193">
        <f t="shared" si="17"/>
        <v>2.4178266920851721</v>
      </c>
      <c r="AW9" s="193">
        <f t="shared" si="18"/>
        <v>2.4161259899764671</v>
      </c>
      <c r="AX9" s="193">
        <f t="shared" si="19"/>
        <v>2.0032410114872508</v>
      </c>
      <c r="AY9" s="193">
        <f t="shared" si="20"/>
        <v>2.1782073548304748</v>
      </c>
      <c r="AZ9" s="193">
        <f t="shared" si="21"/>
        <v>1.710125738986912</v>
      </c>
      <c r="BA9" s="193">
        <f t="shared" si="22"/>
        <v>2.1069431850702762</v>
      </c>
      <c r="BB9" s="193">
        <f t="shared" si="23"/>
        <v>1.9657021678836704</v>
      </c>
      <c r="BC9" s="193">
        <f t="shared" si="24"/>
        <v>2.5742797701838072</v>
      </c>
      <c r="BD9" s="193">
        <f t="shared" si="25"/>
        <v>2.8275336229393262</v>
      </c>
    </row>
    <row r="10" spans="1:56" ht="15">
      <c r="A10" s="63" t="str">
        <f>VLOOKUP(CONCATENATE($C10," - ",$B10),[2]ACHIEV!$B$12:$C$78,2,FALSE)</f>
        <v>Retro3Slow</v>
      </c>
      <c r="B10" s="63" t="str">
        <f>'SC-Retro'!$C$7</f>
        <v>Retro</v>
      </c>
      <c r="C10" s="63" t="str">
        <f>'SC-Retro'!$C$8</f>
        <v>Aerator</v>
      </c>
      <c r="D10" s="63" t="s">
        <v>335</v>
      </c>
      <c r="E10" s="63" t="str">
        <f>'SC-Retro'!$A$9</f>
        <v>Water Heating</v>
      </c>
      <c r="F10" s="192">
        <f t="shared" si="1"/>
        <v>1.6952680159522726E-2</v>
      </c>
      <c r="G10" s="65">
        <f>'SC-Retro'!A63</f>
        <v>87.60005099091866</v>
      </c>
      <c r="H10" s="65">
        <f>'SC-Retro'!B63</f>
        <v>-175.02096174204908</v>
      </c>
      <c r="I10" s="9" t="str">
        <f>'SC-Retro'!C63</f>
        <v>Multifamily - High Rise</v>
      </c>
      <c r="J10" s="9" t="str">
        <f>'SC-Retro'!D63</f>
        <v>Bathroom Aerator 1.0 GPM AnyWH</v>
      </c>
      <c r="K10" s="36">
        <f>'SC-Retro'!E63</f>
        <v>3.9100181022583645E-3</v>
      </c>
      <c r="L10" s="36">
        <f>'SC-Retro'!F63</f>
        <v>6.284107832320359E-3</v>
      </c>
      <c r="M10" s="36">
        <f>'SC-Retro'!G63</f>
        <v>1.2844210599774291E-2</v>
      </c>
      <c r="N10" s="36">
        <f>'SC-Retro'!H63</f>
        <v>2.2961146995731922E-2</v>
      </c>
      <c r="O10" s="36">
        <f>'SC-Retro'!I63</f>
        <v>3.6418780947439881E-2</v>
      </c>
      <c r="P10" s="36">
        <f>'SC-Retro'!J63</f>
        <v>5.1873284287788146E-2</v>
      </c>
      <c r="Q10" s="36">
        <f>'SC-Retro'!K63</f>
        <v>6.7100029680747963E-2</v>
      </c>
      <c r="R10" s="36">
        <f>'SC-Retro'!L63</f>
        <v>7.9501027792495974E-2</v>
      </c>
      <c r="S10" s="36">
        <f>'SC-Retro'!M63</f>
        <v>8.6931222941348946E-2</v>
      </c>
      <c r="T10" s="36">
        <f>'SC-Retro'!N63</f>
        <v>8.8224392106761612E-2</v>
      </c>
      <c r="U10" s="36">
        <f>'SC-Retro'!O63</f>
        <v>8.3541607647450791E-2</v>
      </c>
      <c r="V10" s="36">
        <f>'SC-Retro'!P63</f>
        <v>7.4102067930893897E-2</v>
      </c>
      <c r="W10" s="36">
        <f>'SC-Retro'!Q63</f>
        <v>6.1823619568585814E-2</v>
      </c>
      <c r="X10" s="36">
        <f>'SC-Retro'!R63</f>
        <v>4.8684401722184523E-2</v>
      </c>
      <c r="Y10" s="36">
        <f>'SC-Retro'!S63</f>
        <v>3.6303304451008517E-2</v>
      </c>
      <c r="Z10" s="36">
        <f>'SC-Retro'!T63</f>
        <v>2.5706364034190878E-2</v>
      </c>
      <c r="AA10" s="36">
        <f>'SC-Retro'!U63</f>
        <v>1.7326656305484137E-2</v>
      </c>
      <c r="AB10" s="36">
        <f>'SC-Retro'!V63</f>
        <v>1.1143274314834776E-2</v>
      </c>
      <c r="AC10" s="36">
        <f>'SC-Retro'!W63</f>
        <v>6.8519784451929848E-3</v>
      </c>
      <c r="AD10" s="36">
        <f>'SC-Retro'!X63</f>
        <v>4.0370152488268555E-3</v>
      </c>
      <c r="AE10" s="36">
        <f>'SC-Retro'!Y63</f>
        <v>0.93716476179548092</v>
      </c>
      <c r="AF10" s="193">
        <f t="shared" si="2"/>
        <v>5.7921099050865745</v>
      </c>
      <c r="AG10" s="193">
        <f t="shared" si="3"/>
        <v>5.1887561222350067</v>
      </c>
      <c r="AH10" s="193">
        <f t="shared" si="4"/>
        <v>5.9690514467165832</v>
      </c>
      <c r="AI10" s="193">
        <f t="shared" si="5"/>
        <v>5.176684551763703</v>
      </c>
      <c r="AJ10" s="193">
        <f t="shared" si="6"/>
        <v>4.9376507711796549</v>
      </c>
      <c r="AK10" s="193">
        <f t="shared" si="7"/>
        <v>4.8141139224729175</v>
      </c>
      <c r="AL10" s="193">
        <f t="shared" si="8"/>
        <v>4.0743495988120326</v>
      </c>
      <c r="AM10" s="193">
        <f t="shared" si="9"/>
        <v>4.2609219815599175</v>
      </c>
      <c r="AN10" s="193">
        <f t="shared" si="10"/>
        <v>3.9973662018582381</v>
      </c>
      <c r="AO10" s="193">
        <f t="shared" si="11"/>
        <v>4.8260974817789943</v>
      </c>
      <c r="AP10" s="193">
        <f t="shared" si="12"/>
        <v>4.9465614292747784</v>
      </c>
      <c r="AQ10" s="193">
        <f t="shared" si="13"/>
        <v>5.7512602252023273</v>
      </c>
      <c r="AR10" s="193"/>
      <c r="AS10" s="193">
        <f t="shared" si="14"/>
        <v>2.9063838867303295</v>
      </c>
      <c r="AT10" s="193">
        <f t="shared" si="15"/>
        <v>2.434452645152712</v>
      </c>
      <c r="AU10" s="193">
        <f t="shared" si="16"/>
        <v>2.3243052876515296</v>
      </c>
      <c r="AV10" s="193">
        <f t="shared" si="17"/>
        <v>2.4178266920851721</v>
      </c>
      <c r="AW10" s="193">
        <f t="shared" si="18"/>
        <v>2.4161259899764671</v>
      </c>
      <c r="AX10" s="193">
        <f t="shared" si="19"/>
        <v>2.0032410114872508</v>
      </c>
      <c r="AY10" s="193">
        <f t="shared" si="20"/>
        <v>2.1782073548304748</v>
      </c>
      <c r="AZ10" s="193">
        <f t="shared" si="21"/>
        <v>1.710125738986912</v>
      </c>
      <c r="BA10" s="193">
        <f t="shared" si="22"/>
        <v>2.1069431850702762</v>
      </c>
      <c r="BB10" s="193">
        <f t="shared" si="23"/>
        <v>1.9657021678836704</v>
      </c>
      <c r="BC10" s="193">
        <f t="shared" si="24"/>
        <v>2.5742797701838072</v>
      </c>
      <c r="BD10" s="193">
        <f t="shared" si="25"/>
        <v>2.8275336229393262</v>
      </c>
    </row>
    <row r="11" spans="1:56" ht="15">
      <c r="A11" s="63" t="str">
        <f>VLOOKUP(CONCATENATE($C11," - ",$B11),[2]ACHIEV!$B$12:$C$78,2,FALSE)</f>
        <v>Retro3Slow</v>
      </c>
      <c r="B11" s="63" t="str">
        <f>'SC-Retro'!$C$7</f>
        <v>Retro</v>
      </c>
      <c r="C11" s="63" t="str">
        <f>'SC-Retro'!$C$8</f>
        <v>Aerator</v>
      </c>
      <c r="D11" s="63" t="s">
        <v>335</v>
      </c>
      <c r="E11" s="63" t="str">
        <f>'SC-Retro'!$A$9</f>
        <v>Water Heating</v>
      </c>
      <c r="F11" s="192">
        <f t="shared" si="1"/>
        <v>2.0804756787419384E-2</v>
      </c>
      <c r="G11" s="65">
        <f>'SC-Retro'!A64</f>
        <v>107.50499261958046</v>
      </c>
      <c r="H11" s="65">
        <f>'SC-Retro'!B64</f>
        <v>-188.61824926443111</v>
      </c>
      <c r="I11" s="9" t="str">
        <f>'SC-Retro'!C64</f>
        <v>Manufactured</v>
      </c>
      <c r="J11" s="9" t="str">
        <f>'SC-Retro'!D64</f>
        <v>Bathroom Aerator 1.0 GPM AnyWH</v>
      </c>
      <c r="K11" s="36">
        <f>'SC-Retro'!E64</f>
        <v>1.8819994323987503E-2</v>
      </c>
      <c r="L11" s="36">
        <f>'SC-Retro'!F64</f>
        <v>2.9363676403100149E-2</v>
      </c>
      <c r="M11" s="36">
        <f>'SC-Retro'!G64</f>
        <v>5.8295703688732659E-2</v>
      </c>
      <c r="N11" s="36">
        <f>'SC-Retro'!H64</f>
        <v>0.1012842944794715</v>
      </c>
      <c r="O11" s="36">
        <f>'SC-Retro'!I64</f>
        <v>0.15644631979811913</v>
      </c>
      <c r="P11" s="36">
        <f>'SC-Retro'!J64</f>
        <v>0.21746623965699291</v>
      </c>
      <c r="Q11" s="36">
        <f>'SC-Retro'!K64</f>
        <v>0.27479069395693201</v>
      </c>
      <c r="R11" s="36">
        <f>'SC-Retro'!L64</f>
        <v>0.3182880902073294</v>
      </c>
      <c r="S11" s="36">
        <f>'SC-Retro'!M64</f>
        <v>0.34030641181493865</v>
      </c>
      <c r="T11" s="36">
        <f>'SC-Retro'!N64</f>
        <v>0.33785031663868059</v>
      </c>
      <c r="U11" s="36">
        <f>'SC-Retro'!O64</f>
        <v>0.31303782542106168</v>
      </c>
      <c r="V11" s="36">
        <f>'SC-Retro'!P64</f>
        <v>0.2719044731352791</v>
      </c>
      <c r="W11" s="36">
        <f>'SC-Retro'!Q64</f>
        <v>0.22227633709178513</v>
      </c>
      <c r="X11" s="36">
        <f>'SC-Retro'!R64</f>
        <v>0.17160976409447939</v>
      </c>
      <c r="Y11" s="36">
        <f>'SC-Retro'!S64</f>
        <v>0.12551948865624724</v>
      </c>
      <c r="Z11" s="36">
        <f>'SC-Retro'!T64</f>
        <v>8.7218898953436E-2</v>
      </c>
      <c r="AA11" s="36">
        <f>'SC-Retro'!U64</f>
        <v>5.7720702095261249E-2</v>
      </c>
      <c r="AB11" s="36">
        <f>'SC-Retro'!V64</f>
        <v>3.6463977830897408E-2</v>
      </c>
      <c r="AC11" s="36">
        <f>'SC-Retro'!W64</f>
        <v>2.2034857947273275E-2</v>
      </c>
      <c r="AD11" s="36">
        <f>'SC-Retro'!X64</f>
        <v>1.2761286569560375E-2</v>
      </c>
      <c r="AE11" s="36">
        <f>'SC-Retro'!Y64</f>
        <v>2.9624431296466587</v>
      </c>
      <c r="AF11" s="193">
        <f t="shared" si="2"/>
        <v>7.1082234034622127</v>
      </c>
      <c r="AG11" s="193">
        <f t="shared" si="3"/>
        <v>6.3677724192592686</v>
      </c>
      <c r="AH11" s="193">
        <f t="shared" si="4"/>
        <v>7.3253705273720282</v>
      </c>
      <c r="AI11" s="193">
        <f t="shared" si="5"/>
        <v>6.3529578834257361</v>
      </c>
      <c r="AJ11" s="193">
        <f t="shared" si="6"/>
        <v>6.059609597359298</v>
      </c>
      <c r="AK11" s="193">
        <f t="shared" si="7"/>
        <v>5.9080020599408467</v>
      </c>
      <c r="AL11" s="193">
        <f t="shared" si="8"/>
        <v>5.0001446185834562</v>
      </c>
      <c r="AM11" s="193">
        <f t="shared" si="9"/>
        <v>5.2291109536876244</v>
      </c>
      <c r="AN11" s="193">
        <f t="shared" si="10"/>
        <v>4.9056686516435972</v>
      </c>
      <c r="AO11" s="193">
        <f t="shared" si="11"/>
        <v>5.9227085862519964</v>
      </c>
      <c r="AP11" s="193">
        <f t="shared" si="12"/>
        <v>6.0705449817787791</v>
      </c>
      <c r="AQ11" s="193">
        <f t="shared" si="13"/>
        <v>7.0580916457201592</v>
      </c>
      <c r="AR11" s="193"/>
      <c r="AS11" s="193">
        <f t="shared" si="14"/>
        <v>3.5667876303519837</v>
      </c>
      <c r="AT11" s="193">
        <f t="shared" si="15"/>
        <v>2.9876217044324793</v>
      </c>
      <c r="AU11" s="193">
        <f t="shared" si="16"/>
        <v>2.8524460884221812</v>
      </c>
      <c r="AV11" s="193">
        <f t="shared" si="17"/>
        <v>2.9672179153752709</v>
      </c>
      <c r="AW11" s="193">
        <f t="shared" si="18"/>
        <v>2.9651307708408075</v>
      </c>
      <c r="AX11" s="193">
        <f t="shared" si="19"/>
        <v>2.4584279086493188</v>
      </c>
      <c r="AY11" s="193">
        <f t="shared" si="20"/>
        <v>2.6731510193897248</v>
      </c>
      <c r="AZ11" s="193">
        <f t="shared" si="21"/>
        <v>2.0987094512924616</v>
      </c>
      <c r="BA11" s="193">
        <f t="shared" si="22"/>
        <v>2.585693832351045</v>
      </c>
      <c r="BB11" s="193">
        <f t="shared" si="23"/>
        <v>2.4123592927193021</v>
      </c>
      <c r="BC11" s="193">
        <f t="shared" si="24"/>
        <v>3.159221079940187</v>
      </c>
      <c r="BD11" s="193">
        <f t="shared" si="25"/>
        <v>3.4700205973307061</v>
      </c>
    </row>
    <row r="12" spans="1:56" ht="15">
      <c r="A12" s="63" t="str">
        <f>VLOOKUP(CONCATENATE($C12," - ",$B12),[2]ACHIEV!$B$12:$C$78,2,FALSE)</f>
        <v>Retro3Slow</v>
      </c>
      <c r="B12" s="63" t="str">
        <f>'SC-Retro'!$C$7</f>
        <v>Retro</v>
      </c>
      <c r="C12" s="63" t="str">
        <f>'SC-Retro'!$C$8</f>
        <v>Aerator</v>
      </c>
      <c r="D12" s="63" t="s">
        <v>335</v>
      </c>
      <c r="E12" s="63" t="str">
        <f>'SC-Retro'!$A$9</f>
        <v>Water Heating</v>
      </c>
      <c r="F12" s="192">
        <f t="shared" si="1"/>
        <v>1.4392877014777969E-2</v>
      </c>
      <c r="G12" s="65">
        <f>'SC-Retro'!A65</f>
        <v>68.226290676354807</v>
      </c>
      <c r="H12" s="65">
        <f>'SC-Retro'!B65</f>
        <v>-311.43735778033295</v>
      </c>
      <c r="I12" s="9" t="str">
        <f>'SC-Retro'!C65</f>
        <v>Single Family</v>
      </c>
      <c r="J12" s="9" t="str">
        <f>'SC-Retro'!D65</f>
        <v>Bathroom Aerator 1.0 GPM HPWH</v>
      </c>
      <c r="K12" s="36">
        <f>'SC-Retro'!E65</f>
        <v>1.2743905434840467E-2</v>
      </c>
      <c r="L12" s="36">
        <f>'SC-Retro'!F65</f>
        <v>2.0285038948837677E-2</v>
      </c>
      <c r="M12" s="36">
        <f>'SC-Retro'!G65</f>
        <v>4.104863460469662E-2</v>
      </c>
      <c r="N12" s="36">
        <f>'SC-Retro'!H65</f>
        <v>7.2616560243781519E-2</v>
      </c>
      <c r="O12" s="36">
        <f>'SC-Retro'!I65</f>
        <v>0.11411605289108484</v>
      </c>
      <c r="P12" s="36">
        <f>'SC-Retro'!J65</f>
        <v>0.16130557554018468</v>
      </c>
      <c r="Q12" s="36">
        <f>'SC-Retro'!K65</f>
        <v>0.20710778417800901</v>
      </c>
      <c r="R12" s="36">
        <f>'SC-Retro'!L65</f>
        <v>0.24360492789857716</v>
      </c>
      <c r="S12" s="36">
        <f>'SC-Retro'!M65</f>
        <v>0.2643881213506748</v>
      </c>
      <c r="T12" s="36">
        <f>'SC-Retro'!N65</f>
        <v>0.26632653242821996</v>
      </c>
      <c r="U12" s="36">
        <f>'SC-Retro'!O65</f>
        <v>0.25034651143198555</v>
      </c>
      <c r="V12" s="36">
        <f>'SC-Retro'!P65</f>
        <v>0.22055848343982015</v>
      </c>
      <c r="W12" s="36">
        <f>'SC-Retro'!Q65</f>
        <v>0.18281156223971487</v>
      </c>
      <c r="X12" s="36">
        <f>'SC-Retro'!R65</f>
        <v>0.14304183939099954</v>
      </c>
      <c r="Y12" s="36">
        <f>'SC-Retro'!S65</f>
        <v>0.10601464387468017</v>
      </c>
      <c r="Z12" s="36">
        <f>'SC-Retro'!T65</f>
        <v>7.4639729913594369E-2</v>
      </c>
      <c r="AA12" s="36">
        <f>'SC-Retro'!U65</f>
        <v>5.0040846869556406E-2</v>
      </c>
      <c r="AB12" s="36">
        <f>'SC-Retro'!V65</f>
        <v>3.2013613827721013E-2</v>
      </c>
      <c r="AC12" s="36">
        <f>'SC-Retro'!W65</f>
        <v>1.9588913192886016E-2</v>
      </c>
      <c r="AD12" s="36">
        <f>'SC-Retro'!X65</f>
        <v>1.1486616257604818E-2</v>
      </c>
      <c r="AE12" s="36">
        <f>'SC-Retro'!Y65</f>
        <v>2.6665373612404735</v>
      </c>
      <c r="AF12" s="193">
        <f t="shared" si="2"/>
        <v>5.3025653460883069</v>
      </c>
      <c r="AG12" s="193">
        <f t="shared" si="3"/>
        <v>4.7790092216692379</v>
      </c>
      <c r="AH12" s="193">
        <f t="shared" si="4"/>
        <v>5.3487933676960218</v>
      </c>
      <c r="AI12" s="193">
        <f t="shared" si="5"/>
        <v>4.1971694600742273</v>
      </c>
      <c r="AJ12" s="193">
        <f t="shared" si="6"/>
        <v>3.4866412192534346</v>
      </c>
      <c r="AK12" s="193">
        <f t="shared" si="7"/>
        <v>2.9488936388702194</v>
      </c>
      <c r="AL12" s="193">
        <f t="shared" si="8"/>
        <v>2.5180740990031514</v>
      </c>
      <c r="AM12" s="193">
        <f t="shared" si="9"/>
        <v>2.5686240281475903</v>
      </c>
      <c r="AN12" s="193">
        <f t="shared" si="10"/>
        <v>2.5506848686052739</v>
      </c>
      <c r="AO12" s="193">
        <f t="shared" si="11"/>
        <v>3.4216040784643398</v>
      </c>
      <c r="AP12" s="193">
        <f t="shared" si="12"/>
        <v>3.7862089978236639</v>
      </c>
      <c r="AQ12" s="193">
        <f t="shared" si="13"/>
        <v>5.1620810007949736</v>
      </c>
      <c r="AR12" s="193"/>
      <c r="AS12" s="193">
        <f t="shared" si="14"/>
        <v>2.7881414344288595</v>
      </c>
      <c r="AT12" s="193">
        <f t="shared" si="15"/>
        <v>2.3481157830682133</v>
      </c>
      <c r="AU12" s="193">
        <f t="shared" si="16"/>
        <v>2.15195996469948</v>
      </c>
      <c r="AV12" s="193">
        <f t="shared" si="17"/>
        <v>2.0044549831592144</v>
      </c>
      <c r="AW12" s="193">
        <f t="shared" si="18"/>
        <v>1.7029336551664787</v>
      </c>
      <c r="AX12" s="193">
        <f t="shared" si="19"/>
        <v>1.2854212891633343</v>
      </c>
      <c r="AY12" s="193">
        <f t="shared" si="20"/>
        <v>1.350069723162018</v>
      </c>
      <c r="AZ12" s="193">
        <f t="shared" si="21"/>
        <v>1.1176460546297713</v>
      </c>
      <c r="BA12" s="193">
        <f t="shared" si="22"/>
        <v>1.340426492104642</v>
      </c>
      <c r="BB12" s="193">
        <f t="shared" si="23"/>
        <v>1.4130541826880811</v>
      </c>
      <c r="BC12" s="193">
        <f t="shared" si="24"/>
        <v>1.968117307166757</v>
      </c>
      <c r="BD12" s="193">
        <f t="shared" si="25"/>
        <v>2.68560048042752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CB142"/>
  <sheetViews>
    <sheetView topLeftCell="H34" workbookViewId="0">
      <selection activeCell="Y50" sqref="Y50"/>
    </sheetView>
  </sheetViews>
  <sheetFormatPr defaultRowHeight="12.75"/>
  <cols>
    <col min="1" max="1" width="35" style="9" customWidth="1"/>
    <col min="2" max="2" width="29.28515625" style="9" customWidth="1"/>
    <col min="3" max="4" width="19.85546875" style="9" customWidth="1"/>
    <col min="5" max="5" width="10.7109375" style="9" customWidth="1"/>
    <col min="6" max="25" width="9.5703125" style="9" bestFit="1" customWidth="1"/>
    <col min="26" max="28" width="9.140625" style="9"/>
    <col min="29" max="29" width="21.7109375" style="9" customWidth="1"/>
    <col min="30" max="30" width="35.85546875" style="9" customWidth="1"/>
    <col min="31" max="31" width="35.28515625" style="9" customWidth="1"/>
    <col min="32" max="32" width="15" style="9" customWidth="1"/>
    <col min="33" max="33" width="17.7109375" style="9" customWidth="1"/>
    <col min="34" max="34" width="15.140625" style="9" customWidth="1"/>
    <col min="35" max="35" width="15.7109375" style="9" customWidth="1"/>
    <col min="36" max="36" width="21.28515625" style="9" customWidth="1"/>
    <col min="37" max="37" width="17.7109375" style="9" bestFit="1" customWidth="1"/>
    <col min="38" max="38" width="15.42578125" style="9" bestFit="1" customWidth="1"/>
    <col min="39" max="39" width="14.28515625" style="9" bestFit="1" customWidth="1"/>
    <col min="40" max="40" width="14.28515625" style="9" customWidth="1"/>
    <col min="41" max="41" width="12.5703125" style="9" customWidth="1"/>
    <col min="42" max="42" width="14" style="9" bestFit="1" customWidth="1"/>
    <col min="43" max="44" width="10.85546875" style="9" bestFit="1" customWidth="1"/>
    <col min="45" max="45" width="13.42578125" style="9" customWidth="1"/>
    <col min="46" max="46" width="11.85546875" style="9" bestFit="1" customWidth="1"/>
    <col min="47" max="47" width="11" style="9" bestFit="1" customWidth="1"/>
    <col min="48" max="48" width="14.28515625" style="9" bestFit="1" customWidth="1"/>
    <col min="49" max="49" width="10.7109375" style="9" customWidth="1"/>
    <col min="50" max="50" width="13.85546875" style="9" bestFit="1" customWidth="1"/>
    <col min="51" max="51" width="11.7109375" style="9" bestFit="1" customWidth="1"/>
    <col min="52" max="52" width="15.28515625" style="9" bestFit="1" customWidth="1"/>
    <col min="53" max="55" width="12.28515625" style="9" bestFit="1" customWidth="1"/>
    <col min="56" max="56" width="12.5703125" style="9" bestFit="1" customWidth="1"/>
    <col min="57" max="59" width="14.28515625" style="9" bestFit="1" customWidth="1"/>
    <col min="60" max="60" width="13.7109375" style="9" bestFit="1" customWidth="1"/>
    <col min="61" max="61" width="14" style="9" bestFit="1" customWidth="1"/>
    <col min="62" max="62" width="12.85546875" style="9" bestFit="1" customWidth="1"/>
    <col min="63" max="63" width="15.28515625" style="9" bestFit="1" customWidth="1"/>
    <col min="64" max="64" width="12.28515625" style="9" bestFit="1" customWidth="1"/>
    <col min="65" max="65" width="10.85546875" style="9" bestFit="1" customWidth="1"/>
    <col min="66" max="66" width="12.28515625" style="9" bestFit="1" customWidth="1"/>
    <col min="67" max="67" width="12.5703125" style="9" bestFit="1" customWidth="1"/>
    <col min="68" max="16384" width="9.140625" style="9"/>
  </cols>
  <sheetData>
    <row r="1" spans="1:69">
      <c r="A1" s="50" t="s">
        <v>62</v>
      </c>
      <c r="B1" s="241" t="s">
        <v>146</v>
      </c>
      <c r="C1" s="241"/>
      <c r="D1" s="241"/>
      <c r="E1" s="241"/>
      <c r="F1" s="241"/>
      <c r="G1" s="241"/>
      <c r="H1" s="241"/>
      <c r="I1" s="241"/>
      <c r="J1" s="241"/>
      <c r="K1" s="241"/>
      <c r="L1" s="241"/>
      <c r="M1" s="241"/>
      <c r="N1" s="241"/>
      <c r="O1" s="241"/>
      <c r="P1" s="241"/>
      <c r="Q1" s="241"/>
      <c r="R1" s="241"/>
      <c r="S1" s="241"/>
      <c r="T1" s="241"/>
    </row>
    <row r="2" spans="1:69">
      <c r="A2" s="51" t="s">
        <v>159</v>
      </c>
      <c r="B2" s="241"/>
      <c r="C2" s="241"/>
      <c r="D2" s="241"/>
      <c r="E2" s="241"/>
      <c r="F2" s="241"/>
      <c r="G2" s="241"/>
      <c r="H2" s="241"/>
      <c r="I2" s="241"/>
      <c r="J2" s="241"/>
      <c r="K2" s="241"/>
      <c r="L2" s="241"/>
      <c r="M2" s="241"/>
      <c r="N2" s="241"/>
      <c r="O2" s="241"/>
      <c r="P2" s="241"/>
      <c r="Q2" s="241"/>
      <c r="R2" s="241"/>
      <c r="S2" s="241"/>
      <c r="T2" s="241"/>
    </row>
    <row r="3" spans="1:69">
      <c r="B3" s="241"/>
      <c r="C3" s="241"/>
      <c r="D3" s="241"/>
      <c r="E3" s="241"/>
      <c r="F3" s="241"/>
      <c r="G3" s="241"/>
      <c r="H3" s="241"/>
      <c r="I3" s="241"/>
      <c r="J3" s="241"/>
      <c r="K3" s="241"/>
      <c r="L3" s="241"/>
      <c r="M3" s="241"/>
      <c r="N3" s="241"/>
      <c r="O3" s="241"/>
      <c r="P3" s="241"/>
      <c r="Q3" s="241"/>
      <c r="R3" s="241"/>
      <c r="S3" s="241"/>
      <c r="T3" s="241"/>
    </row>
    <row r="4" spans="1:69">
      <c r="B4" s="241"/>
      <c r="C4" s="241"/>
      <c r="D4" s="241"/>
      <c r="E4" s="241"/>
      <c r="F4" s="241"/>
      <c r="G4" s="241"/>
      <c r="H4" s="241"/>
      <c r="I4" s="241"/>
      <c r="J4" s="241"/>
      <c r="K4" s="241"/>
      <c r="L4" s="241"/>
      <c r="M4" s="241"/>
      <c r="N4" s="241"/>
      <c r="O4" s="241"/>
      <c r="P4" s="241"/>
      <c r="Q4" s="241"/>
      <c r="R4" s="241"/>
      <c r="S4" s="241"/>
      <c r="T4" s="241"/>
    </row>
    <row r="5" spans="1:69">
      <c r="B5" s="241"/>
      <c r="C5" s="241"/>
      <c r="D5" s="241"/>
      <c r="E5" s="241"/>
      <c r="F5" s="241"/>
      <c r="G5" s="241"/>
      <c r="H5" s="241"/>
      <c r="I5" s="241"/>
      <c r="J5" s="241"/>
      <c r="K5" s="241"/>
      <c r="L5" s="241"/>
      <c r="M5" s="241"/>
      <c r="N5" s="241"/>
      <c r="O5" s="241"/>
      <c r="P5" s="241"/>
      <c r="Q5" s="241"/>
      <c r="R5" s="241"/>
      <c r="S5" s="241"/>
      <c r="T5" s="241"/>
    </row>
    <row r="6" spans="1:69">
      <c r="B6" s="241"/>
      <c r="C6" s="241"/>
      <c r="D6" s="241"/>
      <c r="E6" s="241"/>
      <c r="F6" s="241"/>
      <c r="G6" s="241"/>
      <c r="H6" s="241"/>
      <c r="I6" s="241"/>
      <c r="J6" s="241"/>
      <c r="K6" s="241"/>
      <c r="L6" s="241"/>
      <c r="M6" s="241"/>
      <c r="N6" s="241"/>
      <c r="O6" s="241"/>
      <c r="P6" s="241"/>
      <c r="Q6" s="241"/>
      <c r="R6" s="241"/>
      <c r="S6" s="241"/>
      <c r="T6" s="241"/>
    </row>
    <row r="7" spans="1:69">
      <c r="A7" s="194"/>
      <c r="B7" s="194" t="s">
        <v>47</v>
      </c>
      <c r="C7" s="61" t="s">
        <v>61</v>
      </c>
      <c r="D7" s="61" t="s">
        <v>61</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194" t="s">
        <v>337</v>
      </c>
      <c r="B8" s="194" t="s">
        <v>65</v>
      </c>
      <c r="C8" s="61" t="str">
        <f>[2]MLIST!$B$58</f>
        <v>Aerator</v>
      </c>
      <c r="D8" s="61"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194" t="str">
        <f>INDEX([2]ACHIEV!$A$19:$B$100,MATCH(CONCATENATE($C$8," - ",$C$7),[2]ACHIEV!$B$19:$B$100,0),1)</f>
        <v>Water Heating</v>
      </c>
      <c r="B9" s="195" t="s">
        <v>66</v>
      </c>
      <c r="C9" s="61">
        <f>[2]FILES!$H$4</f>
        <v>2035</v>
      </c>
      <c r="D9" s="61"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194"/>
      <c r="B10" s="194" t="s">
        <v>594</v>
      </c>
      <c r="C10" s="252">
        <f>MIN(SUM(E50:X50),Y50)</f>
        <v>3.6134763700837991</v>
      </c>
      <c r="D10" s="62"/>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63" t="str">
        <f>CONCATENATE("# HOMES AVAILABLE FOR MEASURE -",$C$8)</f>
        <v># HOMES AVAILABLE FOR MEASURE -Aerator</v>
      </c>
      <c r="C11" s="9" t="s">
        <v>147</v>
      </c>
      <c r="E11" s="66">
        <v>2016</v>
      </c>
      <c r="F11" s="67">
        <v>2017</v>
      </c>
      <c r="G11" s="67">
        <v>2018</v>
      </c>
      <c r="H11" s="67">
        <v>2019</v>
      </c>
      <c r="I11" s="67">
        <v>2020</v>
      </c>
      <c r="J11" s="67">
        <v>2021</v>
      </c>
      <c r="K11" s="67">
        <v>2022</v>
      </c>
      <c r="L11" s="67">
        <v>2023</v>
      </c>
      <c r="M11" s="67">
        <v>2024</v>
      </c>
      <c r="N11" s="67">
        <v>2025</v>
      </c>
      <c r="O11" s="67">
        <v>2026</v>
      </c>
      <c r="P11" s="67">
        <v>2027</v>
      </c>
      <c r="Q11" s="67">
        <v>2028</v>
      </c>
      <c r="R11" s="67">
        <v>2029</v>
      </c>
      <c r="S11" s="67">
        <v>2030</v>
      </c>
      <c r="T11" s="67">
        <v>2031</v>
      </c>
      <c r="U11" s="67">
        <v>2032</v>
      </c>
      <c r="V11" s="67">
        <v>2033</v>
      </c>
      <c r="W11" s="67">
        <v>2034</v>
      </c>
      <c r="X11" s="67">
        <v>2035</v>
      </c>
      <c r="Y11" s="68"/>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69" t="str">
        <f>CONCATENATE("Homes_",E11)</f>
        <v>Homes_2016</v>
      </c>
      <c r="F12" s="70" t="str">
        <f t="shared" ref="F12:X12" si="0">CONCATENATE("Homes_",F11)</f>
        <v>Homes_2017</v>
      </c>
      <c r="G12" s="70" t="str">
        <f t="shared" si="0"/>
        <v>Homes_2018</v>
      </c>
      <c r="H12" s="70" t="str">
        <f t="shared" si="0"/>
        <v>Homes_2019</v>
      </c>
      <c r="I12" s="70" t="str">
        <f t="shared" si="0"/>
        <v>Homes_2020</v>
      </c>
      <c r="J12" s="70" t="str">
        <f t="shared" si="0"/>
        <v>Homes_2021</v>
      </c>
      <c r="K12" s="70" t="str">
        <f t="shared" si="0"/>
        <v>Homes_2022</v>
      </c>
      <c r="L12" s="70" t="str">
        <f t="shared" si="0"/>
        <v>Homes_2023</v>
      </c>
      <c r="M12" s="70" t="str">
        <f t="shared" si="0"/>
        <v>Homes_2024</v>
      </c>
      <c r="N12" s="70" t="str">
        <f t="shared" si="0"/>
        <v>Homes_2025</v>
      </c>
      <c r="O12" s="70" t="str">
        <f t="shared" si="0"/>
        <v>Homes_2026</v>
      </c>
      <c r="P12" s="70" t="str">
        <f t="shared" si="0"/>
        <v>Homes_2027</v>
      </c>
      <c r="Q12" s="70" t="str">
        <f t="shared" si="0"/>
        <v>Homes_2028</v>
      </c>
      <c r="R12" s="70" t="str">
        <f t="shared" si="0"/>
        <v>Homes_2029</v>
      </c>
      <c r="S12" s="70" t="str">
        <f t="shared" si="0"/>
        <v>Homes_2030</v>
      </c>
      <c r="T12" s="70" t="str">
        <f t="shared" si="0"/>
        <v>Homes_2031</v>
      </c>
      <c r="U12" s="70" t="str">
        <f t="shared" si="0"/>
        <v>Homes_2032</v>
      </c>
      <c r="V12" s="70" t="str">
        <f t="shared" si="0"/>
        <v>Homes_2033</v>
      </c>
      <c r="W12" s="70" t="str">
        <f t="shared" si="0"/>
        <v>Homes_2034</v>
      </c>
      <c r="X12" s="70" t="str">
        <f t="shared" si="0"/>
        <v>Homes_2035</v>
      </c>
      <c r="Y12" s="71"/>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9" t="s">
        <v>61</v>
      </c>
      <c r="C13" s="9" t="s">
        <v>48</v>
      </c>
      <c r="E13" s="42">
        <f>INDEX([1]!tbl_Forecast,MATCH($D$8&amp;$C13&amp;$D$7,[1]!rng_ForecastRowLookup,0),MATCH(E$11,[1]!rng_ForecastColumnLookup,0))</f>
        <v>62685.758999999998</v>
      </c>
      <c r="F13" s="42">
        <f>INDEX([1]!tbl_Forecast,MATCH($D$8&amp;$C13&amp;$D$7,[1]!rng_ForecastRowLookup,0),MATCH(F$11,[1]!rng_ForecastColumnLookup,0))</f>
        <v>59961.781000000003</v>
      </c>
      <c r="G13" s="42">
        <f>INDEX([1]!tbl_Forecast,MATCH($D$8&amp;$C13&amp;$D$7,[1]!rng_ForecastRowLookup,0),MATCH(G$11,[1]!rng_ForecastColumnLookup,0))</f>
        <v>56834.012000000002</v>
      </c>
      <c r="H13" s="42">
        <f>INDEX([1]!tbl_Forecast,MATCH($D$8&amp;$C13&amp;$D$7,[1]!rng_ForecastRowLookup,0),MATCH(H$11,[1]!rng_ForecastColumnLookup,0))</f>
        <v>54985.192999999999</v>
      </c>
      <c r="I13" s="42">
        <f>INDEX([1]!tbl_Forecast,MATCH($D$8&amp;$C13&amp;$D$7,[1]!rng_ForecastRowLookup,0),MATCH(I$11,[1]!rng_ForecastColumnLookup,0))</f>
        <v>53507.474000000002</v>
      </c>
      <c r="J13" s="42">
        <f>INDEX([1]!tbl_Forecast,MATCH($D$8&amp;$C13&amp;$D$7,[1]!rng_ForecastRowLookup,0),MATCH(J$11,[1]!rng_ForecastColumnLookup,0))</f>
        <v>50982.05</v>
      </c>
      <c r="K13" s="42">
        <f>INDEX([1]!tbl_Forecast,MATCH($D$8&amp;$C13&amp;$D$7,[1]!rng_ForecastRowLookup,0),MATCH(K$11,[1]!rng_ForecastColumnLookup,0))</f>
        <v>49561.669000000002</v>
      </c>
      <c r="L13" s="42">
        <f>INDEX([1]!tbl_Forecast,MATCH($D$8&amp;$C13&amp;$D$7,[1]!rng_ForecastRowLookup,0),MATCH(L$11,[1]!rng_ForecastColumnLookup,0))</f>
        <v>49324.517999999996</v>
      </c>
      <c r="M13" s="42">
        <f>INDEX([1]!tbl_Forecast,MATCH($D$8&amp;$C13&amp;$D$7,[1]!rng_ForecastRowLookup,0),MATCH(M$11,[1]!rng_ForecastColumnLookup,0))</f>
        <v>48815.77</v>
      </c>
      <c r="N13" s="42">
        <f>INDEX([1]!tbl_Forecast,MATCH($D$8&amp;$C13&amp;$D$7,[1]!rng_ForecastRowLookup,0),MATCH(N$11,[1]!rng_ForecastColumnLookup,0))</f>
        <v>49683.252</v>
      </c>
      <c r="O13" s="42">
        <f>INDEX([1]!tbl_Forecast,MATCH($D$8&amp;$C13&amp;$D$7,[1]!rng_ForecastRowLookup,0),MATCH(O$11,[1]!rng_ForecastColumnLookup,0))</f>
        <v>50030.137000000002</v>
      </c>
      <c r="P13" s="42">
        <f>INDEX([1]!tbl_Forecast,MATCH($D$8&amp;$C13&amp;$D$7,[1]!rng_ForecastRowLookup,0),MATCH(P$11,[1]!rng_ForecastColumnLookup,0))</f>
        <v>49387.762999999999</v>
      </c>
      <c r="Q13" s="42">
        <f>INDEX([1]!tbl_Forecast,MATCH($D$8&amp;$C13&amp;$D$7,[1]!rng_ForecastRowLookup,0),MATCH(Q$11,[1]!rng_ForecastColumnLookup,0))</f>
        <v>48079.345999999998</v>
      </c>
      <c r="R13" s="42">
        <f>INDEX([1]!tbl_Forecast,MATCH($D$8&amp;$C13&amp;$D$7,[1]!rng_ForecastRowLookup,0),MATCH(R$11,[1]!rng_ForecastColumnLookup,0))</f>
        <v>48129.050999999999</v>
      </c>
      <c r="S13" s="42">
        <f>INDEX([1]!tbl_Forecast,MATCH($D$8&amp;$C13&amp;$D$7,[1]!rng_ForecastRowLookup,0),MATCH(S$11,[1]!rng_ForecastColumnLookup,0))</f>
        <v>48690.569000000003</v>
      </c>
      <c r="T13" s="42">
        <f>INDEX([1]!tbl_Forecast,MATCH($D$8&amp;$C13&amp;$D$7,[1]!rng_ForecastRowLookup,0),MATCH(T$11,[1]!rng_ForecastColumnLookup,0))</f>
        <v>48482.864000000001</v>
      </c>
      <c r="U13" s="42">
        <f>INDEX([1]!tbl_Forecast,MATCH($D$8&amp;$C13&amp;$D$7,[1]!rng_ForecastRowLookup,0),MATCH(U$11,[1]!rng_ForecastColumnLookup,0))</f>
        <v>46879.000999999997</v>
      </c>
      <c r="V13" s="42">
        <f>INDEX([1]!tbl_Forecast,MATCH($D$8&amp;$C13&amp;$D$7,[1]!rng_ForecastRowLookup,0),MATCH(V$11,[1]!rng_ForecastColumnLookup,0))</f>
        <v>46798.777999999998</v>
      </c>
      <c r="W13" s="42">
        <f>INDEX([1]!tbl_Forecast,MATCH($D$8&amp;$C13&amp;$D$7,[1]!rng_ForecastRowLookup,0),MATCH(W$11,[1]!rng_ForecastColumnLookup,0))</f>
        <v>46917.627</v>
      </c>
      <c r="X13" s="42">
        <f>INDEX([1]!tbl_Forecast,MATCH($D$8&amp;$C13&amp;$D$7,[1]!rng_ForecastRowLookup,0),MATCH(X$11,[1]!rng_ForecastColumnLookup,0))</f>
        <v>47236.144999999997</v>
      </c>
      <c r="Y13" s="42"/>
      <c r="AA13" s="42">
        <f>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9" t="s">
        <v>61</v>
      </c>
      <c r="C14" s="9" t="s">
        <v>49</v>
      </c>
      <c r="E14" s="42">
        <f>INDEX([1]!tbl_Forecast,MATCH($D$8&amp;$C14&amp;$D$7,[1]!rng_ForecastRowLookup,0),MATCH(E$11,[1]!rng_ForecastColumnLookup,0))</f>
        <v>23280.347100904564</v>
      </c>
      <c r="F14" s="42">
        <f>INDEX([1]!tbl_Forecast,MATCH($D$8&amp;$C14&amp;$D$7,[1]!rng_ForecastRowLookup,0),MATCH(F$11,[1]!rng_ForecastColumnLookup,0))</f>
        <v>23017.418106038647</v>
      </c>
      <c r="G14" s="42">
        <f>INDEX([1]!tbl_Forecast,MATCH($D$8&amp;$C14&amp;$D$7,[1]!rng_ForecastRowLookup,0),MATCH(G$11,[1]!rng_ForecastColumnLookup,0))</f>
        <v>22811.60852767331</v>
      </c>
      <c r="H14" s="42">
        <f>INDEX([1]!tbl_Forecast,MATCH($D$8&amp;$C14&amp;$D$7,[1]!rng_ForecastRowLookup,0),MATCH(H$11,[1]!rng_ForecastColumnLookup,0))</f>
        <v>22085.916378202593</v>
      </c>
      <c r="I14" s="42">
        <f>INDEX([1]!tbl_Forecast,MATCH($D$8&amp;$C14&amp;$D$7,[1]!rng_ForecastRowLookup,0),MATCH(I$11,[1]!rng_ForecastColumnLookup,0))</f>
        <v>20817.853908138593</v>
      </c>
      <c r="J14" s="42">
        <f>INDEX([1]!tbl_Forecast,MATCH($D$8&amp;$C14&amp;$D$7,[1]!rng_ForecastRowLookup,0),MATCH(J$11,[1]!rng_ForecastColumnLookup,0))</f>
        <v>20070.279329962508</v>
      </c>
      <c r="K14" s="42">
        <f>INDEX([1]!tbl_Forecast,MATCH($D$8&amp;$C14&amp;$D$7,[1]!rng_ForecastRowLookup,0),MATCH(K$11,[1]!rng_ForecastColumnLookup,0))</f>
        <v>19887.831284331631</v>
      </c>
      <c r="L14" s="42">
        <f>INDEX([1]!tbl_Forecast,MATCH($D$8&amp;$C14&amp;$D$7,[1]!rng_ForecastRowLookup,0),MATCH(L$11,[1]!rng_ForecastColumnLookup,0))</f>
        <v>20257.583209811291</v>
      </c>
      <c r="M14" s="42">
        <f>INDEX([1]!tbl_Forecast,MATCH($D$8&amp;$C14&amp;$D$7,[1]!rng_ForecastRowLookup,0),MATCH(M$11,[1]!rng_ForecastColumnLookup,0))</f>
        <v>20750.368029493613</v>
      </c>
      <c r="N14" s="42">
        <f>INDEX([1]!tbl_Forecast,MATCH($D$8&amp;$C14&amp;$D$7,[1]!rng_ForecastRowLookup,0),MATCH(N$11,[1]!rng_ForecastColumnLookup,0))</f>
        <v>21314.334279744231</v>
      </c>
      <c r="O14" s="42">
        <f>INDEX([1]!tbl_Forecast,MATCH($D$8&amp;$C14&amp;$D$7,[1]!rng_ForecastRowLookup,0),MATCH(O$11,[1]!rng_ForecastColumnLookup,0))</f>
        <v>21403.286239774712</v>
      </c>
      <c r="P14" s="42">
        <f>INDEX([1]!tbl_Forecast,MATCH($D$8&amp;$C14&amp;$D$7,[1]!rng_ForecastRowLookup,0),MATCH(P$11,[1]!rng_ForecastColumnLookup,0))</f>
        <v>21409.137516518917</v>
      </c>
      <c r="Q14" s="42">
        <f>INDEX([1]!tbl_Forecast,MATCH($D$8&amp;$C14&amp;$D$7,[1]!rng_ForecastRowLookup,0),MATCH(Q$11,[1]!rng_ForecastColumnLookup,0))</f>
        <v>21443.358292282628</v>
      </c>
      <c r="R14" s="42">
        <f>INDEX([1]!tbl_Forecast,MATCH($D$8&amp;$C14&amp;$D$7,[1]!rng_ForecastRowLookup,0),MATCH(R$11,[1]!rng_ForecastColumnLookup,0))</f>
        <v>21209.865626522758</v>
      </c>
      <c r="S14" s="42">
        <f>INDEX([1]!tbl_Forecast,MATCH($D$8&amp;$C14&amp;$D$7,[1]!rng_ForecastRowLookup,0),MATCH(S$11,[1]!rng_ForecastColumnLookup,0))</f>
        <v>20954.17798283829</v>
      </c>
      <c r="T14" s="42">
        <f>INDEX([1]!tbl_Forecast,MATCH($D$8&amp;$C14&amp;$D$7,[1]!rng_ForecastRowLookup,0),MATCH(T$11,[1]!rng_ForecastColumnLookup,0))</f>
        <v>20525.44023202754</v>
      </c>
      <c r="U14" s="42">
        <f>INDEX([1]!tbl_Forecast,MATCH($D$8&amp;$C14&amp;$D$7,[1]!rng_ForecastRowLookup,0),MATCH(U$11,[1]!rng_ForecastColumnLookup,0))</f>
        <v>20175.505597554071</v>
      </c>
      <c r="V14" s="42">
        <f>INDEX([1]!tbl_Forecast,MATCH($D$8&amp;$C14&amp;$D$7,[1]!rng_ForecastRowLookup,0),MATCH(V$11,[1]!rng_ForecastColumnLookup,0))</f>
        <v>19919.723927484571</v>
      </c>
      <c r="W14" s="42">
        <f>INDEX([1]!tbl_Forecast,MATCH($D$8&amp;$C14&amp;$D$7,[1]!rng_ForecastRowLookup,0),MATCH(W$11,[1]!rng_ForecastColumnLookup,0))</f>
        <v>19536.194066416414</v>
      </c>
      <c r="X14" s="42">
        <f>INDEX([1]!tbl_Forecast,MATCH($D$8&amp;$C14&amp;$D$7,[1]!rng_ForecastRowLookup,0),MATCH(X$11,[1]!rng_ForecastColumnLookup,0))</f>
        <v>19462.287131015248</v>
      </c>
      <c r="Y14" s="42"/>
      <c r="AA14" s="42">
        <f t="shared" ref="AA14:AA16"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9" t="s">
        <v>61</v>
      </c>
      <c r="C15" s="9" t="s">
        <v>50</v>
      </c>
      <c r="E15" s="42">
        <f>INDEX([1]!tbl_Forecast,MATCH($D$8&amp;$C15&amp;$D$7,[1]!rng_ForecastRowLookup,0),MATCH(E$11,[1]!rng_ForecastColumnLookup,0))</f>
        <v>5226.2387411561367</v>
      </c>
      <c r="F15" s="42">
        <f>INDEX([1]!tbl_Forecast,MATCH($D$8&amp;$C15&amp;$D$7,[1]!rng_ForecastRowLookup,0),MATCH(F$11,[1]!rng_ForecastColumnLookup,0))</f>
        <v>5239.95312759432</v>
      </c>
      <c r="G15" s="42">
        <f>INDEX([1]!tbl_Forecast,MATCH($D$8&amp;$C15&amp;$D$7,[1]!rng_ForecastRowLookup,0),MATCH(G$11,[1]!rng_ForecastColumnLookup,0))</f>
        <v>5271.2612760989568</v>
      </c>
      <c r="H15" s="42">
        <f>INDEX([1]!tbl_Forecast,MATCH($D$8&amp;$C15&amp;$D$7,[1]!rng_ForecastRowLookup,0),MATCH(H$11,[1]!rng_ForecastColumnLookup,0))</f>
        <v>4985.883552972361</v>
      </c>
      <c r="I15" s="42">
        <f>INDEX([1]!tbl_Forecast,MATCH($D$8&amp;$C15&amp;$D$7,[1]!rng_ForecastRowLookup,0),MATCH(I$11,[1]!rng_ForecastColumnLookup,0))</f>
        <v>4608.5912035798974</v>
      </c>
      <c r="J15" s="42">
        <f>INDEX([1]!tbl_Forecast,MATCH($D$8&amp;$C15&amp;$D$7,[1]!rng_ForecastRowLookup,0),MATCH(J$11,[1]!rng_ForecastColumnLookup,0))</f>
        <v>4509.6375960361838</v>
      </c>
      <c r="K15" s="42">
        <f>INDEX([1]!tbl_Forecast,MATCH($D$8&amp;$C15&amp;$D$7,[1]!rng_ForecastRowLookup,0),MATCH(K$11,[1]!rng_ForecastColumnLookup,0))</f>
        <v>4481.760351096189</v>
      </c>
      <c r="L15" s="42">
        <f>INDEX([1]!tbl_Forecast,MATCH($D$8&amp;$C15&amp;$D$7,[1]!rng_ForecastRowLookup,0),MATCH(L$11,[1]!rng_ForecastColumnLookup,0))</f>
        <v>4621.8312800578688</v>
      </c>
      <c r="M15" s="42">
        <f>INDEX([1]!tbl_Forecast,MATCH($D$8&amp;$C15&amp;$D$7,[1]!rng_ForecastRowLookup,0),MATCH(M$11,[1]!rng_ForecastColumnLookup,0))</f>
        <v>4700.9782942419988</v>
      </c>
      <c r="N15" s="42">
        <f>INDEX([1]!tbl_Forecast,MATCH($D$8&amp;$C15&amp;$D$7,[1]!rng_ForecastRowLookup,0),MATCH(N$11,[1]!rng_ForecastColumnLookup,0))</f>
        <v>4828.2391631488581</v>
      </c>
      <c r="O15" s="42">
        <f>INDEX([1]!tbl_Forecast,MATCH($D$8&amp;$C15&amp;$D$7,[1]!rng_ForecastRowLookup,0),MATCH(O$11,[1]!rng_ForecastColumnLookup,0))</f>
        <v>4790.0249139778334</v>
      </c>
      <c r="P15" s="42">
        <f>INDEX([1]!tbl_Forecast,MATCH($D$8&amp;$C15&amp;$D$7,[1]!rng_ForecastRowLookup,0),MATCH(P$11,[1]!rng_ForecastColumnLookup,0))</f>
        <v>4782.0649962402858</v>
      </c>
      <c r="Q15" s="42">
        <f>INDEX([1]!tbl_Forecast,MATCH($D$8&amp;$C15&amp;$D$7,[1]!rng_ForecastRowLookup,0),MATCH(Q$11,[1]!rng_ForecastColumnLookup,0))</f>
        <v>4748.3908346265653</v>
      </c>
      <c r="R15" s="42">
        <f>INDEX([1]!tbl_Forecast,MATCH($D$8&amp;$C15&amp;$D$7,[1]!rng_ForecastRowLookup,0),MATCH(R$11,[1]!rng_ForecastColumnLookup,0))</f>
        <v>4733.4823682495089</v>
      </c>
      <c r="S15" s="42">
        <f>INDEX([1]!tbl_Forecast,MATCH($D$8&amp;$C15&amp;$D$7,[1]!rng_ForecastRowLookup,0),MATCH(S$11,[1]!rng_ForecastColumnLookup,0))</f>
        <v>4698.697177079107</v>
      </c>
      <c r="T15" s="42">
        <f>INDEX([1]!tbl_Forecast,MATCH($D$8&amp;$C15&amp;$D$7,[1]!rng_ForecastRowLookup,0),MATCH(T$11,[1]!rng_ForecastColumnLookup,0))</f>
        <v>4599.2987885998937</v>
      </c>
      <c r="U15" s="42">
        <f>INDEX([1]!tbl_Forecast,MATCH($D$8&amp;$C15&amp;$D$7,[1]!rng_ForecastRowLookup,0),MATCH(U$11,[1]!rng_ForecastColumnLookup,0))</f>
        <v>4526.3104216428001</v>
      </c>
      <c r="V15" s="42">
        <f>INDEX([1]!tbl_Forecast,MATCH($D$8&amp;$C15&amp;$D$7,[1]!rng_ForecastRowLookup,0),MATCH(V$11,[1]!rng_ForecastColumnLookup,0))</f>
        <v>4422.0600452822764</v>
      </c>
      <c r="W15" s="42">
        <f>INDEX([1]!tbl_Forecast,MATCH($D$8&amp;$C15&amp;$D$7,[1]!rng_ForecastRowLookup,0),MATCH(W$11,[1]!rng_ForecastColumnLookup,0))</f>
        <v>4405.182362066379</v>
      </c>
      <c r="X15" s="42">
        <f>INDEX([1]!tbl_Forecast,MATCH($D$8&amp;$C15&amp;$D$7,[1]!rng_ForecastRowLookup,0),MATCH(X$11,[1]!rng_ForecastColumnLookup,0))</f>
        <v>4385.1136986120664</v>
      </c>
      <c r="Y15" s="42"/>
      <c r="AA15" s="42">
        <f t="shared"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9" t="s">
        <v>61</v>
      </c>
      <c r="C16" s="9" t="s">
        <v>51</v>
      </c>
      <c r="E16" s="42">
        <f>INDEX([1]!tbl_Forecast,MATCH($D$8&amp;$C16&amp;$D$7,[1]!rng_ForecastRowLookup,0),MATCH(E$11,[1]!rng_ForecastColumnLookup,0))</f>
        <v>1869.5754050925925</v>
      </c>
      <c r="F16" s="42">
        <f>INDEX([1]!tbl_Forecast,MATCH($D$8&amp;$C16&amp;$D$7,[1]!rng_ForecastRowLookup,0),MATCH(F$11,[1]!rng_ForecastColumnLookup,0))</f>
        <v>1881.796305941358</v>
      </c>
      <c r="G16" s="42">
        <f>INDEX([1]!tbl_Forecast,MATCH($D$8&amp;$C16&amp;$D$7,[1]!rng_ForecastRowLookup,0),MATCH(G$11,[1]!rng_ForecastColumnLookup,0))</f>
        <v>1949.1340235982509</v>
      </c>
      <c r="H16" s="42">
        <f>INDEX([1]!tbl_Forecast,MATCH($D$8&amp;$C16&amp;$D$7,[1]!rng_ForecastRowLookup,0),MATCH(H$11,[1]!rng_ForecastColumnLookup,0))</f>
        <v>2021.1963608646258</v>
      </c>
      <c r="I16" s="42">
        <f>INDEX([1]!tbl_Forecast,MATCH($D$8&amp;$C16&amp;$D$7,[1]!rng_ForecastRowLookup,0),MATCH(I$11,[1]!rng_ForecastColumnLookup,0))</f>
        <v>1959.5061710087307</v>
      </c>
      <c r="J16" s="42">
        <f>INDEX([1]!tbl_Forecast,MATCH($D$8&amp;$C16&amp;$D$7,[1]!rng_ForecastRowLookup,0),MATCH(J$11,[1]!rng_ForecastColumnLookup,0))</f>
        <v>1928.5764356212967</v>
      </c>
      <c r="K16" s="42">
        <f>INDEX([1]!tbl_Forecast,MATCH($D$8&amp;$C16&amp;$D$7,[1]!rng_ForecastRowLookup,0),MATCH(K$11,[1]!rng_ForecastColumnLookup,0))</f>
        <v>1934.9641170211423</v>
      </c>
      <c r="L16" s="42">
        <f>INDEX([1]!tbl_Forecast,MATCH($D$8&amp;$C16&amp;$D$7,[1]!rng_ForecastRowLookup,0),MATCH(L$11,[1]!rng_ForecastColumnLookup,0))</f>
        <v>1945.862235675901</v>
      </c>
      <c r="M16" s="42">
        <f>INDEX([1]!tbl_Forecast,MATCH($D$8&amp;$C16&amp;$D$7,[1]!rng_ForecastRowLookup,0),MATCH(M$11,[1]!rng_ForecastColumnLookup,0))</f>
        <v>1956.539890631658</v>
      </c>
      <c r="N16" s="42">
        <f>INDEX([1]!tbl_Forecast,MATCH($D$8&amp;$C16&amp;$D$7,[1]!rng_ForecastRowLookup,0),MATCH(N$11,[1]!rng_ForecastColumnLookup,0))</f>
        <v>1957.7742018038925</v>
      </c>
      <c r="O16" s="42">
        <f>INDEX([1]!tbl_Forecast,MATCH($D$8&amp;$C16&amp;$D$7,[1]!rng_ForecastRowLookup,0),MATCH(O$11,[1]!rng_ForecastColumnLookup,0))</f>
        <v>1947.2038419604366</v>
      </c>
      <c r="P16" s="42">
        <f>INDEX([1]!tbl_Forecast,MATCH($D$8&amp;$C16&amp;$D$7,[1]!rng_ForecastRowLookup,0),MATCH(P$11,[1]!rng_ForecastColumnLookup,0))</f>
        <v>1945.153453785721</v>
      </c>
      <c r="Q16" s="42">
        <f>INDEX([1]!tbl_Forecast,MATCH($D$8&amp;$C16&amp;$D$7,[1]!rng_ForecastRowLookup,0),MATCH(Q$11,[1]!rng_ForecastColumnLookup,0))</f>
        <v>1947.9162901464586</v>
      </c>
      <c r="R16" s="42">
        <f>INDEX([1]!tbl_Forecast,MATCH($D$8&amp;$C16&amp;$D$7,[1]!rng_ForecastRowLookup,0),MATCH(R$11,[1]!rng_ForecastColumnLookup,0))</f>
        <v>1950.0749856673444</v>
      </c>
      <c r="S16" s="42">
        <f>INDEX([1]!tbl_Forecast,MATCH($D$8&amp;$C16&amp;$D$7,[1]!rng_ForecastRowLookup,0),MATCH(S$11,[1]!rng_ForecastColumnLookup,0))</f>
        <v>1950.7771106659191</v>
      </c>
      <c r="T16" s="42">
        <f>INDEX([1]!tbl_Forecast,MATCH($D$8&amp;$C16&amp;$D$7,[1]!rng_ForecastRowLookup,0),MATCH(T$11,[1]!rng_ForecastColumnLookup,0))</f>
        <v>1949.8166473382953</v>
      </c>
      <c r="U16" s="42">
        <f>INDEX([1]!tbl_Forecast,MATCH($D$8&amp;$C16&amp;$D$7,[1]!rng_ForecastRowLookup,0),MATCH(U$11,[1]!rng_ForecastColumnLookup,0))</f>
        <v>1948.4903882606959</v>
      </c>
      <c r="V16" s="42">
        <f>INDEX([1]!tbl_Forecast,MATCH($D$8&amp;$C16&amp;$D$7,[1]!rng_ForecastRowLookup,0),MATCH(V$11,[1]!rng_ForecastColumnLookup,0))</f>
        <v>1948.7048126440727</v>
      </c>
      <c r="W16" s="42">
        <f>INDEX([1]!tbl_Forecast,MATCH($D$8&amp;$C16&amp;$D$7,[1]!rng_ForecastRowLookup,0),MATCH(W$11,[1]!rng_ForecastColumnLookup,0))</f>
        <v>1949.296705787131</v>
      </c>
      <c r="X16" s="42">
        <f>INDEX([1]!tbl_Forecast,MATCH($D$8&amp;$C16&amp;$D$7,[1]!rng_ForecastRowLookup,0),MATCH(X$11,[1]!rng_ForecastColumnLookup,0))</f>
        <v>1949.5267750605763</v>
      </c>
      <c r="Y16" s="42"/>
      <c r="AA16" s="42">
        <f t="shared" si="1"/>
        <v>38891.88615857609</v>
      </c>
    </row>
    <row r="17" spans="1:27">
      <c r="E17" s="42"/>
      <c r="F17" s="42"/>
      <c r="G17" s="42"/>
      <c r="H17" s="42"/>
      <c r="I17" s="42"/>
      <c r="J17" s="42"/>
      <c r="K17" s="42"/>
      <c r="L17" s="42"/>
      <c r="M17" s="42"/>
      <c r="N17" s="42"/>
      <c r="O17" s="42"/>
      <c r="P17" s="42"/>
      <c r="Q17" s="42"/>
      <c r="R17" s="42"/>
      <c r="S17" s="42"/>
      <c r="T17" s="42"/>
      <c r="U17" s="42"/>
      <c r="V17" s="42"/>
      <c r="W17" s="42"/>
      <c r="X17" s="42"/>
      <c r="Y17" s="42"/>
    </row>
    <row r="18" spans="1:27">
      <c r="B18" s="9" t="s">
        <v>148</v>
      </c>
      <c r="C18" s="9" t="s">
        <v>68</v>
      </c>
      <c r="E18" s="42">
        <f>SUM(E13:E16)</f>
        <v>93061.920247153292</v>
      </c>
      <c r="F18" s="42">
        <f t="shared" ref="F18:X18" si="2">SUM(F13:F16)</f>
        <v>90100.948539574325</v>
      </c>
      <c r="G18" s="42">
        <f t="shared" si="2"/>
        <v>86866.015827370516</v>
      </c>
      <c r="H18" s="42">
        <f t="shared" si="2"/>
        <v>84078.189292039577</v>
      </c>
      <c r="I18" s="42">
        <f t="shared" si="2"/>
        <v>80893.425282727228</v>
      </c>
      <c r="J18" s="42">
        <f t="shared" si="2"/>
        <v>77490.543361619988</v>
      </c>
      <c r="K18" s="42">
        <f t="shared" si="2"/>
        <v>75866.224752448965</v>
      </c>
      <c r="L18" s="42">
        <f t="shared" si="2"/>
        <v>76149.794725545056</v>
      </c>
      <c r="M18" s="42">
        <f t="shared" si="2"/>
        <v>76223.656214367264</v>
      </c>
      <c r="N18" s="42">
        <f t="shared" si="2"/>
        <v>77783.59964469698</v>
      </c>
      <c r="O18" s="42">
        <f t="shared" si="2"/>
        <v>78170.651995712979</v>
      </c>
      <c r="P18" s="42">
        <f t="shared" si="2"/>
        <v>77524.11896654492</v>
      </c>
      <c r="Q18" s="42">
        <f t="shared" si="2"/>
        <v>76219.011417055648</v>
      </c>
      <c r="R18" s="42">
        <f t="shared" si="2"/>
        <v>76022.473980439609</v>
      </c>
      <c r="S18" s="42">
        <f t="shared" si="2"/>
        <v>76294.221270583323</v>
      </c>
      <c r="T18" s="42">
        <f t="shared" si="2"/>
        <v>75557.419667965733</v>
      </c>
      <c r="U18" s="42">
        <f t="shared" si="2"/>
        <v>73529.307407457556</v>
      </c>
      <c r="V18" s="42">
        <f t="shared" si="2"/>
        <v>73089.266785410931</v>
      </c>
      <c r="W18" s="42">
        <f t="shared" si="2"/>
        <v>72808.300134269928</v>
      </c>
      <c r="X18" s="42">
        <f t="shared" si="2"/>
        <v>73033.072604687884</v>
      </c>
      <c r="Y18" s="42"/>
      <c r="AA18" s="42">
        <f>SUM(E18:Y18)</f>
        <v>1570762.1621176719</v>
      </c>
    </row>
    <row r="19" spans="1:27">
      <c r="E19" s="42"/>
      <c r="F19" s="42"/>
      <c r="G19" s="42"/>
      <c r="H19" s="42"/>
      <c r="I19" s="42"/>
      <c r="J19" s="42"/>
      <c r="K19" s="42"/>
      <c r="L19" s="42"/>
      <c r="M19" s="42"/>
      <c r="N19" s="42"/>
      <c r="O19" s="42"/>
      <c r="P19" s="42"/>
      <c r="Q19" s="42"/>
      <c r="R19" s="42"/>
      <c r="S19" s="42"/>
      <c r="T19" s="42"/>
      <c r="U19" s="42"/>
      <c r="V19" s="42"/>
      <c r="W19" s="42"/>
      <c r="X19" s="42"/>
      <c r="Y19" s="42"/>
    </row>
    <row r="20" spans="1:27">
      <c r="E20" s="42"/>
      <c r="F20" s="42"/>
      <c r="G20" s="42"/>
      <c r="H20" s="42"/>
      <c r="I20" s="42"/>
      <c r="J20" s="42"/>
      <c r="K20" s="42"/>
      <c r="L20" s="42"/>
      <c r="M20" s="42"/>
      <c r="N20" s="42"/>
      <c r="O20" s="42"/>
      <c r="P20" s="42"/>
      <c r="Q20" s="42"/>
      <c r="R20" s="42"/>
      <c r="S20" s="42"/>
      <c r="T20" s="42"/>
      <c r="U20" s="42"/>
      <c r="V20" s="42"/>
      <c r="W20" s="42"/>
      <c r="X20" s="42"/>
      <c r="Y20" s="42"/>
    </row>
    <row r="21" spans="1:27" ht="15">
      <c r="A21" s="63" t="str">
        <f>CONCATENATE("# HOMES APPLICABLE BY YEAR FOR MEASURE - ",C22)</f>
        <v># HOMES APPLICABLE BY YEAR FOR MEASURE - Aerator - New</v>
      </c>
      <c r="E21" s="42"/>
      <c r="F21" s="42"/>
      <c r="G21" s="42"/>
      <c r="H21" s="42"/>
      <c r="I21" s="42"/>
      <c r="J21" s="42"/>
      <c r="K21" s="42"/>
      <c r="L21" s="42"/>
      <c r="M21" s="42"/>
      <c r="N21" s="42"/>
      <c r="O21" s="42"/>
      <c r="P21" s="42"/>
      <c r="Q21" s="42"/>
      <c r="R21" s="42"/>
      <c r="S21" s="42"/>
      <c r="T21" s="42"/>
      <c r="U21" s="42"/>
      <c r="V21" s="42"/>
      <c r="W21" s="42"/>
      <c r="X21" s="42"/>
      <c r="Y21" s="42"/>
    </row>
    <row r="22" spans="1:27" ht="15">
      <c r="A22" s="72" t="s">
        <v>69</v>
      </c>
      <c r="B22" s="72" t="s">
        <v>155</v>
      </c>
      <c r="C22" s="72" t="str">
        <f>CONCATENATE(C8," - ",C7)</f>
        <v>Aerator - New</v>
      </c>
      <c r="D22" s="72"/>
      <c r="AA22" s="9" t="s">
        <v>70</v>
      </c>
    </row>
    <row r="23" spans="1:27">
      <c r="A23" s="64">
        <f>INDEX([2]!ResApplic,MATCH($C$22,[2]APPLIC!$B$9:$B$120,0)+1,MATCH($C23,[2]APPLIC!$C$8:$F$8,0)+1)</f>
        <v>0.315</v>
      </c>
      <c r="B23" s="163">
        <f>VLOOKUP($C23,'Units Per Home'!$A$5:$B$8,2,FALSE)</f>
        <v>2.19</v>
      </c>
      <c r="C23" s="9" t="str">
        <f>C13</f>
        <v>Single Family</v>
      </c>
      <c r="E23" s="42">
        <f>E13*$A23*$B23</f>
        <v>43243.770846149993</v>
      </c>
      <c r="F23" s="42">
        <f t="shared" ref="F23:X23" si="3">F13*$A23*$B23</f>
        <v>41364.634622850004</v>
      </c>
      <c r="G23" s="42">
        <f t="shared" si="3"/>
        <v>39206.943178200003</v>
      </c>
      <c r="H23" s="42">
        <f t="shared" si="3"/>
        <v>37931.535391049998</v>
      </c>
      <c r="I23" s="42">
        <f t="shared" si="3"/>
        <v>36912.130938900002</v>
      </c>
      <c r="J23" s="42">
        <f t="shared" si="3"/>
        <v>35169.9671925</v>
      </c>
      <c r="K23" s="42">
        <f t="shared" si="3"/>
        <v>34190.117359650001</v>
      </c>
      <c r="L23" s="42">
        <f t="shared" si="3"/>
        <v>34026.518742299995</v>
      </c>
      <c r="M23" s="42">
        <f t="shared" si="3"/>
        <v>33675.558934499997</v>
      </c>
      <c r="N23" s="42">
        <f t="shared" si="3"/>
        <v>34273.991392199998</v>
      </c>
      <c r="O23" s="42">
        <f t="shared" si="3"/>
        <v>34513.29000945</v>
      </c>
      <c r="P23" s="42">
        <f t="shared" si="3"/>
        <v>34070.148305549999</v>
      </c>
      <c r="Q23" s="42">
        <f t="shared" si="3"/>
        <v>33167.536838099993</v>
      </c>
      <c r="R23" s="42">
        <f t="shared" si="3"/>
        <v>33201.825832349998</v>
      </c>
      <c r="S23" s="42">
        <f t="shared" si="3"/>
        <v>33589.189024650004</v>
      </c>
      <c r="T23" s="42">
        <f t="shared" si="3"/>
        <v>33445.903730400001</v>
      </c>
      <c r="U23" s="42">
        <f t="shared" si="3"/>
        <v>32339.478839849999</v>
      </c>
      <c r="V23" s="42">
        <f t="shared" si="3"/>
        <v>32284.137003299998</v>
      </c>
      <c r="W23" s="42">
        <f t="shared" si="3"/>
        <v>32366.124985949999</v>
      </c>
      <c r="X23" s="42">
        <f t="shared" si="3"/>
        <v>32585.854628249999</v>
      </c>
      <c r="Y23" s="42"/>
      <c r="AA23" s="42">
        <f>X23*$AA$32</f>
        <v>27697.9764340125</v>
      </c>
    </row>
    <row r="24" spans="1:27">
      <c r="A24" s="64">
        <f>INDEX([2]!ResApplic,MATCH($C$22,[2]APPLIC!$B$9:$B$120,0)+1,MATCH($C24,[2]APPLIC!$C$8:$F$8,0)+1)</f>
        <v>0.315</v>
      </c>
      <c r="B24" s="163">
        <f>VLOOKUP($C24,'Units Per Home'!$A$5:$B$8,2,FALSE)</f>
        <v>1.25</v>
      </c>
      <c r="C24" s="9" t="str">
        <f>C14</f>
        <v>Multifamily - Low Rise</v>
      </c>
      <c r="E24" s="42">
        <f t="shared" ref="E24:X24" si="4">E14*$A24*$B24</f>
        <v>9166.6366709811718</v>
      </c>
      <c r="F24" s="42">
        <f t="shared" si="4"/>
        <v>9063.108379252717</v>
      </c>
      <c r="G24" s="42">
        <f t="shared" si="4"/>
        <v>8982.0708577713667</v>
      </c>
      <c r="H24" s="42">
        <f t="shared" si="4"/>
        <v>8696.3295739172718</v>
      </c>
      <c r="I24" s="42">
        <f t="shared" si="4"/>
        <v>8197.0299763295716</v>
      </c>
      <c r="J24" s="42">
        <f t="shared" si="4"/>
        <v>7902.672486172738</v>
      </c>
      <c r="K24" s="42">
        <f t="shared" si="4"/>
        <v>7830.8335682055795</v>
      </c>
      <c r="L24" s="42">
        <f t="shared" si="4"/>
        <v>7976.4233888631961</v>
      </c>
      <c r="M24" s="42">
        <f t="shared" si="4"/>
        <v>8170.4574116131107</v>
      </c>
      <c r="N24" s="42">
        <f t="shared" si="4"/>
        <v>8392.5191226492898</v>
      </c>
      <c r="O24" s="42">
        <f t="shared" si="4"/>
        <v>8427.5439569112932</v>
      </c>
      <c r="P24" s="42">
        <f t="shared" si="4"/>
        <v>8429.8478971293225</v>
      </c>
      <c r="Q24" s="42">
        <f t="shared" si="4"/>
        <v>8443.3223275862856</v>
      </c>
      <c r="R24" s="42">
        <f t="shared" si="4"/>
        <v>8351.3845904433365</v>
      </c>
      <c r="S24" s="42">
        <f t="shared" si="4"/>
        <v>8250.7075807425772</v>
      </c>
      <c r="T24" s="42">
        <f t="shared" si="4"/>
        <v>8081.8920913608436</v>
      </c>
      <c r="U24" s="42">
        <f t="shared" si="4"/>
        <v>7944.1053290369155</v>
      </c>
      <c r="V24" s="42">
        <f t="shared" si="4"/>
        <v>7843.3912964470492</v>
      </c>
      <c r="W24" s="42">
        <f t="shared" si="4"/>
        <v>7692.3764136514628</v>
      </c>
      <c r="X24" s="42">
        <f t="shared" si="4"/>
        <v>7663.2755578372544</v>
      </c>
      <c r="Y24" s="42"/>
      <c r="AA24" s="42">
        <f t="shared" ref="AA24:AA26" si="5">X24*$AA$32</f>
        <v>6513.7842241616663</v>
      </c>
    </row>
    <row r="25" spans="1:27">
      <c r="A25" s="64">
        <f>INDEX([2]!ResApplic,MATCH($C$22,[2]APPLIC!$B$9:$B$120,0)+1,MATCH($C25,[2]APPLIC!$C$8:$F$8,0)+1)</f>
        <v>0.315</v>
      </c>
      <c r="B25" s="163">
        <f>VLOOKUP($C25,'Units Per Home'!$A$5:$B$8,2,FALSE)</f>
        <v>1.25</v>
      </c>
      <c r="C25" s="9" t="str">
        <f>C15</f>
        <v>Multifamily - High Rise</v>
      </c>
      <c r="E25" s="42">
        <f t="shared" ref="E25:X25" si="6">E15*$A25*$B25</f>
        <v>2057.8315043302287</v>
      </c>
      <c r="F25" s="42">
        <f t="shared" si="6"/>
        <v>2063.2315439902636</v>
      </c>
      <c r="G25" s="42">
        <f t="shared" si="6"/>
        <v>2075.5591274639642</v>
      </c>
      <c r="H25" s="42">
        <f t="shared" si="6"/>
        <v>1963.1916489828673</v>
      </c>
      <c r="I25" s="42">
        <f t="shared" si="6"/>
        <v>1814.6327864095847</v>
      </c>
      <c r="J25" s="42">
        <f t="shared" si="6"/>
        <v>1775.6698034392475</v>
      </c>
      <c r="K25" s="42">
        <f t="shared" si="6"/>
        <v>1764.6931382441244</v>
      </c>
      <c r="L25" s="42">
        <f t="shared" si="6"/>
        <v>1819.8460665227858</v>
      </c>
      <c r="M25" s="42">
        <f t="shared" si="6"/>
        <v>1851.0102033577871</v>
      </c>
      <c r="N25" s="42">
        <f t="shared" si="6"/>
        <v>1901.1191704898629</v>
      </c>
      <c r="O25" s="42">
        <f t="shared" si="6"/>
        <v>1886.0723098787719</v>
      </c>
      <c r="P25" s="42">
        <f t="shared" si="6"/>
        <v>1882.9380922696125</v>
      </c>
      <c r="Q25" s="42">
        <f t="shared" si="6"/>
        <v>1869.6788911342101</v>
      </c>
      <c r="R25" s="42">
        <f t="shared" si="6"/>
        <v>1863.808682498244</v>
      </c>
      <c r="S25" s="42">
        <f t="shared" si="6"/>
        <v>1850.1120134748985</v>
      </c>
      <c r="T25" s="42">
        <f t="shared" si="6"/>
        <v>1810.9738980112081</v>
      </c>
      <c r="U25" s="42">
        <f t="shared" si="6"/>
        <v>1782.2347285218527</v>
      </c>
      <c r="V25" s="42">
        <f t="shared" si="6"/>
        <v>1741.1861428298962</v>
      </c>
      <c r="W25" s="42">
        <f t="shared" si="6"/>
        <v>1734.5405550636369</v>
      </c>
      <c r="X25" s="42">
        <f t="shared" si="6"/>
        <v>1726.6385188285012</v>
      </c>
      <c r="Y25" s="42"/>
      <c r="AA25" s="42">
        <f t="shared" si="5"/>
        <v>1467.6427410042261</v>
      </c>
    </row>
    <row r="26" spans="1:27">
      <c r="A26" s="64">
        <f>INDEX([2]!ResApplic,MATCH($C$22,[2]APPLIC!$B$9:$B$120,0)+1,MATCH($C26,[2]APPLIC!$C$8:$F$8,0)+1)</f>
        <v>0.315</v>
      </c>
      <c r="B26" s="163">
        <f>VLOOKUP($C26,'Units Per Home'!$A$5:$B$8,2,FALSE)</f>
        <v>1.81</v>
      </c>
      <c r="C26" t="s">
        <v>51</v>
      </c>
      <c r="D26"/>
      <c r="E26" s="42">
        <f t="shared" ref="E26:X26" si="7">E16*$A26*$B26</f>
        <v>1065.9384172135417</v>
      </c>
      <c r="F26" s="42">
        <f t="shared" si="7"/>
        <v>1072.9061638324654</v>
      </c>
      <c r="G26" s="42">
        <f t="shared" si="7"/>
        <v>1111.2987635545428</v>
      </c>
      <c r="H26" s="42">
        <f t="shared" si="7"/>
        <v>1152.3851051469665</v>
      </c>
      <c r="I26" s="42">
        <f t="shared" si="7"/>
        <v>1117.212443400628</v>
      </c>
      <c r="J26" s="42">
        <f t="shared" si="7"/>
        <v>1099.5778547694822</v>
      </c>
      <c r="K26" s="42">
        <f t="shared" si="7"/>
        <v>1103.2197913196044</v>
      </c>
      <c r="L26" s="42">
        <f t="shared" si="7"/>
        <v>1109.4333536706149</v>
      </c>
      <c r="M26" s="42">
        <f t="shared" si="7"/>
        <v>1115.5212186436397</v>
      </c>
      <c r="N26" s="42">
        <f t="shared" si="7"/>
        <v>1116.2249611584894</v>
      </c>
      <c r="O26" s="42">
        <f t="shared" si="7"/>
        <v>1110.1982704937429</v>
      </c>
      <c r="P26" s="42">
        <f t="shared" si="7"/>
        <v>1109.0292416759289</v>
      </c>
      <c r="Q26" s="42">
        <f t="shared" si="7"/>
        <v>1110.6044728270035</v>
      </c>
      <c r="R26" s="42">
        <f t="shared" si="7"/>
        <v>1111.8352530782365</v>
      </c>
      <c r="S26" s="42">
        <f t="shared" si="7"/>
        <v>1112.2355696461739</v>
      </c>
      <c r="T26" s="42">
        <f t="shared" si="7"/>
        <v>1111.6879614799291</v>
      </c>
      <c r="U26" s="42">
        <f t="shared" si="7"/>
        <v>1110.9317948668358</v>
      </c>
      <c r="V26" s="42">
        <f t="shared" si="7"/>
        <v>1111.0540489290181</v>
      </c>
      <c r="W26" s="42">
        <f t="shared" si="7"/>
        <v>1111.3915168045328</v>
      </c>
      <c r="X26" s="42">
        <f t="shared" si="7"/>
        <v>1111.5226908007876</v>
      </c>
      <c r="Y26" s="42"/>
      <c r="AA26" s="42">
        <f t="shared" si="5"/>
        <v>944.79428718066947</v>
      </c>
    </row>
    <row r="27" spans="1:27">
      <c r="E27" s="42"/>
      <c r="F27" s="42"/>
      <c r="G27" s="42"/>
      <c r="H27" s="42"/>
      <c r="I27" s="42"/>
      <c r="J27" s="42"/>
      <c r="K27" s="42"/>
      <c r="L27" s="42"/>
      <c r="M27" s="42"/>
      <c r="N27" s="42"/>
      <c r="O27" s="42"/>
      <c r="P27" s="42"/>
      <c r="Q27" s="42"/>
      <c r="R27" s="42"/>
      <c r="S27" s="42"/>
      <c r="T27" s="42"/>
      <c r="U27" s="42"/>
      <c r="V27" s="42"/>
      <c r="W27" s="42"/>
      <c r="X27" s="42"/>
      <c r="Y27" s="42"/>
    </row>
    <row r="28" spans="1:27">
      <c r="E28" s="42">
        <f t="shared" ref="E28:X28" si="8">SUM(E23:E26)</f>
        <v>55534.177438674931</v>
      </c>
      <c r="F28" s="42">
        <f t="shared" si="8"/>
        <v>53563.880709925455</v>
      </c>
      <c r="G28" s="42">
        <f t="shared" si="8"/>
        <v>51375.871926989879</v>
      </c>
      <c r="H28" s="42">
        <f t="shared" si="8"/>
        <v>49743.441719097107</v>
      </c>
      <c r="I28" s="42">
        <f t="shared" si="8"/>
        <v>48041.006145039784</v>
      </c>
      <c r="J28" s="42">
        <f t="shared" si="8"/>
        <v>45947.887336881467</v>
      </c>
      <c r="K28" s="42">
        <f t="shared" si="8"/>
        <v>44888.86385741931</v>
      </c>
      <c r="L28" s="42">
        <f t="shared" si="8"/>
        <v>44932.22155135659</v>
      </c>
      <c r="M28" s="42">
        <f t="shared" si="8"/>
        <v>44812.547768114535</v>
      </c>
      <c r="N28" s="42">
        <f t="shared" si="8"/>
        <v>45683.854646497646</v>
      </c>
      <c r="O28" s="42">
        <f t="shared" si="8"/>
        <v>45937.104546733804</v>
      </c>
      <c r="P28" s="42">
        <f t="shared" si="8"/>
        <v>45491.963536624862</v>
      </c>
      <c r="Q28" s="42">
        <f t="shared" si="8"/>
        <v>44591.142529647492</v>
      </c>
      <c r="R28" s="42">
        <f t="shared" si="8"/>
        <v>44528.854358369812</v>
      </c>
      <c r="S28" s="42">
        <f t="shared" si="8"/>
        <v>44802.244188513658</v>
      </c>
      <c r="T28" s="42">
        <f t="shared" si="8"/>
        <v>44450.457681251981</v>
      </c>
      <c r="U28" s="42">
        <f t="shared" si="8"/>
        <v>43176.7506922756</v>
      </c>
      <c r="V28" s="42">
        <f t="shared" si="8"/>
        <v>42979.768491505965</v>
      </c>
      <c r="W28" s="42">
        <f t="shared" si="8"/>
        <v>42904.433471469631</v>
      </c>
      <c r="X28" s="42">
        <f t="shared" si="8"/>
        <v>43087.291395716544</v>
      </c>
      <c r="Y28" s="42"/>
      <c r="AA28" s="42">
        <f>SUM(E28:Y28)</f>
        <v>926473.76399210608</v>
      </c>
    </row>
    <row r="29" spans="1:27">
      <c r="E29" s="42"/>
      <c r="F29" s="42"/>
      <c r="G29" s="42"/>
      <c r="H29" s="42"/>
      <c r="I29" s="42"/>
      <c r="J29" s="42"/>
      <c r="K29" s="42"/>
      <c r="L29" s="42"/>
      <c r="M29" s="42"/>
      <c r="N29" s="42"/>
      <c r="O29" s="42"/>
      <c r="P29" s="42"/>
      <c r="Q29" s="42"/>
      <c r="R29" s="42"/>
      <c r="S29" s="42"/>
      <c r="T29" s="42"/>
      <c r="U29" s="42"/>
      <c r="V29" s="42"/>
      <c r="W29" s="42"/>
      <c r="X29" s="42"/>
      <c r="Y29" s="42"/>
    </row>
    <row r="31" spans="1:27" ht="15.75" thickBot="1">
      <c r="A31" s="63" t="str">
        <f>CONCATENATE("# UNITS ACHIEVABLE BY YEAR FOR MEASURE - ",C32)</f>
        <v># UNITS ACHIEVABLE BY YEAR FOR MEASURE - Aerator - New</v>
      </c>
      <c r="D31" s="72" t="s">
        <v>71</v>
      </c>
      <c r="E31" s="9">
        <v>3</v>
      </c>
      <c r="F31" s="9">
        <v>4</v>
      </c>
      <c r="G31" s="9">
        <v>5</v>
      </c>
      <c r="H31" s="9">
        <v>6</v>
      </c>
      <c r="I31" s="9">
        <v>7</v>
      </c>
      <c r="J31" s="9">
        <v>8</v>
      </c>
      <c r="K31" s="9">
        <v>9</v>
      </c>
      <c r="L31" s="9">
        <v>10</v>
      </c>
      <c r="M31" s="9">
        <v>11</v>
      </c>
      <c r="N31" s="9">
        <v>12</v>
      </c>
      <c r="O31" s="9">
        <v>13</v>
      </c>
      <c r="P31" s="9">
        <v>14</v>
      </c>
      <c r="Q31" s="9">
        <v>15</v>
      </c>
      <c r="R31" s="9">
        <v>16</v>
      </c>
      <c r="S31" s="9">
        <v>17</v>
      </c>
      <c r="T31" s="9">
        <v>18</v>
      </c>
      <c r="U31" s="9">
        <v>19</v>
      </c>
      <c r="V31" s="9">
        <v>20</v>
      </c>
      <c r="W31" s="9">
        <v>21</v>
      </c>
      <c r="X31" s="9">
        <v>22</v>
      </c>
    </row>
    <row r="32" spans="1:27" ht="15.75" thickBot="1">
      <c r="C32" s="72" t="str">
        <f>CONCATENATE(C8," - ",C7)</f>
        <v>Aerator - New</v>
      </c>
      <c r="D32" s="72"/>
      <c r="E32" s="76">
        <f>VLOOKUP($C$32,[2]ACHIEV!$B$10:$X$100,MATCH(E$11,$E$11:$Y$11,0)+2,FALSE)</f>
        <v>5.5320496977002724E-3</v>
      </c>
      <c r="F32" s="76">
        <f>VLOOKUP($C$32,[2]ACHIEV!$B$10:$X$100,MATCH(F$11,$E$11:$Y$11,0)+2,FALSE)</f>
        <v>1.4227918344261844E-2</v>
      </c>
      <c r="G32" s="76">
        <f>VLOOKUP($C$32,[2]ACHIEV!$B$10:$X$100,MATCH(G$11,$E$11:$Y$11,0)+2,FALSE)</f>
        <v>3.1619655637384989E-2</v>
      </c>
      <c r="H32" s="76">
        <f>VLOOKUP($C$32,[2]ACHIEV!$B$10:$X$100,MATCH(H$11,$E$11:$Y$11,0)+2,FALSE)</f>
        <v>6.2055195900350503E-2</v>
      </c>
      <c r="I32" s="76">
        <f>VLOOKUP($C$32,[2]ACHIEV!$B$10:$X$100,MATCH(I$11,$E$11:$Y$11,0)+2,FALSE)</f>
        <v>0.10939936964274129</v>
      </c>
      <c r="J32" s="76">
        <f>VLOOKUP($C$32,[2]ACHIEV!$B$10:$X$100,MATCH(J$11,$E$11:$Y$11,0)+2,FALSE)</f>
        <v>0.17568121288208835</v>
      </c>
      <c r="K32" s="76">
        <f>VLOOKUP($C$32,[2]ACHIEV!$B$10:$X$100,MATCH(K$11,$E$11:$Y$11,0)+2,FALSE)</f>
        <v>0.26003992245943919</v>
      </c>
      <c r="L32" s="76">
        <f>VLOOKUP($C$32,[2]ACHIEV!$B$10:$X$100,MATCH(L$11,$E$11:$Y$11,0)+2,FALSE)</f>
        <v>0.3584584169663485</v>
      </c>
      <c r="M32" s="76">
        <f>VLOOKUP($C$32,[2]ACHIEV!$B$10:$X$100,MATCH(M$11,$E$11:$Y$11,0)+2,FALSE)</f>
        <v>0.46444756489686617</v>
      </c>
      <c r="N32" s="76">
        <f>VLOOKUP($C$32,[2]ACHIEV!$B$10:$X$100,MATCH(N$11,$E$11:$Y$11,0)+2,FALSE)</f>
        <v>0.57043671282738384</v>
      </c>
      <c r="O32" s="76">
        <f>VLOOKUP($C$32,[2]ACHIEV!$B$10:$X$100,MATCH(O$11,$E$11:$Y$11,0)+2,FALSE)</f>
        <v>0.66935991756253377</v>
      </c>
      <c r="P32" s="76">
        <f>VLOOKUP($C$32,[2]ACHIEV!$B$10:$X$100,MATCH(P$11,$E$11:$Y$11,0)+2,FALSE)</f>
        <v>0.75591772170578986</v>
      </c>
      <c r="Q32" s="76">
        <f>VLOOKUP($C$32,[2]ACHIEV!$B$10:$X$100,MATCH(Q$11,$E$11:$Y$11,0)+2,FALSE)</f>
        <v>0.82720061923553012</v>
      </c>
      <c r="R32" s="76">
        <f>VLOOKUP($C$32,[2]ACHIEV!$B$10:$X$100,MATCH(R$11,$E$11:$Y$11,0)+2,FALSE)</f>
        <v>0.88264287286977261</v>
      </c>
      <c r="S32" s="76">
        <f>VLOOKUP($C$32,[2]ACHIEV!$B$10:$X$100,MATCH(S$11,$E$11:$Y$11,0)+2,FALSE)</f>
        <v>0.92349505975816193</v>
      </c>
      <c r="T32" s="76">
        <f>VLOOKUP($C$32,[2]ACHIEV!$B$10:$X$100,MATCH(T$11,$E$11:$Y$11,0)+2,FALSE)</f>
        <v>0.95209159058003434</v>
      </c>
      <c r="U32" s="76">
        <f>VLOOKUP($C$32,[2]ACHIEV!$B$10:$X$100,MATCH(U$11,$E$11:$Y$11,0)+2,FALSE)</f>
        <v>0.97115594446128262</v>
      </c>
      <c r="V32" s="76">
        <f>VLOOKUP($C$32,[2]ACHIEV!$B$10:$X$100,MATCH(V$11,$E$11:$Y$11,0)+2,FALSE)</f>
        <v>0.98328780602207699</v>
      </c>
      <c r="W32" s="76">
        <f>VLOOKUP($C$32,[2]ACHIEV!$B$10:$X$100,MATCH(W$11,$E$11:$Y$11,0)+2,FALSE)</f>
        <v>0.99067241740690848</v>
      </c>
      <c r="X32" s="76">
        <f>VLOOKUP($C$32,[2]ACHIEV!$B$10:$X$100,MATCH(X$11,$E$11:$Y$11,0)+2,FALSE)</f>
        <v>0.99498010738139331</v>
      </c>
      <c r="Y32" s="76"/>
      <c r="AA32" s="191">
        <v>0.85</v>
      </c>
    </row>
    <row r="33" spans="1:80">
      <c r="C33" s="9" t="str">
        <f>C23</f>
        <v>Single Family</v>
      </c>
      <c r="E33" s="42">
        <f>E23*E$32*$AA$32</f>
        <v>203.34268602133432</v>
      </c>
      <c r="F33" s="42">
        <f t="shared" ref="F33:X36" si="9">F23*F$32*$AA$32</f>
        <v>500.25274719101577</v>
      </c>
      <c r="G33" s="42">
        <f t="shared" si="9"/>
        <v>1053.7535356058238</v>
      </c>
      <c r="H33" s="42">
        <f t="shared" si="9"/>
        <v>2000.7715305687827</v>
      </c>
      <c r="I33" s="42">
        <f t="shared" si="9"/>
        <v>3432.4392783530902</v>
      </c>
      <c r="J33" s="42">
        <f t="shared" si="9"/>
        <v>5251.8971193914067</v>
      </c>
      <c r="K33" s="42">
        <f t="shared" si="9"/>
        <v>7557.1761470201345</v>
      </c>
      <c r="L33" s="42">
        <f t="shared" si="9"/>
        <v>10367.528236754548</v>
      </c>
      <c r="M33" s="42">
        <f t="shared" si="9"/>
        <v>13294.451642119015</v>
      </c>
      <c r="N33" s="42">
        <f t="shared" si="9"/>
        <v>16618.471537454523</v>
      </c>
      <c r="O33" s="42">
        <f t="shared" si="9"/>
        <v>19636.541012206682</v>
      </c>
      <c r="P33" s="42">
        <f t="shared" si="9"/>
        <v>21891.09455251327</v>
      </c>
      <c r="Q33" s="42">
        <f t="shared" si="9"/>
        <v>23320.775959344533</v>
      </c>
      <c r="R33" s="42">
        <f t="shared" si="9"/>
        <v>24909.551696609145</v>
      </c>
      <c r="S33" s="42">
        <f t="shared" si="9"/>
        <v>26366.532606715249</v>
      </c>
      <c r="T33" s="42">
        <f t="shared" si="9"/>
        <v>27067.029128903756</v>
      </c>
      <c r="U33" s="42">
        <f t="shared" si="9"/>
        <v>26695.675548685162</v>
      </c>
      <c r="V33" s="42">
        <f t="shared" si="9"/>
        <v>26982.908506797354</v>
      </c>
      <c r="W33" s="42">
        <f t="shared" si="9"/>
        <v>27254.593189636442</v>
      </c>
      <c r="X33" s="42">
        <f t="shared" si="9"/>
        <v>27558.935566561056</v>
      </c>
      <c r="Y33" s="42"/>
      <c r="AA33" s="42">
        <f t="shared" ref="AA33:AA36" si="10">SUM(E33:Y33)</f>
        <v>311963.72222845233</v>
      </c>
    </row>
    <row r="34" spans="1:80">
      <c r="C34" s="9" t="str">
        <f>C24</f>
        <v>Multifamily - Low Rise</v>
      </c>
      <c r="E34" s="42">
        <f t="shared" ref="E34:T36" si="11">E24*E$32*$AA$32</f>
        <v>43.103746180935183</v>
      </c>
      <c r="F34" s="42">
        <f t="shared" si="11"/>
        <v>109.6067910704225</v>
      </c>
      <c r="G34" s="42">
        <f t="shared" si="11"/>
        <v>241.40848931832355</v>
      </c>
      <c r="H34" s="42">
        <f t="shared" si="11"/>
        <v>458.70457002493072</v>
      </c>
      <c r="I34" s="42">
        <f t="shared" si="11"/>
        <v>762.2374255001431</v>
      </c>
      <c r="J34" s="42">
        <f t="shared" si="11"/>
        <v>1180.0984242736249</v>
      </c>
      <c r="K34" s="42">
        <f t="shared" si="11"/>
        <v>1730.8799507886094</v>
      </c>
      <c r="L34" s="42">
        <f t="shared" si="11"/>
        <v>2430.3336858714692</v>
      </c>
      <c r="M34" s="42">
        <f t="shared" si="11"/>
        <v>3225.5366915796722</v>
      </c>
      <c r="N34" s="42">
        <f t="shared" si="11"/>
        <v>4069.290867565267</v>
      </c>
      <c r="O34" s="42">
        <f t="shared" si="11"/>
        <v>4794.901109014857</v>
      </c>
      <c r="P34" s="42">
        <f t="shared" si="11"/>
        <v>5416.4307042156897</v>
      </c>
      <c r="Q34" s="42">
        <f t="shared" si="11"/>
        <v>5936.6732391168698</v>
      </c>
      <c r="R34" s="42">
        <f t="shared" si="11"/>
        <v>6265.5965742468679</v>
      </c>
      <c r="S34" s="42">
        <f t="shared" si="11"/>
        <v>6476.5645367762381</v>
      </c>
      <c r="T34" s="42">
        <f t="shared" si="11"/>
        <v>6540.496271735954</v>
      </c>
      <c r="U34" s="42">
        <f t="shared" si="9"/>
        <v>6557.7203466626406</v>
      </c>
      <c r="V34" s="42">
        <f t="shared" si="9"/>
        <v>6555.4643667076616</v>
      </c>
      <c r="W34" s="42">
        <f t="shared" si="9"/>
        <v>6477.5313667185819</v>
      </c>
      <c r="X34" s="42">
        <f t="shared" si="9"/>
        <v>6481.0857268156005</v>
      </c>
      <c r="Y34" s="42"/>
      <c r="AA34" s="42">
        <f t="shared" si="10"/>
        <v>75753.664884184356</v>
      </c>
    </row>
    <row r="35" spans="1:80">
      <c r="C35" s="9" t="s">
        <v>50</v>
      </c>
      <c r="E35" s="42">
        <f t="shared" si="11"/>
        <v>9.6764222287309174</v>
      </c>
      <c r="F35" s="42">
        <f t="shared" si="9"/>
        <v>24.952166443218943</v>
      </c>
      <c r="G35" s="42">
        <f t="shared" si="9"/>
        <v>55.784195135625531</v>
      </c>
      <c r="H35" s="42">
        <f t="shared" si="9"/>
        <v>103.55230601242937</v>
      </c>
      <c r="I35" s="42">
        <f t="shared" si="9"/>
        <v>168.74173052132079</v>
      </c>
      <c r="J35" s="42">
        <f t="shared" si="9"/>
        <v>265.15905103436046</v>
      </c>
      <c r="K35" s="42">
        <f t="shared" si="9"/>
        <v>390.05706680865052</v>
      </c>
      <c r="L35" s="42">
        <f t="shared" si="9"/>
        <v>554.48826910896491</v>
      </c>
      <c r="M35" s="42">
        <f t="shared" si="9"/>
        <v>730.74260431646064</v>
      </c>
      <c r="N35" s="42">
        <f t="shared" si="9"/>
        <v>921.79794476125619</v>
      </c>
      <c r="O35" s="42">
        <f t="shared" si="9"/>
        <v>1073.0920249788176</v>
      </c>
      <c r="P35" s="42">
        <f t="shared" si="9"/>
        <v>1209.8443318982679</v>
      </c>
      <c r="Q35" s="42">
        <f t="shared" si="9"/>
        <v>1314.6096060401451</v>
      </c>
      <c r="R35" s="42">
        <f t="shared" si="9"/>
        <v>1398.3158324998947</v>
      </c>
      <c r="S35" s="42">
        <f t="shared" si="9"/>
        <v>1452.2839087768004</v>
      </c>
      <c r="T35" s="42">
        <f t="shared" si="9"/>
        <v>1465.5810661979535</v>
      </c>
      <c r="U35" s="42">
        <f t="shared" si="9"/>
        <v>1471.2036733749369</v>
      </c>
      <c r="V35" s="42">
        <f t="shared" si="9"/>
        <v>1455.2740369203636</v>
      </c>
      <c r="W35" s="42">
        <f t="shared" si="9"/>
        <v>1460.6072620589318</v>
      </c>
      <c r="X35" s="42">
        <f t="shared" si="9"/>
        <v>1460.2753320419072</v>
      </c>
      <c r="Y35" s="42"/>
      <c r="AA35" s="42">
        <f t="shared" si="10"/>
        <v>16986.03883115904</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80">
      <c r="C36" s="9" t="str">
        <f>C26</f>
        <v>Manufactured</v>
      </c>
      <c r="E36" s="42">
        <f t="shared" si="11"/>
        <v>5.012300653906288</v>
      </c>
      <c r="F36" s="42">
        <f t="shared" si="9"/>
        <v>12.975438096554006</v>
      </c>
      <c r="G36" s="42">
        <f t="shared" si="9"/>
        <v>29.868051581769411</v>
      </c>
      <c r="H36" s="42">
        <f t="shared" si="9"/>
        <v>60.784760934659857</v>
      </c>
      <c r="I36" s="42">
        <f t="shared" si="9"/>
        <v>103.88898650529715</v>
      </c>
      <c r="J36" s="42">
        <f t="shared" si="9"/>
        <v>164.19889550655932</v>
      </c>
      <c r="K36" s="42">
        <f t="shared" si="9"/>
        <v>243.8490106418983</v>
      </c>
      <c r="L36" s="42">
        <f t="shared" si="9"/>
        <v>338.0328651334703</v>
      </c>
      <c r="M36" s="42">
        <f t="shared" si="9"/>
        <v>440.3859465513496</v>
      </c>
      <c r="N36" s="42">
        <f t="shared" si="9"/>
        <v>541.22534297625441</v>
      </c>
      <c r="O36" s="42">
        <f t="shared" si="9"/>
        <v>631.65388939339539</v>
      </c>
      <c r="P36" s="42">
        <f t="shared" si="9"/>
        <v>712.58462902185272</v>
      </c>
      <c r="Q36" s="42">
        <f t="shared" si="9"/>
        <v>780.88880150100977</v>
      </c>
      <c r="R36" s="42">
        <f t="shared" si="9"/>
        <v>834.15044264463552</v>
      </c>
      <c r="S36" s="42">
        <f t="shared" si="9"/>
        <v>873.07244577721463</v>
      </c>
      <c r="T36" s="42">
        <f t="shared" si="9"/>
        <v>899.66444555298631</v>
      </c>
      <c r="U36" s="42">
        <f t="shared" si="9"/>
        <v>917.05481400457438</v>
      </c>
      <c r="V36" s="42">
        <f t="shared" si="9"/>
        <v>928.61301342185573</v>
      </c>
      <c r="W36" s="42">
        <f t="shared" si="9"/>
        <v>935.87118254253573</v>
      </c>
      <c r="X36" s="42">
        <f t="shared" si="9"/>
        <v>940.05152131234934</v>
      </c>
      <c r="Y36" s="42"/>
      <c r="AA36" s="42">
        <f t="shared" si="10"/>
        <v>10393.82678375413</v>
      </c>
    </row>
    <row r="37" spans="1:80">
      <c r="E37" s="42"/>
      <c r="F37" s="42"/>
      <c r="G37" s="42"/>
      <c r="H37" s="42"/>
      <c r="I37" s="42"/>
      <c r="J37" s="42"/>
      <c r="K37" s="42"/>
      <c r="L37" s="42"/>
      <c r="M37" s="42"/>
      <c r="N37" s="42"/>
      <c r="O37" s="42"/>
      <c r="P37" s="42"/>
      <c r="Q37" s="42"/>
      <c r="R37" s="42"/>
      <c r="S37" s="42"/>
      <c r="T37" s="42"/>
      <c r="U37" s="42"/>
      <c r="V37" s="42"/>
      <c r="W37" s="42"/>
      <c r="X37" s="42"/>
      <c r="Y37" s="42"/>
    </row>
    <row r="38" spans="1:80">
      <c r="E38" s="42">
        <f t="shared" ref="E38:X38" si="12">SUM(E33:E36)</f>
        <v>261.13515508490667</v>
      </c>
      <c r="F38" s="42">
        <f t="shared" si="12"/>
        <v>647.7871428012113</v>
      </c>
      <c r="G38" s="42">
        <f t="shared" si="12"/>
        <v>1380.8142716415423</v>
      </c>
      <c r="H38" s="42">
        <f t="shared" si="12"/>
        <v>2623.8131675408026</v>
      </c>
      <c r="I38" s="42">
        <f t="shared" si="12"/>
        <v>4467.3074208798516</v>
      </c>
      <c r="J38" s="42">
        <f t="shared" si="12"/>
        <v>6861.3534902059509</v>
      </c>
      <c r="K38" s="42">
        <f t="shared" si="12"/>
        <v>9921.9621752592921</v>
      </c>
      <c r="L38" s="42">
        <f t="shared" si="12"/>
        <v>13690.38305686845</v>
      </c>
      <c r="M38" s="42">
        <f t="shared" si="12"/>
        <v>17691.116884566494</v>
      </c>
      <c r="N38" s="42">
        <f t="shared" si="12"/>
        <v>22150.785692757301</v>
      </c>
      <c r="O38" s="42">
        <f t="shared" si="12"/>
        <v>26136.18803559375</v>
      </c>
      <c r="P38" s="42">
        <f t="shared" si="12"/>
        <v>29229.954217649083</v>
      </c>
      <c r="Q38" s="42">
        <f t="shared" si="12"/>
        <v>31352.947606002555</v>
      </c>
      <c r="R38" s="42">
        <f t="shared" si="12"/>
        <v>33407.614546000543</v>
      </c>
      <c r="S38" s="42">
        <f t="shared" si="12"/>
        <v>35168.453498045506</v>
      </c>
      <c r="T38" s="42">
        <f t="shared" si="12"/>
        <v>35972.770912390653</v>
      </c>
      <c r="U38" s="42">
        <f t="shared" si="12"/>
        <v>35641.654382727305</v>
      </c>
      <c r="V38" s="42">
        <f t="shared" si="12"/>
        <v>35922.259923847232</v>
      </c>
      <c r="W38" s="42">
        <f t="shared" si="12"/>
        <v>36128.603000956493</v>
      </c>
      <c r="X38" s="42">
        <f t="shared" si="12"/>
        <v>36440.348146730918</v>
      </c>
      <c r="Y38" s="42"/>
      <c r="AA38" s="42">
        <f>SUM(E38:Y38)</f>
        <v>415097.25272754981</v>
      </c>
    </row>
    <row r="40" spans="1:80">
      <c r="AA40"/>
      <c r="AB40"/>
      <c r="AC40"/>
      <c r="AD40"/>
    </row>
    <row r="41" spans="1:80" ht="15">
      <c r="A41" s="63" t="s">
        <v>73</v>
      </c>
      <c r="C41" s="72" t="str">
        <f>C8</f>
        <v>Aerator</v>
      </c>
      <c r="D41" s="72"/>
      <c r="E41" s="9" t="s">
        <v>277</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72" t="s">
        <v>74</v>
      </c>
      <c r="B42" s="72" t="s">
        <v>280</v>
      </c>
      <c r="C42" s="72">
        <v>1</v>
      </c>
      <c r="D42" s="72"/>
      <c r="E42" s="66">
        <f t="shared" ref="E42:X42" si="13">E11</f>
        <v>2016</v>
      </c>
      <c r="F42" s="67">
        <f t="shared" si="13"/>
        <v>2017</v>
      </c>
      <c r="G42" s="67">
        <f t="shared" si="13"/>
        <v>2018</v>
      </c>
      <c r="H42" s="67">
        <f t="shared" si="13"/>
        <v>2019</v>
      </c>
      <c r="I42" s="67">
        <f t="shared" si="13"/>
        <v>2020</v>
      </c>
      <c r="J42" s="67">
        <f t="shared" si="13"/>
        <v>2021</v>
      </c>
      <c r="K42" s="67">
        <f t="shared" si="13"/>
        <v>2022</v>
      </c>
      <c r="L42" s="67">
        <f t="shared" si="13"/>
        <v>2023</v>
      </c>
      <c r="M42" s="67">
        <f t="shared" si="13"/>
        <v>2024</v>
      </c>
      <c r="N42" s="67">
        <f t="shared" si="13"/>
        <v>2025</v>
      </c>
      <c r="O42" s="67">
        <f t="shared" si="13"/>
        <v>2026</v>
      </c>
      <c r="P42" s="67">
        <f t="shared" si="13"/>
        <v>2027</v>
      </c>
      <c r="Q42" s="67">
        <f t="shared" si="13"/>
        <v>2028</v>
      </c>
      <c r="R42" s="67">
        <f t="shared" si="13"/>
        <v>2029</v>
      </c>
      <c r="S42" s="67">
        <f t="shared" si="13"/>
        <v>2030</v>
      </c>
      <c r="T42" s="67">
        <f t="shared" si="13"/>
        <v>2031</v>
      </c>
      <c r="U42" s="67">
        <f t="shared" si="13"/>
        <v>2032</v>
      </c>
      <c r="V42" s="67">
        <f t="shared" si="13"/>
        <v>2033</v>
      </c>
      <c r="W42" s="67">
        <f t="shared" si="13"/>
        <v>2034</v>
      </c>
      <c r="X42" s="67">
        <f t="shared" si="13"/>
        <v>2035</v>
      </c>
      <c r="Y42" s="68" t="s">
        <v>70</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72" t="str">
        <f>M_Input_Out!C3</f>
        <v>Busbar Savings</v>
      </c>
      <c r="B43" s="72" t="s">
        <v>75</v>
      </c>
      <c r="C43" s="72" t="s">
        <v>76</v>
      </c>
      <c r="D43" s="72" t="s">
        <v>77</v>
      </c>
      <c r="E43" s="69" t="str">
        <f>CONCATENATE("aMW_",E$11)</f>
        <v>aMW_2016</v>
      </c>
      <c r="F43" s="70" t="str">
        <f t="shared" ref="F43:X43" si="14">CONCATENATE("aMW_",F$11)</f>
        <v>aMW_2017</v>
      </c>
      <c r="G43" s="70" t="str">
        <f t="shared" si="14"/>
        <v>aMW_2018</v>
      </c>
      <c r="H43" s="70" t="str">
        <f t="shared" si="14"/>
        <v>aMW_2019</v>
      </c>
      <c r="I43" s="70" t="str">
        <f t="shared" si="14"/>
        <v>aMW_2020</v>
      </c>
      <c r="J43" s="70" t="str">
        <f t="shared" si="14"/>
        <v>aMW_2021</v>
      </c>
      <c r="K43" s="70" t="str">
        <f t="shared" si="14"/>
        <v>aMW_2022</v>
      </c>
      <c r="L43" s="70" t="str">
        <f t="shared" si="14"/>
        <v>aMW_2023</v>
      </c>
      <c r="M43" s="70" t="str">
        <f t="shared" si="14"/>
        <v>aMW_2024</v>
      </c>
      <c r="N43" s="70" t="str">
        <f t="shared" si="14"/>
        <v>aMW_2025</v>
      </c>
      <c r="O43" s="70" t="str">
        <f t="shared" si="14"/>
        <v>aMW_2026</v>
      </c>
      <c r="P43" s="70" t="str">
        <f t="shared" si="14"/>
        <v>aMW_2027</v>
      </c>
      <c r="Q43" s="70" t="str">
        <f t="shared" si="14"/>
        <v>aMW_2028</v>
      </c>
      <c r="R43" s="70" t="str">
        <f t="shared" si="14"/>
        <v>aMW_2029</v>
      </c>
      <c r="S43" s="70" t="str">
        <f t="shared" si="14"/>
        <v>aMW_2030</v>
      </c>
      <c r="T43" s="70" t="str">
        <f t="shared" si="14"/>
        <v>aMW_2031</v>
      </c>
      <c r="U43" s="70" t="str">
        <f t="shared" si="14"/>
        <v>aMW_2032</v>
      </c>
      <c r="V43" s="70" t="str">
        <f t="shared" si="14"/>
        <v>aMW_2033</v>
      </c>
      <c r="W43" s="70" t="str">
        <f t="shared" si="14"/>
        <v>aMW_2034</v>
      </c>
      <c r="X43" s="70" t="str">
        <f t="shared" si="14"/>
        <v>aMW_2035</v>
      </c>
      <c r="Y43" s="71" t="s">
        <v>70</v>
      </c>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65">
        <f>VLOOKUP(CONCATENATE($C44, " ",$D44),MeasureOutput,3,FALSE)</f>
        <v>72.337106520484056</v>
      </c>
      <c r="B44" s="65">
        <f>VLOOKUP(CONCATENATE($C44, " ",$D44),MeasureOutput,11,FALSE)</f>
        <v>-310.57246291587876</v>
      </c>
      <c r="C44" s="9" t="str">
        <f>C13</f>
        <v>Single Family</v>
      </c>
      <c r="D44" s="9" t="s">
        <v>339</v>
      </c>
      <c r="E44" s="36">
        <f>VLOOKUP($C44,$C$33:$Y$36,E$31,FALSE)*$C$42*$A44/8760/1000*VLOOKUP(RIGHT($D44,4),'Units Per Home'!$A$15:$B$16,2,FALSE)</f>
        <v>1.4776386934041339E-3</v>
      </c>
      <c r="F44" s="36">
        <f>VLOOKUP($C44,$C$33:$Y$36,F$31,FALSE)*$C$42*$A44/8760/1000*VLOOKUP(RIGHT($D44,4),'Units Per Home'!$A$15:$B$16,2,FALSE)</f>
        <v>3.635207295597573E-3</v>
      </c>
      <c r="G44" s="36">
        <f>VLOOKUP($C44,$C$33:$Y$36,G$31,FALSE)*$C$42*$A44/8760/1000*VLOOKUP(RIGHT($D44,4),'Units Per Home'!$A$15:$B$16,2,FALSE)</f>
        <v>7.6573543311964105E-3</v>
      </c>
      <c r="H44" s="36">
        <f>VLOOKUP($C44,$C$33:$Y$36,H$31,FALSE)*$C$42*$A44/8760/1000*VLOOKUP(RIGHT($D44,4),'Units Per Home'!$A$15:$B$16,2,FALSE)</f>
        <v>1.4539089101634388E-2</v>
      </c>
      <c r="I44" s="36">
        <f>VLOOKUP($C44,$C$33:$Y$36,I$31,FALSE)*$C$42*$A44/8760/1000*VLOOKUP(RIGHT($D44,4),'Units Per Home'!$A$15:$B$16,2,FALSE)</f>
        <v>2.4942648244169224E-2</v>
      </c>
      <c r="J44" s="36">
        <f>VLOOKUP($C44,$C$33:$Y$36,J$31,FALSE)*$C$42*$A44/8760/1000*VLOOKUP(RIGHT($D44,4),'Units Per Home'!$A$15:$B$16,2,FALSE)</f>
        <v>3.8164177670871553E-2</v>
      </c>
      <c r="K44" s="36">
        <f>VLOOKUP($C44,$C$33:$Y$36,K$31,FALSE)*$C$42*$A44/8760/1000*VLOOKUP(RIGHT($D44,4),'Units Per Home'!$A$15:$B$16,2,FALSE)</f>
        <v>5.491604397581392E-2</v>
      </c>
      <c r="L44" s="36">
        <f>VLOOKUP($C44,$C$33:$Y$36,L$31,FALSE)*$C$42*$A44/8760/1000*VLOOKUP(RIGHT($D44,4),'Units Per Home'!$A$15:$B$16,2,FALSE)</f>
        <v>7.5338145557795805E-2</v>
      </c>
      <c r="M44" s="36">
        <f>VLOOKUP($C44,$C$33:$Y$36,M$31,FALSE)*$C$42*$A44/8760/1000*VLOOKUP(RIGHT($D44,4),'Units Per Home'!$A$15:$B$16,2,FALSE)</f>
        <v>9.6607340732796906E-2</v>
      </c>
      <c r="N44" s="36">
        <f>VLOOKUP($C44,$C$33:$Y$36,N$31,FALSE)*$C$42*$A44/8760/1000*VLOOKUP(RIGHT($D44,4),'Units Per Home'!$A$15:$B$16,2,FALSE)</f>
        <v>0.12076213336929027</v>
      </c>
      <c r="O44" s="36">
        <f>VLOOKUP($C44,$C$33:$Y$36,O$31,FALSE)*$C$42*$A44/8760/1000*VLOOKUP(RIGHT($D44,4),'Units Per Home'!$A$15:$B$16,2,FALSE)</f>
        <v>0.14269366345052359</v>
      </c>
      <c r="P44" s="36">
        <f>VLOOKUP($C44,$C$33:$Y$36,P$31,FALSE)*$C$42*$A44/8760/1000*VLOOKUP(RIGHT($D44,4),'Units Per Home'!$A$15:$B$16,2,FALSE)</f>
        <v>0.15907692076206895</v>
      </c>
      <c r="Q44" s="36">
        <f>VLOOKUP($C44,$C$33:$Y$36,Q$31,FALSE)*$C$42*$A44/8760/1000*VLOOKUP(RIGHT($D44,4),'Units Per Home'!$A$15:$B$16,2,FALSE)</f>
        <v>0.16946604567877574</v>
      </c>
      <c r="R44" s="36">
        <f>VLOOKUP($C44,$C$33:$Y$36,R$31,FALSE)*$C$42*$A44/8760/1000*VLOOKUP(RIGHT($D44,4),'Units Per Home'!$A$15:$B$16,2,FALSE)</f>
        <v>0.18101126793613082</v>
      </c>
      <c r="S44" s="36">
        <f>VLOOKUP($C44,$C$33:$Y$36,S$31,FALSE)*$C$42*$A44/8760/1000*VLOOKUP(RIGHT($D44,4),'Units Per Home'!$A$15:$B$16,2,FALSE)</f>
        <v>0.19159877128059863</v>
      </c>
      <c r="T44" s="36">
        <f>VLOOKUP($C44,$C$33:$Y$36,T$31,FALSE)*$C$42*$A44/8760/1000*VLOOKUP(RIGHT($D44,4),'Units Per Home'!$A$15:$B$16,2,FALSE)</f>
        <v>0.196689098284896</v>
      </c>
      <c r="U44" s="36">
        <f>VLOOKUP($C44,$C$33:$Y$36,U$31,FALSE)*$C$42*$A44/8760/1000*VLOOKUP(RIGHT($D44,4),'Units Per Home'!$A$15:$B$16,2,FALSE)</f>
        <v>0.1939905678887372</v>
      </c>
      <c r="V44" s="36">
        <f>VLOOKUP($C44,$C$33:$Y$36,V$31,FALSE)*$C$42*$A44/8760/1000*VLOOKUP(RIGHT($D44,4),'Units Per Home'!$A$15:$B$16,2,FALSE)</f>
        <v>0.19607781548653361</v>
      </c>
      <c r="W44" s="36">
        <f>VLOOKUP($C44,$C$33:$Y$36,W$31,FALSE)*$C$42*$A44/8760/1000*VLOOKUP(RIGHT($D44,4),'Units Per Home'!$A$15:$B$16,2,FALSE)</f>
        <v>0.19805207779034792</v>
      </c>
      <c r="X44" s="36">
        <f>VLOOKUP($C44,$C$33:$Y$36,X$31,FALSE)*$C$42*$A44/8760/1000*VLOOKUP(RIGHT($D44,4),'Units Per Home'!$A$15:$B$16,2,FALSE)</f>
        <v>0.20026365510834995</v>
      </c>
      <c r="Y44" s="36">
        <f>SUM(E44:X44)</f>
        <v>2.266959662639533</v>
      </c>
      <c r="AA44" s="42">
        <f t="shared" ref="AA44:AA50" si="15">SUM(E44:Y44)</f>
        <v>4.5339193252790659</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65">
        <f>VLOOKUP(CONCATENATE($C45, " ",$D45),MeasureOutput,3,FALSE)</f>
        <v>87.60005099091866</v>
      </c>
      <c r="B45" s="65">
        <f>VLOOKUP(CONCATENATE($C45, " ",$D45),MeasureOutput,11,FALSE)</f>
        <v>-175.02096174204908</v>
      </c>
      <c r="C45" s="9" t="str">
        <f>C14</f>
        <v>Multifamily - Low Rise</v>
      </c>
      <c r="D45" s="9" t="s">
        <v>339</v>
      </c>
      <c r="E45" s="36">
        <f t="shared" ref="E45:E47" si="16">VLOOKUP($C45,$C$33:$Y$36,E$31,FALSE)*$C$42*$A45/8760/1000</f>
        <v>4.3103771271113441E-4</v>
      </c>
      <c r="F45" s="36">
        <f t="shared" ref="F45:U47" si="17">VLOOKUP($C45,$C$33:$Y$36,F$31,FALSE)*$C$42*$A45/8760/1000</f>
        <v>1.0960685487123264E-3</v>
      </c>
      <c r="G45" s="36">
        <f t="shared" si="17"/>
        <v>2.414086298393354E-3</v>
      </c>
      <c r="H45" s="36">
        <f t="shared" si="17"/>
        <v>4.5870483703140813E-3</v>
      </c>
      <c r="I45" s="36">
        <f t="shared" si="17"/>
        <v>7.6223786918948738E-3</v>
      </c>
      <c r="J45" s="36">
        <f t="shared" si="17"/>
        <v>1.1800991111948893E-2</v>
      </c>
      <c r="K45" s="36">
        <f t="shared" si="17"/>
        <v>1.7308809583132533E-2</v>
      </c>
      <c r="L45" s="36">
        <f t="shared" si="17"/>
        <v>2.4303351005398172E-2</v>
      </c>
      <c r="M45" s="36">
        <f t="shared" si="17"/>
        <v>3.2255385691262378E-2</v>
      </c>
      <c r="N45" s="36">
        <f t="shared" si="17"/>
        <v>4.0692932362511071E-2</v>
      </c>
      <c r="O45" s="36">
        <f t="shared" si="17"/>
        <v>4.7949039000697927E-2</v>
      </c>
      <c r="P45" s="36">
        <f t="shared" si="17"/>
        <v>5.4164338570556157E-2</v>
      </c>
      <c r="Q45" s="36">
        <f t="shared" si="17"/>
        <v>5.9366766947837907E-2</v>
      </c>
      <c r="R45" s="36">
        <f t="shared" si="17"/>
        <v>6.2656002213761511E-2</v>
      </c>
      <c r="S45" s="36">
        <f t="shared" si="17"/>
        <v>6.4765683067074642E-2</v>
      </c>
      <c r="T45" s="36">
        <f t="shared" si="17"/>
        <v>6.5405000788810841E-2</v>
      </c>
      <c r="U45" s="36">
        <f t="shared" si="17"/>
        <v>6.5577241638337003E-2</v>
      </c>
      <c r="V45" s="36">
        <f t="shared" ref="V45:X47" si="18">VLOOKUP($C45,$C$33:$Y$36,V$31,FALSE)*$C$42*$A45/8760/1000</f>
        <v>6.5554681825655409E-2</v>
      </c>
      <c r="W45" s="36">
        <f t="shared" si="18"/>
        <v>6.4775351372125894E-2</v>
      </c>
      <c r="X45" s="36">
        <f t="shared" si="18"/>
        <v>6.4810894993785576E-2</v>
      </c>
      <c r="Y45" s="36">
        <f t="shared" ref="Y45:Y48" si="19">SUM(E45:X45)</f>
        <v>0.75753708979492163</v>
      </c>
      <c r="AA45" s="42">
        <f t="shared" si="15"/>
        <v>1.5150741795898433</v>
      </c>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65">
        <f>VLOOKUP(CONCATENATE($C46, " ",$D46),MeasureOutput,3,FALSE)</f>
        <v>87.60005099091866</v>
      </c>
      <c r="B46" s="65">
        <f>VLOOKUP(CONCATENATE($C46, " ",$D46),MeasureOutput,11,FALSE)</f>
        <v>-175.02096174204908</v>
      </c>
      <c r="C46" s="9" t="str">
        <f t="shared" ref="C46:C47" si="20">C15</f>
        <v>Multifamily - High Rise</v>
      </c>
      <c r="D46" s="9" t="s">
        <v>339</v>
      </c>
      <c r="E46" s="36">
        <f t="shared" si="16"/>
        <v>9.6764278612612687E-5</v>
      </c>
      <c r="F46" s="36">
        <f t="shared" si="17"/>
        <v>2.495218096757841E-4</v>
      </c>
      <c r="G46" s="36">
        <f t="shared" si="17"/>
        <v>5.5784227606942396E-4</v>
      </c>
      <c r="H46" s="36">
        <f t="shared" si="17"/>
        <v>1.0355236628899571E-3</v>
      </c>
      <c r="I46" s="36">
        <f t="shared" si="17"/>
        <v>1.687418287438762E-3</v>
      </c>
      <c r="J46" s="36">
        <f t="shared" si="17"/>
        <v>2.6515920538029204E-3</v>
      </c>
      <c r="K46" s="36">
        <f t="shared" si="17"/>
        <v>3.9005729385623235E-3</v>
      </c>
      <c r="L46" s="36">
        <f t="shared" si="17"/>
        <v>5.5448859186999497E-3</v>
      </c>
      <c r="M46" s="36">
        <f t="shared" si="17"/>
        <v>7.307430296730439E-3</v>
      </c>
      <c r="N46" s="36">
        <f t="shared" si="17"/>
        <v>9.2179848132888202E-3</v>
      </c>
      <c r="O46" s="36">
        <f t="shared" si="17"/>
        <v>1.073092649612929E-2</v>
      </c>
      <c r="P46" s="36">
        <f t="shared" si="17"/>
        <v>1.2098450361342715E-2</v>
      </c>
      <c r="Q46" s="36">
        <f t="shared" si="17"/>
        <v>1.3146103712587693E-2</v>
      </c>
      <c r="R46" s="36">
        <f t="shared" si="17"/>
        <v>1.3983166464429184E-2</v>
      </c>
      <c r="S46" s="36">
        <f t="shared" si="17"/>
        <v>1.4522847541339999E-2</v>
      </c>
      <c r="T46" s="36">
        <f t="shared" si="17"/>
        <v>1.4655819192952701E-2</v>
      </c>
      <c r="U46" s="36">
        <f t="shared" si="17"/>
        <v>1.4712045297451062E-2</v>
      </c>
      <c r="V46" s="36">
        <f t="shared" si="18"/>
        <v>1.4552748840180809E-2</v>
      </c>
      <c r="W46" s="36">
        <f t="shared" si="18"/>
        <v>1.4606081122610564E-2</v>
      </c>
      <c r="X46" s="36">
        <f t="shared" si="18"/>
        <v>1.460276182050819E-2</v>
      </c>
      <c r="Y46" s="36">
        <f t="shared" si="19"/>
        <v>0.16986048718530319</v>
      </c>
      <c r="AA46" s="42"/>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65">
        <f>VLOOKUP(CONCATENATE($C47, " ",$D47),MeasureOutput,3,FALSE)</f>
        <v>107.50499261958046</v>
      </c>
      <c r="B47" s="65">
        <f>VLOOKUP(CONCATENATE($C47, " ",$D47),MeasureOutput,11,FALSE)</f>
        <v>-188.61824926443111</v>
      </c>
      <c r="C47" s="9" t="str">
        <f t="shared" si="20"/>
        <v>Manufactured</v>
      </c>
      <c r="D47" s="9" t="s">
        <v>339</v>
      </c>
      <c r="E47" s="36">
        <f t="shared" si="16"/>
        <v>6.1512253973209342E-5</v>
      </c>
      <c r="F47" s="36">
        <f t="shared" si="17"/>
        <v>1.5923794255774676E-4</v>
      </c>
      <c r="G47" s="36">
        <f t="shared" si="17"/>
        <v>3.6654847772367227E-4</v>
      </c>
      <c r="H47" s="36">
        <f t="shared" si="17"/>
        <v>7.4596635566935739E-4</v>
      </c>
      <c r="I47" s="36">
        <f t="shared" si="17"/>
        <v>1.2749525944643454E-3</v>
      </c>
      <c r="J47" s="36">
        <f t="shared" si="17"/>
        <v>2.0150914440155163E-3</v>
      </c>
      <c r="K47" s="36">
        <f t="shared" si="17"/>
        <v>2.992578320701972E-3</v>
      </c>
      <c r="L47" s="36">
        <f t="shared" si="17"/>
        <v>4.1484270172773251E-3</v>
      </c>
      <c r="M47" s="36">
        <f t="shared" si="17"/>
        <v>5.40453058604678E-3</v>
      </c>
      <c r="N47" s="36">
        <f t="shared" si="17"/>
        <v>6.6420578198849471E-3</v>
      </c>
      <c r="O47" s="36">
        <f t="shared" si="17"/>
        <v>7.7518204015258295E-3</v>
      </c>
      <c r="P47" s="36">
        <f t="shared" si="17"/>
        <v>8.7450234342261145E-3</v>
      </c>
      <c r="Q47" s="36">
        <f t="shared" si="17"/>
        <v>9.5832699591414487E-3</v>
      </c>
      <c r="R47" s="36">
        <f t="shared" si="17"/>
        <v>1.0236910637001292E-2</v>
      </c>
      <c r="S47" s="36">
        <f t="shared" si="17"/>
        <v>1.0714571557036359E-2</v>
      </c>
      <c r="T47" s="36">
        <f t="shared" si="17"/>
        <v>1.104091547708593E-2</v>
      </c>
      <c r="U47" s="36">
        <f t="shared" si="17"/>
        <v>1.1254334590332479E-2</v>
      </c>
      <c r="V47" s="36">
        <f t="shared" si="18"/>
        <v>1.1396179812141893E-2</v>
      </c>
      <c r="W47" s="36">
        <f t="shared" si="18"/>
        <v>1.1485253946588283E-2</v>
      </c>
      <c r="X47" s="36">
        <f t="shared" si="18"/>
        <v>1.153655614848282E-2</v>
      </c>
      <c r="Y47" s="36">
        <f t="shared" si="19"/>
        <v>0.12755573877587731</v>
      </c>
      <c r="AA47" s="42">
        <f t="shared" si="15"/>
        <v>0.25511147755175462</v>
      </c>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65">
        <f>VLOOKUP(CONCATENATE($C48, " ",$D48),MeasureOutput,3,FALSE)</f>
        <v>68.226290676354807</v>
      </c>
      <c r="B48" s="65">
        <f>VLOOKUP(CONCATENATE($C48, " ",$D48),MeasureOutput,11,FALSE)</f>
        <v>-311.43735778033295</v>
      </c>
      <c r="C48" s="9" t="s">
        <v>48</v>
      </c>
      <c r="D48" s="9" t="s">
        <v>285</v>
      </c>
      <c r="E48" s="36">
        <f>VLOOKUP($C48,$C$33:$Y$36,E$31,FALSE)*$C$42*$A48/8760/1000*VLOOKUP(RIGHT($D48,4),'Units Per Home'!$A$15:$B$16,2,FALSE)</f>
        <v>1.900454411424973E-4</v>
      </c>
      <c r="F48" s="36">
        <f>VLOOKUP($C48,$C$33:$Y$36,F$31,FALSE)*$C$42*$A48/8760/1000*VLOOKUP(RIGHT($D48,4),'Units Per Home'!$A$15:$B$16,2,FALSE)</f>
        <v>4.67539580020538E-4</v>
      </c>
      <c r="G48" s="36">
        <f>VLOOKUP($C48,$C$33:$Y$36,G$31,FALSE)*$C$42*$A48/8760/1000*VLOOKUP(RIGHT($D48,4),'Units Per Home'!$A$15:$B$16,2,FALSE)</f>
        <v>9.8484513728054135E-4</v>
      </c>
      <c r="H48" s="36">
        <f>VLOOKUP($C48,$C$33:$Y$36,H$31,FALSE)*$C$42*$A48/8760/1000*VLOOKUP(RIGHT($D48,4),'Units Per Home'!$A$15:$B$16,2,FALSE)</f>
        <v>1.8699345208433023E-3</v>
      </c>
      <c r="I48" s="36">
        <f>VLOOKUP($C48,$C$33:$Y$36,I$31,FALSE)*$C$42*$A48/8760/1000*VLOOKUP(RIGHT($D48,4),'Units Per Home'!$A$15:$B$16,2,FALSE)</f>
        <v>3.2079808210117187E-3</v>
      </c>
      <c r="J48" s="36">
        <f>VLOOKUP($C48,$C$33:$Y$36,J$31,FALSE)*$C$42*$A48/8760/1000*VLOOKUP(RIGHT($D48,4),'Units Per Home'!$A$15:$B$16,2,FALSE)</f>
        <v>4.9084583489028572E-3</v>
      </c>
      <c r="K48" s="36">
        <f>VLOOKUP($C48,$C$33:$Y$36,K$31,FALSE)*$C$42*$A48/8760/1000*VLOOKUP(RIGHT($D48,4),'Units Per Home'!$A$15:$B$16,2,FALSE)</f>
        <v>7.0629876232741196E-3</v>
      </c>
      <c r="L48" s="36">
        <f>VLOOKUP($C48,$C$33:$Y$36,L$31,FALSE)*$C$42*$A48/8760/1000*VLOOKUP(RIGHT($D48,4),'Units Per Home'!$A$15:$B$16,2,FALSE)</f>
        <v>9.6895615763853693E-3</v>
      </c>
      <c r="M48" s="36">
        <f>VLOOKUP($C48,$C$33:$Y$36,M$31,FALSE)*$C$42*$A48/8760/1000*VLOOKUP(RIGHT($D48,4),'Units Per Home'!$A$15:$B$16,2,FALSE)</f>
        <v>1.2425083864629512E-2</v>
      </c>
      <c r="N48" s="36">
        <f>VLOOKUP($C48,$C$33:$Y$36,N$31,FALSE)*$C$42*$A48/8760/1000*VLOOKUP(RIGHT($D48,4),'Units Per Home'!$A$15:$B$16,2,FALSE)</f>
        <v>1.5531735201521936E-2</v>
      </c>
      <c r="O48" s="36">
        <f>VLOOKUP($C48,$C$33:$Y$36,O$31,FALSE)*$C$42*$A48/8760/1000*VLOOKUP(RIGHT($D48,4),'Units Per Home'!$A$15:$B$16,2,FALSE)</f>
        <v>1.8352443218862678E-2</v>
      </c>
      <c r="P48" s="36">
        <f>VLOOKUP($C48,$C$33:$Y$36,P$31,FALSE)*$C$42*$A48/8760/1000*VLOOKUP(RIGHT($D48,4),'Units Per Home'!$A$15:$B$16,2,FALSE)</f>
        <v>2.0459564111826541E-2</v>
      </c>
      <c r="Q48" s="36">
        <f>VLOOKUP($C48,$C$33:$Y$36,Q$31,FALSE)*$C$42*$A48/8760/1000*VLOOKUP(RIGHT($D48,4),'Units Per Home'!$A$15:$B$16,2,FALSE)</f>
        <v>2.1795753964388868E-2</v>
      </c>
      <c r="R48" s="36">
        <f>VLOOKUP($C48,$C$33:$Y$36,R$31,FALSE)*$C$42*$A48/8760/1000*VLOOKUP(RIGHT($D48,4),'Units Per Home'!$A$15:$B$16,2,FALSE)</f>
        <v>2.3280634447541679E-2</v>
      </c>
      <c r="S48" s="36">
        <f>VLOOKUP($C48,$C$33:$Y$36,S$31,FALSE)*$C$42*$A48/8760/1000*VLOOKUP(RIGHT($D48,4),'Units Per Home'!$A$15:$B$16,2,FALSE)</f>
        <v>2.4642338599360845E-2</v>
      </c>
      <c r="T48" s="36">
        <f>VLOOKUP($C48,$C$33:$Y$36,T$31,FALSE)*$C$42*$A48/8760/1000*VLOOKUP(RIGHT($D48,4),'Units Per Home'!$A$15:$B$16,2,FALSE)</f>
        <v>2.529702735745137E-2</v>
      </c>
      <c r="U48" s="36">
        <f>VLOOKUP($C48,$C$33:$Y$36,U$31,FALSE)*$C$42*$A48/8760/1000*VLOOKUP(RIGHT($D48,4),'Units Per Home'!$A$15:$B$16,2,FALSE)</f>
        <v>2.4949957805291113E-2</v>
      </c>
      <c r="V48" s="36">
        <f>VLOOKUP($C48,$C$33:$Y$36,V$31,FALSE)*$C$42*$A48/8760/1000*VLOOKUP(RIGHT($D48,4),'Units Per Home'!$A$15:$B$16,2,FALSE)</f>
        <v>2.5218407658606067E-2</v>
      </c>
      <c r="W48" s="36">
        <f>VLOOKUP($C48,$C$33:$Y$36,W$31,FALSE)*$C$42*$A48/8760/1000*VLOOKUP(RIGHT($D48,4),'Units Per Home'!$A$15:$B$16,2,FALSE)</f>
        <v>2.5472325989341588E-2</v>
      </c>
      <c r="X48" s="36">
        <f>VLOOKUP($C48,$C$33:$Y$36,X$31,FALSE)*$C$42*$A48/8760/1000*VLOOKUP(RIGHT($D48,4),'Units Per Home'!$A$15:$B$16,2,FALSE)</f>
        <v>2.5756766420481195E-2</v>
      </c>
      <c r="Y48" s="36">
        <f t="shared" si="19"/>
        <v>0.29156339168816431</v>
      </c>
      <c r="AA48" s="42"/>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A49" s="42"/>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B50" s="75">
        <f>SUMPRODUCT(B44:B47,AA44:AA47)/SUM(AA44:AA47)</f>
        <v>-273.06000084063749</v>
      </c>
      <c r="E50" s="36">
        <f>SUM(E44:E48)</f>
        <v>2.2569983798435877E-3</v>
      </c>
      <c r="F50" s="36">
        <f>SUM(F44:F48)</f>
        <v>5.6075751765639684E-3</v>
      </c>
      <c r="G50" s="36">
        <f t="shared" ref="F50:Y50" si="21">SUM(G44:G48)</f>
        <v>1.1980676520663402E-2</v>
      </c>
      <c r="H50" s="36">
        <f t="shared" si="21"/>
        <v>2.2777562011351084E-2</v>
      </c>
      <c r="I50" s="36">
        <f t="shared" si="21"/>
        <v>3.8735378638978926E-2</v>
      </c>
      <c r="J50" s="36">
        <f t="shared" si="21"/>
        <v>5.9540310629541737E-2</v>
      </c>
      <c r="K50" s="36">
        <f t="shared" si="21"/>
        <v>8.6180992441484874E-2</v>
      </c>
      <c r="L50" s="36">
        <f t="shared" si="21"/>
        <v>0.11902437107555662</v>
      </c>
      <c r="M50" s="36">
        <f t="shared" si="21"/>
        <v>0.15399977117146602</v>
      </c>
      <c r="N50" s="36">
        <f t="shared" si="21"/>
        <v>0.19284684356649703</v>
      </c>
      <c r="O50" s="36">
        <f t="shared" si="21"/>
        <v>0.22747789256773929</v>
      </c>
      <c r="P50" s="36">
        <f t="shared" si="21"/>
        <v>0.25454429724002048</v>
      </c>
      <c r="Q50" s="36">
        <f t="shared" si="21"/>
        <v>0.27335794026273169</v>
      </c>
      <c r="R50" s="36">
        <f t="shared" si="21"/>
        <v>0.29116798169886449</v>
      </c>
      <c r="S50" s="36">
        <f t="shared" si="21"/>
        <v>0.30624421204541047</v>
      </c>
      <c r="T50" s="36">
        <f t="shared" si="21"/>
        <v>0.31308786110119685</v>
      </c>
      <c r="U50" s="36">
        <f t="shared" si="21"/>
        <v>0.31048414722014889</v>
      </c>
      <c r="V50" s="36">
        <f t="shared" si="21"/>
        <v>0.31279983362311781</v>
      </c>
      <c r="W50" s="36">
        <f t="shared" si="21"/>
        <v>0.31439109022101425</v>
      </c>
      <c r="X50" s="36">
        <f t="shared" si="21"/>
        <v>0.31697063449160773</v>
      </c>
      <c r="Y50" s="36">
        <f t="shared" si="21"/>
        <v>3.6134763700837991</v>
      </c>
      <c r="AA50" s="42">
        <f t="shared" si="15"/>
        <v>7.2269527401675981</v>
      </c>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E51" s="36">
        <f>E50</f>
        <v>2.2569983798435877E-3</v>
      </c>
      <c r="F51" s="36">
        <f>F50+E51</f>
        <v>7.8645735564075551E-3</v>
      </c>
      <c r="G51" s="36">
        <f t="shared" ref="G51:X51" si="22">G50+F51</f>
        <v>1.9845250077070956E-2</v>
      </c>
      <c r="H51" s="36">
        <f t="shared" si="22"/>
        <v>4.2622812088422043E-2</v>
      </c>
      <c r="I51" s="36">
        <f t="shared" si="22"/>
        <v>8.135819072740097E-2</v>
      </c>
      <c r="J51" s="36">
        <f t="shared" si="22"/>
        <v>0.14089850135694271</v>
      </c>
      <c r="K51" s="36">
        <f t="shared" si="22"/>
        <v>0.22707949379842757</v>
      </c>
      <c r="L51" s="36">
        <f t="shared" si="22"/>
        <v>0.3461038648739842</v>
      </c>
      <c r="M51" s="36">
        <f t="shared" si="22"/>
        <v>0.50010363604545027</v>
      </c>
      <c r="N51" s="36">
        <f t="shared" si="22"/>
        <v>0.69295047961194733</v>
      </c>
      <c r="O51" s="36">
        <f t="shared" si="22"/>
        <v>0.92042837217968665</v>
      </c>
      <c r="P51" s="36">
        <f t="shared" si="22"/>
        <v>1.1749726694197071</v>
      </c>
      <c r="Q51" s="36">
        <f t="shared" si="22"/>
        <v>1.4483306096824389</v>
      </c>
      <c r="R51" s="36">
        <f t="shared" si="22"/>
        <v>1.7394985913813032</v>
      </c>
      <c r="S51" s="36">
        <f t="shared" si="22"/>
        <v>2.0457428034267138</v>
      </c>
      <c r="T51" s="36">
        <f t="shared" si="22"/>
        <v>2.3588306645279107</v>
      </c>
      <c r="U51" s="36">
        <f t="shared" si="22"/>
        <v>2.6693148117480594</v>
      </c>
      <c r="V51" s="36">
        <f t="shared" si="22"/>
        <v>2.9821146453711771</v>
      </c>
      <c r="W51" s="36">
        <f t="shared" si="22"/>
        <v>3.2965057355921914</v>
      </c>
      <c r="X51" s="36">
        <f t="shared" si="22"/>
        <v>3.6134763700837991</v>
      </c>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ht="15">
      <c r="A53" s="63" t="s">
        <v>78</v>
      </c>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ht="15">
      <c r="E54" s="66">
        <f t="shared" ref="E54:X54" si="23">E11</f>
        <v>2016</v>
      </c>
      <c r="F54" s="67">
        <f t="shared" si="23"/>
        <v>2017</v>
      </c>
      <c r="G54" s="67">
        <f t="shared" si="23"/>
        <v>2018</v>
      </c>
      <c r="H54" s="67">
        <f t="shared" si="23"/>
        <v>2019</v>
      </c>
      <c r="I54" s="67">
        <f t="shared" si="23"/>
        <v>2020</v>
      </c>
      <c r="J54" s="67">
        <f t="shared" si="23"/>
        <v>2021</v>
      </c>
      <c r="K54" s="67">
        <f t="shared" si="23"/>
        <v>2022</v>
      </c>
      <c r="L54" s="67">
        <f t="shared" si="23"/>
        <v>2023</v>
      </c>
      <c r="M54" s="67">
        <f t="shared" si="23"/>
        <v>2024</v>
      </c>
      <c r="N54" s="67">
        <f t="shared" si="23"/>
        <v>2025</v>
      </c>
      <c r="O54" s="67">
        <f t="shared" si="23"/>
        <v>2026</v>
      </c>
      <c r="P54" s="67">
        <f t="shared" si="23"/>
        <v>2027</v>
      </c>
      <c r="Q54" s="67">
        <f t="shared" si="23"/>
        <v>2028</v>
      </c>
      <c r="R54" s="67">
        <f t="shared" si="23"/>
        <v>2029</v>
      </c>
      <c r="S54" s="67">
        <f t="shared" si="23"/>
        <v>2030</v>
      </c>
      <c r="T54" s="67">
        <f t="shared" si="23"/>
        <v>2031</v>
      </c>
      <c r="U54" s="67">
        <f t="shared" si="23"/>
        <v>2032</v>
      </c>
      <c r="V54" s="67">
        <f t="shared" si="23"/>
        <v>2033</v>
      </c>
      <c r="W54" s="67">
        <f t="shared" si="23"/>
        <v>2034</v>
      </c>
      <c r="X54" s="67">
        <f t="shared" si="23"/>
        <v>2035</v>
      </c>
      <c r="Y54" s="68" t="s">
        <v>70</v>
      </c>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ht="15">
      <c r="C55" s="57" t="s">
        <v>75</v>
      </c>
      <c r="D55" s="57" t="s">
        <v>75</v>
      </c>
      <c r="E55" s="69" t="str">
        <f>CONCATENATE("aMW_",E$11)</f>
        <v>aMW_2016</v>
      </c>
      <c r="F55" s="70" t="str">
        <f t="shared" ref="F55:X55" si="24">CONCATENATE("aMW_",F$11)</f>
        <v>aMW_2017</v>
      </c>
      <c r="G55" s="70" t="str">
        <f t="shared" si="24"/>
        <v>aMW_2018</v>
      </c>
      <c r="H55" s="70" t="str">
        <f t="shared" si="24"/>
        <v>aMW_2019</v>
      </c>
      <c r="I55" s="70" t="str">
        <f t="shared" si="24"/>
        <v>aMW_2020</v>
      </c>
      <c r="J55" s="70" t="str">
        <f t="shared" si="24"/>
        <v>aMW_2021</v>
      </c>
      <c r="K55" s="70" t="str">
        <f t="shared" si="24"/>
        <v>aMW_2022</v>
      </c>
      <c r="L55" s="70" t="str">
        <f t="shared" si="24"/>
        <v>aMW_2023</v>
      </c>
      <c r="M55" s="70" t="str">
        <f t="shared" si="24"/>
        <v>aMW_2024</v>
      </c>
      <c r="N55" s="70" t="str">
        <f t="shared" si="24"/>
        <v>aMW_2025</v>
      </c>
      <c r="O55" s="70" t="str">
        <f t="shared" si="24"/>
        <v>aMW_2026</v>
      </c>
      <c r="P55" s="70" t="str">
        <f t="shared" si="24"/>
        <v>aMW_2027</v>
      </c>
      <c r="Q55" s="70" t="str">
        <f t="shared" si="24"/>
        <v>aMW_2028</v>
      </c>
      <c r="R55" s="70" t="str">
        <f t="shared" si="24"/>
        <v>aMW_2029</v>
      </c>
      <c r="S55" s="70" t="str">
        <f t="shared" si="24"/>
        <v>aMW_2030</v>
      </c>
      <c r="T55" s="70" t="str">
        <f t="shared" si="24"/>
        <v>aMW_2031</v>
      </c>
      <c r="U55" s="70" t="str">
        <f t="shared" si="24"/>
        <v>aMW_2032</v>
      </c>
      <c r="V55" s="70" t="str">
        <f t="shared" si="24"/>
        <v>aMW_2033</v>
      </c>
      <c r="W55" s="70" t="str">
        <f t="shared" si="24"/>
        <v>aMW_2034</v>
      </c>
      <c r="X55" s="70" t="str">
        <f t="shared" si="24"/>
        <v>aMW_2035</v>
      </c>
      <c r="Y55" s="71" t="s">
        <v>70</v>
      </c>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B56" s="9" t="s">
        <v>79</v>
      </c>
      <c r="C56" s="58" t="s">
        <v>80</v>
      </c>
      <c r="D56" s="58" t="s">
        <v>81</v>
      </c>
      <c r="E56" s="36">
        <f>DSUM($B$43:$Y$48,E$43,$C$55:$D56)</f>
        <v>2.2569983798435877E-3</v>
      </c>
      <c r="F56" s="36">
        <f>DSUM($B$43:$Y$48,F$43,$C$55:$D56)</f>
        <v>5.6075751765639684E-3</v>
      </c>
      <c r="G56" s="36">
        <f>DSUM($B$43:$Y$48,G$43,$C$55:$D56)</f>
        <v>1.1980676520663402E-2</v>
      </c>
      <c r="H56" s="36">
        <f>DSUM($B$43:$Y$48,H$43,$C$55:$D56)</f>
        <v>2.2777562011351084E-2</v>
      </c>
      <c r="I56" s="36">
        <f>DSUM($B$43:$Y$48,I$43,$C$55:$D56)</f>
        <v>3.8735378638978926E-2</v>
      </c>
      <c r="J56" s="36">
        <f>DSUM($B$43:$Y$48,J$43,$C$55:$D56)</f>
        <v>5.9540310629541737E-2</v>
      </c>
      <c r="K56" s="36">
        <f>DSUM($B$43:$Y$48,K$43,$C$55:$D56)</f>
        <v>8.6180992441484874E-2</v>
      </c>
      <c r="L56" s="36">
        <f>DSUM($B$43:$Y$48,L$43,$C$55:$D56)</f>
        <v>0.11902437107555662</v>
      </c>
      <c r="M56" s="36">
        <f>DSUM($B$43:$Y$48,M$43,$C$55:$D56)</f>
        <v>0.15399977117146602</v>
      </c>
      <c r="N56" s="36">
        <f>DSUM($B$43:$Y$48,N$43,$C$55:$D56)</f>
        <v>0.19284684356649703</v>
      </c>
      <c r="O56" s="36">
        <f>DSUM($B$43:$Y$48,O$43,$C$55:$D56)</f>
        <v>0.22747789256773929</v>
      </c>
      <c r="P56" s="36">
        <f>DSUM($B$43:$Y$48,P$43,$C$55:$D56)</f>
        <v>0.25454429724002048</v>
      </c>
      <c r="Q56" s="36">
        <f>DSUM($B$43:$Y$48,Q$43,$C$55:$D56)</f>
        <v>0.27335794026273169</v>
      </c>
      <c r="R56" s="36">
        <f>DSUM($B$43:$Y$48,R$43,$C$55:$D56)</f>
        <v>0.29116798169886449</v>
      </c>
      <c r="S56" s="36">
        <f>DSUM($B$43:$Y$48,S$43,$C$55:$D56)</f>
        <v>0.30624421204541047</v>
      </c>
      <c r="T56" s="36">
        <f>DSUM($B$43:$Y$48,T$43,$C$55:$D56)</f>
        <v>0.31308786110119685</v>
      </c>
      <c r="U56" s="36">
        <f>DSUM($B$43:$Y$48,U$43,$C$55:$D56)</f>
        <v>0.31048414722014889</v>
      </c>
      <c r="V56" s="36">
        <f>DSUM($B$43:$Y$48,V$43,$C$55:$D56)</f>
        <v>0.31279983362311781</v>
      </c>
      <c r="W56" s="36">
        <f>DSUM($B$43:$Y$48,W$43,$C$55:$D56)</f>
        <v>0.31439109022101425</v>
      </c>
      <c r="X56" s="36">
        <f>DSUM($B$43:$Y$48,X$43,$C$55:$D56)</f>
        <v>0.31697063449160773</v>
      </c>
      <c r="Y56" s="36">
        <f>DSUM($B$43:$Y$48,Y$43,$C$55:$D56)</f>
        <v>3.6134763700837991</v>
      </c>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B57" s="9" t="s">
        <v>327</v>
      </c>
      <c r="C57" s="58" t="s">
        <v>82</v>
      </c>
      <c r="D57" s="58" t="s">
        <v>83</v>
      </c>
      <c r="E57" s="36">
        <f>DSUM($B$43:$Y$48,E$43,$C$55:$D57)</f>
        <v>2.2569983798435877E-3</v>
      </c>
      <c r="F57" s="36">
        <f>DSUM($B$43:$Y$48,F$43,$C$55:$D57)</f>
        <v>5.6075751765639684E-3</v>
      </c>
      <c r="G57" s="36">
        <f>DSUM($B$43:$Y$48,G$43,$C$55:$D57)</f>
        <v>1.1980676520663402E-2</v>
      </c>
      <c r="H57" s="36">
        <f>DSUM($B$43:$Y$48,H$43,$C$55:$D57)</f>
        <v>2.2777562011351084E-2</v>
      </c>
      <c r="I57" s="36">
        <f>DSUM($B$43:$Y$48,I$43,$C$55:$D57)</f>
        <v>3.8735378638978926E-2</v>
      </c>
      <c r="J57" s="36">
        <f>DSUM($B$43:$Y$48,J$43,$C$55:$D57)</f>
        <v>5.9540310629541737E-2</v>
      </c>
      <c r="K57" s="36">
        <f>DSUM($B$43:$Y$48,K$43,$C$55:$D57)</f>
        <v>8.6180992441484874E-2</v>
      </c>
      <c r="L57" s="36">
        <f>DSUM($B$43:$Y$48,L$43,$C$55:$D57)</f>
        <v>0.11902437107555662</v>
      </c>
      <c r="M57" s="36">
        <f>DSUM($B$43:$Y$48,M$43,$C$55:$D57)</f>
        <v>0.15399977117146602</v>
      </c>
      <c r="N57" s="36">
        <f>DSUM($B$43:$Y$48,N$43,$C$55:$D57)</f>
        <v>0.19284684356649703</v>
      </c>
      <c r="O57" s="36">
        <f>DSUM($B$43:$Y$48,O$43,$C$55:$D57)</f>
        <v>0.22747789256773929</v>
      </c>
      <c r="P57" s="36">
        <f>DSUM($B$43:$Y$48,P$43,$C$55:$D57)</f>
        <v>0.25454429724002048</v>
      </c>
      <c r="Q57" s="36">
        <f>DSUM($B$43:$Y$48,Q$43,$C$55:$D57)</f>
        <v>0.27335794026273169</v>
      </c>
      <c r="R57" s="36">
        <f>DSUM($B$43:$Y$48,R$43,$C$55:$D57)</f>
        <v>0.29116798169886449</v>
      </c>
      <c r="S57" s="36">
        <f>DSUM($B$43:$Y$48,S$43,$C$55:$D57)</f>
        <v>0.30624421204541047</v>
      </c>
      <c r="T57" s="36">
        <f>DSUM($B$43:$Y$48,T$43,$C$55:$D57)</f>
        <v>0.31308786110119685</v>
      </c>
      <c r="U57" s="36">
        <f>DSUM($B$43:$Y$48,U$43,$C$55:$D57)</f>
        <v>0.31048414722014889</v>
      </c>
      <c r="V57" s="36">
        <f>DSUM($B$43:$Y$48,V$43,$C$55:$D57)</f>
        <v>0.31279983362311781</v>
      </c>
      <c r="W57" s="36">
        <f>DSUM($B$43:$Y$48,W$43,$C$55:$D57)</f>
        <v>0.31439109022101425</v>
      </c>
      <c r="X57" s="36">
        <f>DSUM($B$43:$Y$48,X$43,$C$55:$D57)</f>
        <v>0.31697063449160773</v>
      </c>
      <c r="Y57" s="36">
        <f>DSUM($B$43:$Y$48,Y$43,$C$55:$D57)</f>
        <v>3.6134763700837991</v>
      </c>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B58" s="9" t="s">
        <v>84</v>
      </c>
      <c r="C58" s="58" t="s">
        <v>85</v>
      </c>
      <c r="D58" s="58" t="s">
        <v>86</v>
      </c>
      <c r="E58" s="36">
        <f>DSUM($B$43:$Y$48,E$43,$C$55:$D58)</f>
        <v>2.2569983798435877E-3</v>
      </c>
      <c r="F58" s="36">
        <f>DSUM($B$43:$Y$48,F$43,$C$55:$D58)</f>
        <v>5.6075751765639684E-3</v>
      </c>
      <c r="G58" s="36">
        <f>DSUM($B$43:$Y$48,G$43,$C$55:$D58)</f>
        <v>1.1980676520663402E-2</v>
      </c>
      <c r="H58" s="36">
        <f>DSUM($B$43:$Y$48,H$43,$C$55:$D58)</f>
        <v>2.2777562011351084E-2</v>
      </c>
      <c r="I58" s="36">
        <f>DSUM($B$43:$Y$48,I$43,$C$55:$D58)</f>
        <v>3.8735378638978926E-2</v>
      </c>
      <c r="J58" s="36">
        <f>DSUM($B$43:$Y$48,J$43,$C$55:$D58)</f>
        <v>5.9540310629541737E-2</v>
      </c>
      <c r="K58" s="36">
        <f>DSUM($B$43:$Y$48,K$43,$C$55:$D58)</f>
        <v>8.6180992441484874E-2</v>
      </c>
      <c r="L58" s="36">
        <f>DSUM($B$43:$Y$48,L$43,$C$55:$D58)</f>
        <v>0.11902437107555662</v>
      </c>
      <c r="M58" s="36">
        <f>DSUM($B$43:$Y$48,M$43,$C$55:$D58)</f>
        <v>0.15399977117146602</v>
      </c>
      <c r="N58" s="36">
        <f>DSUM($B$43:$Y$48,N$43,$C$55:$D58)</f>
        <v>0.19284684356649703</v>
      </c>
      <c r="O58" s="36">
        <f>DSUM($B$43:$Y$48,O$43,$C$55:$D58)</f>
        <v>0.22747789256773929</v>
      </c>
      <c r="P58" s="36">
        <f>DSUM($B$43:$Y$48,P$43,$C$55:$D58)</f>
        <v>0.25454429724002048</v>
      </c>
      <c r="Q58" s="36">
        <f>DSUM($B$43:$Y$48,Q$43,$C$55:$D58)</f>
        <v>0.27335794026273169</v>
      </c>
      <c r="R58" s="36">
        <f>DSUM($B$43:$Y$48,R$43,$C$55:$D58)</f>
        <v>0.29116798169886449</v>
      </c>
      <c r="S58" s="36">
        <f>DSUM($B$43:$Y$48,S$43,$C$55:$D58)</f>
        <v>0.30624421204541047</v>
      </c>
      <c r="T58" s="36">
        <f>DSUM($B$43:$Y$48,T$43,$C$55:$D58)</f>
        <v>0.31308786110119685</v>
      </c>
      <c r="U58" s="36">
        <f>DSUM($B$43:$Y$48,U$43,$C$55:$D58)</f>
        <v>0.31048414722014889</v>
      </c>
      <c r="V58" s="36">
        <f>DSUM($B$43:$Y$48,V$43,$C$55:$D58)</f>
        <v>0.31279983362311781</v>
      </c>
      <c r="W58" s="36">
        <f>DSUM($B$43:$Y$48,W$43,$C$55:$D58)</f>
        <v>0.31439109022101425</v>
      </c>
      <c r="X58" s="36">
        <f>DSUM($B$43:$Y$48,X$43,$C$55:$D58)</f>
        <v>0.31697063449160773</v>
      </c>
      <c r="Y58" s="36">
        <f>DSUM($B$43:$Y$48,Y$43,$C$55:$D58)</f>
        <v>3.6134763700837991</v>
      </c>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B59" s="9" t="s">
        <v>87</v>
      </c>
      <c r="C59" s="58" t="s">
        <v>88</v>
      </c>
      <c r="D59" s="58" t="s">
        <v>89</v>
      </c>
      <c r="E59" s="36">
        <f>DSUM($B$43:$Y$48,E$43,$C$55:$D59)</f>
        <v>2.2569983798435877E-3</v>
      </c>
      <c r="F59" s="36">
        <f>DSUM($B$43:$Y$48,F$43,$C$55:$D59)</f>
        <v>5.6075751765639684E-3</v>
      </c>
      <c r="G59" s="36">
        <f>DSUM($B$43:$Y$48,G$43,$C$55:$D59)</f>
        <v>1.1980676520663402E-2</v>
      </c>
      <c r="H59" s="36">
        <f>DSUM($B$43:$Y$48,H$43,$C$55:$D59)</f>
        <v>2.2777562011351084E-2</v>
      </c>
      <c r="I59" s="36">
        <f>DSUM($B$43:$Y$48,I$43,$C$55:$D59)</f>
        <v>3.8735378638978926E-2</v>
      </c>
      <c r="J59" s="36">
        <f>DSUM($B$43:$Y$48,J$43,$C$55:$D59)</f>
        <v>5.9540310629541737E-2</v>
      </c>
      <c r="K59" s="36">
        <f>DSUM($B$43:$Y$48,K$43,$C$55:$D59)</f>
        <v>8.6180992441484874E-2</v>
      </c>
      <c r="L59" s="36">
        <f>DSUM($B$43:$Y$48,L$43,$C$55:$D59)</f>
        <v>0.11902437107555662</v>
      </c>
      <c r="M59" s="36">
        <f>DSUM($B$43:$Y$48,M$43,$C$55:$D59)</f>
        <v>0.15399977117146602</v>
      </c>
      <c r="N59" s="36">
        <f>DSUM($B$43:$Y$48,N$43,$C$55:$D59)</f>
        <v>0.19284684356649703</v>
      </c>
      <c r="O59" s="36">
        <f>DSUM($B$43:$Y$48,O$43,$C$55:$D59)</f>
        <v>0.22747789256773929</v>
      </c>
      <c r="P59" s="36">
        <f>DSUM($B$43:$Y$48,P$43,$C$55:$D59)</f>
        <v>0.25454429724002048</v>
      </c>
      <c r="Q59" s="36">
        <f>DSUM($B$43:$Y$48,Q$43,$C$55:$D59)</f>
        <v>0.27335794026273169</v>
      </c>
      <c r="R59" s="36">
        <f>DSUM($B$43:$Y$48,R$43,$C$55:$D59)</f>
        <v>0.29116798169886449</v>
      </c>
      <c r="S59" s="36">
        <f>DSUM($B$43:$Y$48,S$43,$C$55:$D59)</f>
        <v>0.30624421204541047</v>
      </c>
      <c r="T59" s="36">
        <f>DSUM($B$43:$Y$48,T$43,$C$55:$D59)</f>
        <v>0.31308786110119685</v>
      </c>
      <c r="U59" s="36">
        <f>DSUM($B$43:$Y$48,U$43,$C$55:$D59)</f>
        <v>0.31048414722014889</v>
      </c>
      <c r="V59" s="36">
        <f>DSUM($B$43:$Y$48,V$43,$C$55:$D59)</f>
        <v>0.31279983362311781</v>
      </c>
      <c r="W59" s="36">
        <f>DSUM($B$43:$Y$48,W$43,$C$55:$D59)</f>
        <v>0.31439109022101425</v>
      </c>
      <c r="X59" s="36">
        <f>DSUM($B$43:$Y$48,X$43,$C$55:$D59)</f>
        <v>0.31697063449160773</v>
      </c>
      <c r="Y59" s="36">
        <f>DSUM($B$43:$Y$48,Y$43,$C$55:$D59)</f>
        <v>3.6134763700837991</v>
      </c>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B60" s="9" t="s">
        <v>90</v>
      </c>
      <c r="C60" s="58" t="s">
        <v>91</v>
      </c>
      <c r="D60" s="58" t="s">
        <v>92</v>
      </c>
      <c r="E60" s="36">
        <f>DSUM($B$43:$Y$48,E$43,$C$55:$D60)</f>
        <v>2.2569983798435877E-3</v>
      </c>
      <c r="F60" s="36">
        <f>DSUM($B$43:$Y$48,F$43,$C$55:$D60)</f>
        <v>5.6075751765639684E-3</v>
      </c>
      <c r="G60" s="36">
        <f>DSUM($B$43:$Y$48,G$43,$C$55:$D60)</f>
        <v>1.1980676520663402E-2</v>
      </c>
      <c r="H60" s="36">
        <f>DSUM($B$43:$Y$48,H$43,$C$55:$D60)</f>
        <v>2.2777562011351084E-2</v>
      </c>
      <c r="I60" s="36">
        <f>DSUM($B$43:$Y$48,I$43,$C$55:$D60)</f>
        <v>3.8735378638978926E-2</v>
      </c>
      <c r="J60" s="36">
        <f>DSUM($B$43:$Y$48,J$43,$C$55:$D60)</f>
        <v>5.9540310629541737E-2</v>
      </c>
      <c r="K60" s="36">
        <f>DSUM($B$43:$Y$48,K$43,$C$55:$D60)</f>
        <v>8.6180992441484874E-2</v>
      </c>
      <c r="L60" s="36">
        <f>DSUM($B$43:$Y$48,L$43,$C$55:$D60)</f>
        <v>0.11902437107555662</v>
      </c>
      <c r="M60" s="36">
        <f>DSUM($B$43:$Y$48,M$43,$C$55:$D60)</f>
        <v>0.15399977117146602</v>
      </c>
      <c r="N60" s="36">
        <f>DSUM($B$43:$Y$48,N$43,$C$55:$D60)</f>
        <v>0.19284684356649703</v>
      </c>
      <c r="O60" s="36">
        <f>DSUM($B$43:$Y$48,O$43,$C$55:$D60)</f>
        <v>0.22747789256773929</v>
      </c>
      <c r="P60" s="36">
        <f>DSUM($B$43:$Y$48,P$43,$C$55:$D60)</f>
        <v>0.25454429724002048</v>
      </c>
      <c r="Q60" s="36">
        <f>DSUM($B$43:$Y$48,Q$43,$C$55:$D60)</f>
        <v>0.27335794026273169</v>
      </c>
      <c r="R60" s="36">
        <f>DSUM($B$43:$Y$48,R$43,$C$55:$D60)</f>
        <v>0.29116798169886449</v>
      </c>
      <c r="S60" s="36">
        <f>DSUM($B$43:$Y$48,S$43,$C$55:$D60)</f>
        <v>0.30624421204541047</v>
      </c>
      <c r="T60" s="36">
        <f>DSUM($B$43:$Y$48,T$43,$C$55:$D60)</f>
        <v>0.31308786110119685</v>
      </c>
      <c r="U60" s="36">
        <f>DSUM($B$43:$Y$48,U$43,$C$55:$D60)</f>
        <v>0.31048414722014889</v>
      </c>
      <c r="V60" s="36">
        <f>DSUM($B$43:$Y$48,V$43,$C$55:$D60)</f>
        <v>0.31279983362311781</v>
      </c>
      <c r="W60" s="36">
        <f>DSUM($B$43:$Y$48,W$43,$C$55:$D60)</f>
        <v>0.31439109022101425</v>
      </c>
      <c r="X60" s="36">
        <f>DSUM($B$43:$Y$48,X$43,$C$55:$D60)</f>
        <v>0.31697063449160773</v>
      </c>
      <c r="Y60" s="36">
        <f>DSUM($B$43:$Y$48,Y$43,$C$55:$D60)</f>
        <v>3.6134763700837991</v>
      </c>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B61" s="9" t="s">
        <v>93</v>
      </c>
      <c r="C61" s="58" t="s">
        <v>94</v>
      </c>
      <c r="D61" s="58" t="s">
        <v>95</v>
      </c>
      <c r="E61" s="36">
        <f>DSUM($B$43:$Y$48,E$43,$C$55:$D61)</f>
        <v>2.2569983798435877E-3</v>
      </c>
      <c r="F61" s="36">
        <f>DSUM($B$43:$Y$48,F$43,$C$55:$D61)</f>
        <v>5.6075751765639684E-3</v>
      </c>
      <c r="G61" s="36">
        <f>DSUM($B$43:$Y$48,G$43,$C$55:$D61)</f>
        <v>1.1980676520663402E-2</v>
      </c>
      <c r="H61" s="36">
        <f>DSUM($B$43:$Y$48,H$43,$C$55:$D61)</f>
        <v>2.2777562011351084E-2</v>
      </c>
      <c r="I61" s="36">
        <f>DSUM($B$43:$Y$48,I$43,$C$55:$D61)</f>
        <v>3.8735378638978926E-2</v>
      </c>
      <c r="J61" s="36">
        <f>DSUM($B$43:$Y$48,J$43,$C$55:$D61)</f>
        <v>5.9540310629541737E-2</v>
      </c>
      <c r="K61" s="36">
        <f>DSUM($B$43:$Y$48,K$43,$C$55:$D61)</f>
        <v>8.6180992441484874E-2</v>
      </c>
      <c r="L61" s="36">
        <f>DSUM($B$43:$Y$48,L$43,$C$55:$D61)</f>
        <v>0.11902437107555662</v>
      </c>
      <c r="M61" s="36">
        <f>DSUM($B$43:$Y$48,M$43,$C$55:$D61)</f>
        <v>0.15399977117146602</v>
      </c>
      <c r="N61" s="36">
        <f>DSUM($B$43:$Y$48,N$43,$C$55:$D61)</f>
        <v>0.19284684356649703</v>
      </c>
      <c r="O61" s="36">
        <f>DSUM($B$43:$Y$48,O$43,$C$55:$D61)</f>
        <v>0.22747789256773929</v>
      </c>
      <c r="P61" s="36">
        <f>DSUM($B$43:$Y$48,P$43,$C$55:$D61)</f>
        <v>0.25454429724002048</v>
      </c>
      <c r="Q61" s="36">
        <f>DSUM($B$43:$Y$48,Q$43,$C$55:$D61)</f>
        <v>0.27335794026273169</v>
      </c>
      <c r="R61" s="36">
        <f>DSUM($B$43:$Y$48,R$43,$C$55:$D61)</f>
        <v>0.29116798169886449</v>
      </c>
      <c r="S61" s="36">
        <f>DSUM($B$43:$Y$48,S$43,$C$55:$D61)</f>
        <v>0.30624421204541047</v>
      </c>
      <c r="T61" s="36">
        <f>DSUM($B$43:$Y$48,T$43,$C$55:$D61)</f>
        <v>0.31308786110119685</v>
      </c>
      <c r="U61" s="36">
        <f>DSUM($B$43:$Y$48,U$43,$C$55:$D61)</f>
        <v>0.31048414722014889</v>
      </c>
      <c r="V61" s="36">
        <f>DSUM($B$43:$Y$48,V$43,$C$55:$D61)</f>
        <v>0.31279983362311781</v>
      </c>
      <c r="W61" s="36">
        <f>DSUM($B$43:$Y$48,W$43,$C$55:$D61)</f>
        <v>0.31439109022101425</v>
      </c>
      <c r="X61" s="36">
        <f>DSUM($B$43:$Y$48,X$43,$C$55:$D61)</f>
        <v>0.31697063449160773</v>
      </c>
      <c r="Y61" s="36">
        <f>DSUM($B$43:$Y$48,Y$43,$C$55:$D61)</f>
        <v>3.6134763700837991</v>
      </c>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B62" s="9" t="s">
        <v>96</v>
      </c>
      <c r="C62" s="58" t="s">
        <v>97</v>
      </c>
      <c r="D62" s="58" t="s">
        <v>98</v>
      </c>
      <c r="E62" s="36">
        <f>DSUM($B$43:$Y$48,E$43,$C$55:$D62)</f>
        <v>2.2569983798435877E-3</v>
      </c>
      <c r="F62" s="36">
        <f>DSUM($B$43:$Y$48,F$43,$C$55:$D62)</f>
        <v>5.6075751765639684E-3</v>
      </c>
      <c r="G62" s="36">
        <f>DSUM($B$43:$Y$48,G$43,$C$55:$D62)</f>
        <v>1.1980676520663402E-2</v>
      </c>
      <c r="H62" s="36">
        <f>DSUM($B$43:$Y$48,H$43,$C$55:$D62)</f>
        <v>2.2777562011351084E-2</v>
      </c>
      <c r="I62" s="36">
        <f>DSUM($B$43:$Y$48,I$43,$C$55:$D62)</f>
        <v>3.8735378638978926E-2</v>
      </c>
      <c r="J62" s="36">
        <f>DSUM($B$43:$Y$48,J$43,$C$55:$D62)</f>
        <v>5.9540310629541737E-2</v>
      </c>
      <c r="K62" s="36">
        <f>DSUM($B$43:$Y$48,K$43,$C$55:$D62)</f>
        <v>8.6180992441484874E-2</v>
      </c>
      <c r="L62" s="36">
        <f>DSUM($B$43:$Y$48,L$43,$C$55:$D62)</f>
        <v>0.11902437107555662</v>
      </c>
      <c r="M62" s="36">
        <f>DSUM($B$43:$Y$48,M$43,$C$55:$D62)</f>
        <v>0.15399977117146602</v>
      </c>
      <c r="N62" s="36">
        <f>DSUM($B$43:$Y$48,N$43,$C$55:$D62)</f>
        <v>0.19284684356649703</v>
      </c>
      <c r="O62" s="36">
        <f>DSUM($B$43:$Y$48,O$43,$C$55:$D62)</f>
        <v>0.22747789256773929</v>
      </c>
      <c r="P62" s="36">
        <f>DSUM($B$43:$Y$48,P$43,$C$55:$D62)</f>
        <v>0.25454429724002048</v>
      </c>
      <c r="Q62" s="36">
        <f>DSUM($B$43:$Y$48,Q$43,$C$55:$D62)</f>
        <v>0.27335794026273169</v>
      </c>
      <c r="R62" s="36">
        <f>DSUM($B$43:$Y$48,R$43,$C$55:$D62)</f>
        <v>0.29116798169886449</v>
      </c>
      <c r="S62" s="36">
        <f>DSUM($B$43:$Y$48,S$43,$C$55:$D62)</f>
        <v>0.30624421204541047</v>
      </c>
      <c r="T62" s="36">
        <f>DSUM($B$43:$Y$48,T$43,$C$55:$D62)</f>
        <v>0.31308786110119685</v>
      </c>
      <c r="U62" s="36">
        <f>DSUM($B$43:$Y$48,U$43,$C$55:$D62)</f>
        <v>0.31048414722014889</v>
      </c>
      <c r="V62" s="36">
        <f>DSUM($B$43:$Y$48,V$43,$C$55:$D62)</f>
        <v>0.31279983362311781</v>
      </c>
      <c r="W62" s="36">
        <f>DSUM($B$43:$Y$48,W$43,$C$55:$D62)</f>
        <v>0.31439109022101425</v>
      </c>
      <c r="X62" s="36">
        <f>DSUM($B$43:$Y$48,X$43,$C$55:$D62)</f>
        <v>0.31697063449160773</v>
      </c>
      <c r="Y62" s="36">
        <f>DSUM($B$43:$Y$48,Y$43,$C$55:$D62)</f>
        <v>3.6134763700837991</v>
      </c>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B63" s="9" t="s">
        <v>99</v>
      </c>
      <c r="C63" s="58" t="s">
        <v>100</v>
      </c>
      <c r="D63" s="58" t="s">
        <v>101</v>
      </c>
      <c r="E63" s="36">
        <f>DSUM($B$43:$Y$48,E$43,$C$55:$D63)</f>
        <v>2.2569983798435877E-3</v>
      </c>
      <c r="F63" s="36">
        <f>DSUM($B$43:$Y$48,F$43,$C$55:$D63)</f>
        <v>5.6075751765639684E-3</v>
      </c>
      <c r="G63" s="36">
        <f>DSUM($B$43:$Y$48,G$43,$C$55:$D63)</f>
        <v>1.1980676520663402E-2</v>
      </c>
      <c r="H63" s="36">
        <f>DSUM($B$43:$Y$48,H$43,$C$55:$D63)</f>
        <v>2.2777562011351084E-2</v>
      </c>
      <c r="I63" s="36">
        <f>DSUM($B$43:$Y$48,I$43,$C$55:$D63)</f>
        <v>3.8735378638978926E-2</v>
      </c>
      <c r="J63" s="36">
        <f>DSUM($B$43:$Y$48,J$43,$C$55:$D63)</f>
        <v>5.9540310629541737E-2</v>
      </c>
      <c r="K63" s="36">
        <f>DSUM($B$43:$Y$48,K$43,$C$55:$D63)</f>
        <v>8.6180992441484874E-2</v>
      </c>
      <c r="L63" s="36">
        <f>DSUM($B$43:$Y$48,L$43,$C$55:$D63)</f>
        <v>0.11902437107555662</v>
      </c>
      <c r="M63" s="36">
        <f>DSUM($B$43:$Y$48,M$43,$C$55:$D63)</f>
        <v>0.15399977117146602</v>
      </c>
      <c r="N63" s="36">
        <f>DSUM($B$43:$Y$48,N$43,$C$55:$D63)</f>
        <v>0.19284684356649703</v>
      </c>
      <c r="O63" s="36">
        <f>DSUM($B$43:$Y$48,O$43,$C$55:$D63)</f>
        <v>0.22747789256773929</v>
      </c>
      <c r="P63" s="36">
        <f>DSUM($B$43:$Y$48,P$43,$C$55:$D63)</f>
        <v>0.25454429724002048</v>
      </c>
      <c r="Q63" s="36">
        <f>DSUM($B$43:$Y$48,Q$43,$C$55:$D63)</f>
        <v>0.27335794026273169</v>
      </c>
      <c r="R63" s="36">
        <f>DSUM($B$43:$Y$48,R$43,$C$55:$D63)</f>
        <v>0.29116798169886449</v>
      </c>
      <c r="S63" s="36">
        <f>DSUM($B$43:$Y$48,S$43,$C$55:$D63)</f>
        <v>0.30624421204541047</v>
      </c>
      <c r="T63" s="36">
        <f>DSUM($B$43:$Y$48,T$43,$C$55:$D63)</f>
        <v>0.31308786110119685</v>
      </c>
      <c r="U63" s="36">
        <f>DSUM($B$43:$Y$48,U$43,$C$55:$D63)</f>
        <v>0.31048414722014889</v>
      </c>
      <c r="V63" s="36">
        <f>DSUM($B$43:$Y$48,V$43,$C$55:$D63)</f>
        <v>0.31279983362311781</v>
      </c>
      <c r="W63" s="36">
        <f>DSUM($B$43:$Y$48,W$43,$C$55:$D63)</f>
        <v>0.31439109022101425</v>
      </c>
      <c r="X63" s="36">
        <f>DSUM($B$43:$Y$48,X$43,$C$55:$D63)</f>
        <v>0.31697063449160773</v>
      </c>
      <c r="Y63" s="36">
        <f>DSUM($B$43:$Y$48,Y$43,$C$55:$D63)</f>
        <v>3.6134763700837991</v>
      </c>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B64" s="9" t="s">
        <v>102</v>
      </c>
      <c r="C64" s="58" t="s">
        <v>103</v>
      </c>
      <c r="D64" s="58" t="s">
        <v>104</v>
      </c>
      <c r="E64" s="36">
        <f>DSUM($B$43:$Y$48,E$43,$C$55:$D64)</f>
        <v>2.2569983798435877E-3</v>
      </c>
      <c r="F64" s="36">
        <f>DSUM($B$43:$Y$48,F$43,$C$55:$D64)</f>
        <v>5.6075751765639684E-3</v>
      </c>
      <c r="G64" s="36">
        <f>DSUM($B$43:$Y$48,G$43,$C$55:$D64)</f>
        <v>1.1980676520663402E-2</v>
      </c>
      <c r="H64" s="36">
        <f>DSUM($B$43:$Y$48,H$43,$C$55:$D64)</f>
        <v>2.2777562011351084E-2</v>
      </c>
      <c r="I64" s="36">
        <f>DSUM($B$43:$Y$48,I$43,$C$55:$D64)</f>
        <v>3.8735378638978926E-2</v>
      </c>
      <c r="J64" s="36">
        <f>DSUM($B$43:$Y$48,J$43,$C$55:$D64)</f>
        <v>5.9540310629541737E-2</v>
      </c>
      <c r="K64" s="36">
        <f>DSUM($B$43:$Y$48,K$43,$C$55:$D64)</f>
        <v>8.6180992441484874E-2</v>
      </c>
      <c r="L64" s="36">
        <f>DSUM($B$43:$Y$48,L$43,$C$55:$D64)</f>
        <v>0.11902437107555662</v>
      </c>
      <c r="M64" s="36">
        <f>DSUM($B$43:$Y$48,M$43,$C$55:$D64)</f>
        <v>0.15399977117146602</v>
      </c>
      <c r="N64" s="36">
        <f>DSUM($B$43:$Y$48,N$43,$C$55:$D64)</f>
        <v>0.19284684356649703</v>
      </c>
      <c r="O64" s="36">
        <f>DSUM($B$43:$Y$48,O$43,$C$55:$D64)</f>
        <v>0.22747789256773929</v>
      </c>
      <c r="P64" s="36">
        <f>DSUM($B$43:$Y$48,P$43,$C$55:$D64)</f>
        <v>0.25454429724002048</v>
      </c>
      <c r="Q64" s="36">
        <f>DSUM($B$43:$Y$48,Q$43,$C$55:$D64)</f>
        <v>0.27335794026273169</v>
      </c>
      <c r="R64" s="36">
        <f>DSUM($B$43:$Y$48,R$43,$C$55:$D64)</f>
        <v>0.29116798169886449</v>
      </c>
      <c r="S64" s="36">
        <f>DSUM($B$43:$Y$48,S$43,$C$55:$D64)</f>
        <v>0.30624421204541047</v>
      </c>
      <c r="T64" s="36">
        <f>DSUM($B$43:$Y$48,T$43,$C$55:$D64)</f>
        <v>0.31308786110119685</v>
      </c>
      <c r="U64" s="36">
        <f>DSUM($B$43:$Y$48,U$43,$C$55:$D64)</f>
        <v>0.31048414722014889</v>
      </c>
      <c r="V64" s="36">
        <f>DSUM($B$43:$Y$48,V$43,$C$55:$D64)</f>
        <v>0.31279983362311781</v>
      </c>
      <c r="W64" s="36">
        <f>DSUM($B$43:$Y$48,W$43,$C$55:$D64)</f>
        <v>0.31439109022101425</v>
      </c>
      <c r="X64" s="36">
        <f>DSUM($B$43:$Y$48,X$43,$C$55:$D64)</f>
        <v>0.31697063449160773</v>
      </c>
      <c r="Y64" s="36">
        <f>DSUM($B$43:$Y$48,Y$43,$C$55:$D64)</f>
        <v>3.6134763700837991</v>
      </c>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2:80">
      <c r="B65" s="9" t="s">
        <v>105</v>
      </c>
      <c r="C65" s="58" t="s">
        <v>106</v>
      </c>
      <c r="D65" s="58" t="s">
        <v>107</v>
      </c>
      <c r="E65" s="36">
        <f>DSUM($B$43:$Y$48,E$43,$C$55:$D65)</f>
        <v>2.2569983798435877E-3</v>
      </c>
      <c r="F65" s="36">
        <f>DSUM($B$43:$Y$48,F$43,$C$55:$D65)</f>
        <v>5.6075751765639684E-3</v>
      </c>
      <c r="G65" s="36">
        <f>DSUM($B$43:$Y$48,G$43,$C$55:$D65)</f>
        <v>1.1980676520663402E-2</v>
      </c>
      <c r="H65" s="36">
        <f>DSUM($B$43:$Y$48,H$43,$C$55:$D65)</f>
        <v>2.2777562011351084E-2</v>
      </c>
      <c r="I65" s="36">
        <f>DSUM($B$43:$Y$48,I$43,$C$55:$D65)</f>
        <v>3.8735378638978926E-2</v>
      </c>
      <c r="J65" s="36">
        <f>DSUM($B$43:$Y$48,J$43,$C$55:$D65)</f>
        <v>5.9540310629541737E-2</v>
      </c>
      <c r="K65" s="36">
        <f>DSUM($B$43:$Y$48,K$43,$C$55:$D65)</f>
        <v>8.6180992441484874E-2</v>
      </c>
      <c r="L65" s="36">
        <f>DSUM($B$43:$Y$48,L$43,$C$55:$D65)</f>
        <v>0.11902437107555662</v>
      </c>
      <c r="M65" s="36">
        <f>DSUM($B$43:$Y$48,M$43,$C$55:$D65)</f>
        <v>0.15399977117146602</v>
      </c>
      <c r="N65" s="36">
        <f>DSUM($B$43:$Y$48,N$43,$C$55:$D65)</f>
        <v>0.19284684356649703</v>
      </c>
      <c r="O65" s="36">
        <f>DSUM($B$43:$Y$48,O$43,$C$55:$D65)</f>
        <v>0.22747789256773929</v>
      </c>
      <c r="P65" s="36">
        <f>DSUM($B$43:$Y$48,P$43,$C$55:$D65)</f>
        <v>0.25454429724002048</v>
      </c>
      <c r="Q65" s="36">
        <f>DSUM($B$43:$Y$48,Q$43,$C$55:$D65)</f>
        <v>0.27335794026273169</v>
      </c>
      <c r="R65" s="36">
        <f>DSUM($B$43:$Y$48,R$43,$C$55:$D65)</f>
        <v>0.29116798169886449</v>
      </c>
      <c r="S65" s="36">
        <f>DSUM($B$43:$Y$48,S$43,$C$55:$D65)</f>
        <v>0.30624421204541047</v>
      </c>
      <c r="T65" s="36">
        <f>DSUM($B$43:$Y$48,T$43,$C$55:$D65)</f>
        <v>0.31308786110119685</v>
      </c>
      <c r="U65" s="36">
        <f>DSUM($B$43:$Y$48,U$43,$C$55:$D65)</f>
        <v>0.31048414722014889</v>
      </c>
      <c r="V65" s="36">
        <f>DSUM($B$43:$Y$48,V$43,$C$55:$D65)</f>
        <v>0.31279983362311781</v>
      </c>
      <c r="W65" s="36">
        <f>DSUM($B$43:$Y$48,W$43,$C$55:$D65)</f>
        <v>0.31439109022101425</v>
      </c>
      <c r="X65" s="36">
        <f>DSUM($B$43:$Y$48,X$43,$C$55:$D65)</f>
        <v>0.31697063449160773</v>
      </c>
      <c r="Y65" s="36">
        <f>DSUM($B$43:$Y$48,Y$43,$C$55:$D65)</f>
        <v>3.6134763700837991</v>
      </c>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2:80">
      <c r="B66" s="9" t="s">
        <v>108</v>
      </c>
      <c r="C66" s="58" t="s">
        <v>109</v>
      </c>
      <c r="D66" s="58" t="s">
        <v>110</v>
      </c>
      <c r="E66" s="36">
        <f>DSUM($B$43:$Y$48,E$43,$C$55:$D66)</f>
        <v>2.2569983798435877E-3</v>
      </c>
      <c r="F66" s="36">
        <f>DSUM($B$43:$Y$48,F$43,$C$55:$D66)</f>
        <v>5.6075751765639684E-3</v>
      </c>
      <c r="G66" s="36">
        <f>DSUM($B$43:$Y$48,G$43,$C$55:$D66)</f>
        <v>1.1980676520663402E-2</v>
      </c>
      <c r="H66" s="36">
        <f>DSUM($B$43:$Y$48,H$43,$C$55:$D66)</f>
        <v>2.2777562011351084E-2</v>
      </c>
      <c r="I66" s="36">
        <f>DSUM($B$43:$Y$48,I$43,$C$55:$D66)</f>
        <v>3.8735378638978926E-2</v>
      </c>
      <c r="J66" s="36">
        <f>DSUM($B$43:$Y$48,J$43,$C$55:$D66)</f>
        <v>5.9540310629541737E-2</v>
      </c>
      <c r="K66" s="36">
        <f>DSUM($B$43:$Y$48,K$43,$C$55:$D66)</f>
        <v>8.6180992441484874E-2</v>
      </c>
      <c r="L66" s="36">
        <f>DSUM($B$43:$Y$48,L$43,$C$55:$D66)</f>
        <v>0.11902437107555662</v>
      </c>
      <c r="M66" s="36">
        <f>DSUM($B$43:$Y$48,M$43,$C$55:$D66)</f>
        <v>0.15399977117146602</v>
      </c>
      <c r="N66" s="36">
        <f>DSUM($B$43:$Y$48,N$43,$C$55:$D66)</f>
        <v>0.19284684356649703</v>
      </c>
      <c r="O66" s="36">
        <f>DSUM($B$43:$Y$48,O$43,$C$55:$D66)</f>
        <v>0.22747789256773929</v>
      </c>
      <c r="P66" s="36">
        <f>DSUM($B$43:$Y$48,P$43,$C$55:$D66)</f>
        <v>0.25454429724002048</v>
      </c>
      <c r="Q66" s="36">
        <f>DSUM($B$43:$Y$48,Q$43,$C$55:$D66)</f>
        <v>0.27335794026273169</v>
      </c>
      <c r="R66" s="36">
        <f>DSUM($B$43:$Y$48,R$43,$C$55:$D66)</f>
        <v>0.29116798169886449</v>
      </c>
      <c r="S66" s="36">
        <f>DSUM($B$43:$Y$48,S$43,$C$55:$D66)</f>
        <v>0.30624421204541047</v>
      </c>
      <c r="T66" s="36">
        <f>DSUM($B$43:$Y$48,T$43,$C$55:$D66)</f>
        <v>0.31308786110119685</v>
      </c>
      <c r="U66" s="36">
        <f>DSUM($B$43:$Y$48,U$43,$C$55:$D66)</f>
        <v>0.31048414722014889</v>
      </c>
      <c r="V66" s="36">
        <f>DSUM($B$43:$Y$48,V$43,$C$55:$D66)</f>
        <v>0.31279983362311781</v>
      </c>
      <c r="W66" s="36">
        <f>DSUM($B$43:$Y$48,W$43,$C$55:$D66)</f>
        <v>0.31439109022101425</v>
      </c>
      <c r="X66" s="36">
        <f>DSUM($B$43:$Y$48,X$43,$C$55:$D66)</f>
        <v>0.31697063449160773</v>
      </c>
      <c r="Y66" s="36">
        <f>DSUM($B$43:$Y$48,Y$43,$C$55:$D66)</f>
        <v>3.6134763700837991</v>
      </c>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2:80">
      <c r="B67" s="9" t="s">
        <v>111</v>
      </c>
      <c r="C67" s="58" t="s">
        <v>112</v>
      </c>
      <c r="D67" s="58" t="s">
        <v>113</v>
      </c>
      <c r="E67" s="36">
        <f>DSUM($B$43:$Y$48,E$43,$C$55:$D67)</f>
        <v>2.2569983798435877E-3</v>
      </c>
      <c r="F67" s="36">
        <f>DSUM($B$43:$Y$48,F$43,$C$55:$D67)</f>
        <v>5.6075751765639684E-3</v>
      </c>
      <c r="G67" s="36">
        <f>DSUM($B$43:$Y$48,G$43,$C$55:$D67)</f>
        <v>1.1980676520663402E-2</v>
      </c>
      <c r="H67" s="36">
        <f>DSUM($B$43:$Y$48,H$43,$C$55:$D67)</f>
        <v>2.2777562011351084E-2</v>
      </c>
      <c r="I67" s="36">
        <f>DSUM($B$43:$Y$48,I$43,$C$55:$D67)</f>
        <v>3.8735378638978926E-2</v>
      </c>
      <c r="J67" s="36">
        <f>DSUM($B$43:$Y$48,J$43,$C$55:$D67)</f>
        <v>5.9540310629541737E-2</v>
      </c>
      <c r="K67" s="36">
        <f>DSUM($B$43:$Y$48,K$43,$C$55:$D67)</f>
        <v>8.6180992441484874E-2</v>
      </c>
      <c r="L67" s="36">
        <f>DSUM($B$43:$Y$48,L$43,$C$55:$D67)</f>
        <v>0.11902437107555662</v>
      </c>
      <c r="M67" s="36">
        <f>DSUM($B$43:$Y$48,M$43,$C$55:$D67)</f>
        <v>0.15399977117146602</v>
      </c>
      <c r="N67" s="36">
        <f>DSUM($B$43:$Y$48,N$43,$C$55:$D67)</f>
        <v>0.19284684356649703</v>
      </c>
      <c r="O67" s="36">
        <f>DSUM($B$43:$Y$48,O$43,$C$55:$D67)</f>
        <v>0.22747789256773929</v>
      </c>
      <c r="P67" s="36">
        <f>DSUM($B$43:$Y$48,P$43,$C$55:$D67)</f>
        <v>0.25454429724002048</v>
      </c>
      <c r="Q67" s="36">
        <f>DSUM($B$43:$Y$48,Q$43,$C$55:$D67)</f>
        <v>0.27335794026273169</v>
      </c>
      <c r="R67" s="36">
        <f>DSUM($B$43:$Y$48,R$43,$C$55:$D67)</f>
        <v>0.29116798169886449</v>
      </c>
      <c r="S67" s="36">
        <f>DSUM($B$43:$Y$48,S$43,$C$55:$D67)</f>
        <v>0.30624421204541047</v>
      </c>
      <c r="T67" s="36">
        <f>DSUM($B$43:$Y$48,T$43,$C$55:$D67)</f>
        <v>0.31308786110119685</v>
      </c>
      <c r="U67" s="36">
        <f>DSUM($B$43:$Y$48,U$43,$C$55:$D67)</f>
        <v>0.31048414722014889</v>
      </c>
      <c r="V67" s="36">
        <f>DSUM($B$43:$Y$48,V$43,$C$55:$D67)</f>
        <v>0.31279983362311781</v>
      </c>
      <c r="W67" s="36">
        <f>DSUM($B$43:$Y$48,W$43,$C$55:$D67)</f>
        <v>0.31439109022101425</v>
      </c>
      <c r="X67" s="36">
        <f>DSUM($B$43:$Y$48,X$43,$C$55:$D67)</f>
        <v>0.31697063449160773</v>
      </c>
      <c r="Y67" s="36">
        <f>DSUM($B$43:$Y$48,Y$43,$C$55:$D67)</f>
        <v>3.6134763700837991</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2:80">
      <c r="B68" s="9" t="s">
        <v>114</v>
      </c>
      <c r="C68" s="58" t="s">
        <v>115</v>
      </c>
      <c r="D68" s="58" t="s">
        <v>116</v>
      </c>
      <c r="E68" s="36">
        <f>DSUM($B$43:$Y$48,E$43,$C$55:$D68)</f>
        <v>2.2569983798435877E-3</v>
      </c>
      <c r="F68" s="36">
        <f>DSUM($B$43:$Y$48,F$43,$C$55:$D68)</f>
        <v>5.6075751765639684E-3</v>
      </c>
      <c r="G68" s="36">
        <f>DSUM($B$43:$Y$48,G$43,$C$55:$D68)</f>
        <v>1.1980676520663402E-2</v>
      </c>
      <c r="H68" s="36">
        <f>DSUM($B$43:$Y$48,H$43,$C$55:$D68)</f>
        <v>2.2777562011351084E-2</v>
      </c>
      <c r="I68" s="36">
        <f>DSUM($B$43:$Y$48,I$43,$C$55:$D68)</f>
        <v>3.8735378638978926E-2</v>
      </c>
      <c r="J68" s="36">
        <f>DSUM($B$43:$Y$48,J$43,$C$55:$D68)</f>
        <v>5.9540310629541737E-2</v>
      </c>
      <c r="K68" s="36">
        <f>DSUM($B$43:$Y$48,K$43,$C$55:$D68)</f>
        <v>8.6180992441484874E-2</v>
      </c>
      <c r="L68" s="36">
        <f>DSUM($B$43:$Y$48,L$43,$C$55:$D68)</f>
        <v>0.11902437107555662</v>
      </c>
      <c r="M68" s="36">
        <f>DSUM($B$43:$Y$48,M$43,$C$55:$D68)</f>
        <v>0.15399977117146602</v>
      </c>
      <c r="N68" s="36">
        <f>DSUM($B$43:$Y$48,N$43,$C$55:$D68)</f>
        <v>0.19284684356649703</v>
      </c>
      <c r="O68" s="36">
        <f>DSUM($B$43:$Y$48,O$43,$C$55:$D68)</f>
        <v>0.22747789256773929</v>
      </c>
      <c r="P68" s="36">
        <f>DSUM($B$43:$Y$48,P$43,$C$55:$D68)</f>
        <v>0.25454429724002048</v>
      </c>
      <c r="Q68" s="36">
        <f>DSUM($B$43:$Y$48,Q$43,$C$55:$D68)</f>
        <v>0.27335794026273169</v>
      </c>
      <c r="R68" s="36">
        <f>DSUM($B$43:$Y$48,R$43,$C$55:$D68)</f>
        <v>0.29116798169886449</v>
      </c>
      <c r="S68" s="36">
        <f>DSUM($B$43:$Y$48,S$43,$C$55:$D68)</f>
        <v>0.30624421204541047</v>
      </c>
      <c r="T68" s="36">
        <f>DSUM($B$43:$Y$48,T$43,$C$55:$D68)</f>
        <v>0.31308786110119685</v>
      </c>
      <c r="U68" s="36">
        <f>DSUM($B$43:$Y$48,U$43,$C$55:$D68)</f>
        <v>0.31048414722014889</v>
      </c>
      <c r="V68" s="36">
        <f>DSUM($B$43:$Y$48,V$43,$C$55:$D68)</f>
        <v>0.31279983362311781</v>
      </c>
      <c r="W68" s="36">
        <f>DSUM($B$43:$Y$48,W$43,$C$55:$D68)</f>
        <v>0.31439109022101425</v>
      </c>
      <c r="X68" s="36">
        <f>DSUM($B$43:$Y$48,X$43,$C$55:$D68)</f>
        <v>0.31697063449160773</v>
      </c>
      <c r="Y68" s="36">
        <f>DSUM($B$43:$Y$48,Y$43,$C$55:$D68)</f>
        <v>3.6134763700837991</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2:80">
      <c r="B69" s="9" t="s">
        <v>117</v>
      </c>
      <c r="C69" s="58" t="s">
        <v>118</v>
      </c>
      <c r="D69" s="58" t="s">
        <v>119</v>
      </c>
      <c r="E69" s="36">
        <f>DSUM($B$43:$Y$48,E$43,$C$55:$D69)</f>
        <v>2.2569983798435877E-3</v>
      </c>
      <c r="F69" s="36">
        <f>DSUM($B$43:$Y$48,F$43,$C$55:$D69)</f>
        <v>5.6075751765639684E-3</v>
      </c>
      <c r="G69" s="36">
        <f>DSUM($B$43:$Y$48,G$43,$C$55:$D69)</f>
        <v>1.1980676520663402E-2</v>
      </c>
      <c r="H69" s="36">
        <f>DSUM($B$43:$Y$48,H$43,$C$55:$D69)</f>
        <v>2.2777562011351084E-2</v>
      </c>
      <c r="I69" s="36">
        <f>DSUM($B$43:$Y$48,I$43,$C$55:$D69)</f>
        <v>3.8735378638978926E-2</v>
      </c>
      <c r="J69" s="36">
        <f>DSUM($B$43:$Y$48,J$43,$C$55:$D69)</f>
        <v>5.9540310629541737E-2</v>
      </c>
      <c r="K69" s="36">
        <f>DSUM($B$43:$Y$48,K$43,$C$55:$D69)</f>
        <v>8.6180992441484874E-2</v>
      </c>
      <c r="L69" s="36">
        <f>DSUM($B$43:$Y$48,L$43,$C$55:$D69)</f>
        <v>0.11902437107555662</v>
      </c>
      <c r="M69" s="36">
        <f>DSUM($B$43:$Y$48,M$43,$C$55:$D69)</f>
        <v>0.15399977117146602</v>
      </c>
      <c r="N69" s="36">
        <f>DSUM($B$43:$Y$48,N$43,$C$55:$D69)</f>
        <v>0.19284684356649703</v>
      </c>
      <c r="O69" s="36">
        <f>DSUM($B$43:$Y$48,O$43,$C$55:$D69)</f>
        <v>0.22747789256773929</v>
      </c>
      <c r="P69" s="36">
        <f>DSUM($B$43:$Y$48,P$43,$C$55:$D69)</f>
        <v>0.25454429724002048</v>
      </c>
      <c r="Q69" s="36">
        <f>DSUM($B$43:$Y$48,Q$43,$C$55:$D69)</f>
        <v>0.27335794026273169</v>
      </c>
      <c r="R69" s="36">
        <f>DSUM($B$43:$Y$48,R$43,$C$55:$D69)</f>
        <v>0.29116798169886449</v>
      </c>
      <c r="S69" s="36">
        <f>DSUM($B$43:$Y$48,S$43,$C$55:$D69)</f>
        <v>0.30624421204541047</v>
      </c>
      <c r="T69" s="36">
        <f>DSUM($B$43:$Y$48,T$43,$C$55:$D69)</f>
        <v>0.31308786110119685</v>
      </c>
      <c r="U69" s="36">
        <f>DSUM($B$43:$Y$48,U$43,$C$55:$D69)</f>
        <v>0.31048414722014889</v>
      </c>
      <c r="V69" s="36">
        <f>DSUM($B$43:$Y$48,V$43,$C$55:$D69)</f>
        <v>0.31279983362311781</v>
      </c>
      <c r="W69" s="36">
        <f>DSUM($B$43:$Y$48,W$43,$C$55:$D69)</f>
        <v>0.31439109022101425</v>
      </c>
      <c r="X69" s="36">
        <f>DSUM($B$43:$Y$48,X$43,$C$55:$D69)</f>
        <v>0.31697063449160773</v>
      </c>
      <c r="Y69" s="36">
        <f>DSUM($B$43:$Y$48,Y$43,$C$55:$D69)</f>
        <v>3.6134763700837991</v>
      </c>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2:80">
      <c r="B70" s="9" t="s">
        <v>120</v>
      </c>
      <c r="C70" s="58" t="s">
        <v>121</v>
      </c>
      <c r="D70" s="58" t="s">
        <v>122</v>
      </c>
      <c r="E70" s="36">
        <f>DSUM($B$43:$Y$48,E$43,$C$55:$D70)</f>
        <v>2.2569983798435877E-3</v>
      </c>
      <c r="F70" s="36">
        <f>DSUM($B$43:$Y$48,F$43,$C$55:$D70)</f>
        <v>5.6075751765639684E-3</v>
      </c>
      <c r="G70" s="36">
        <f>DSUM($B$43:$Y$48,G$43,$C$55:$D70)</f>
        <v>1.1980676520663402E-2</v>
      </c>
      <c r="H70" s="36">
        <f>DSUM($B$43:$Y$48,H$43,$C$55:$D70)</f>
        <v>2.2777562011351084E-2</v>
      </c>
      <c r="I70" s="36">
        <f>DSUM($B$43:$Y$48,I$43,$C$55:$D70)</f>
        <v>3.8735378638978926E-2</v>
      </c>
      <c r="J70" s="36">
        <f>DSUM($B$43:$Y$48,J$43,$C$55:$D70)</f>
        <v>5.9540310629541737E-2</v>
      </c>
      <c r="K70" s="36">
        <f>DSUM($B$43:$Y$48,K$43,$C$55:$D70)</f>
        <v>8.6180992441484874E-2</v>
      </c>
      <c r="L70" s="36">
        <f>DSUM($B$43:$Y$48,L$43,$C$55:$D70)</f>
        <v>0.11902437107555662</v>
      </c>
      <c r="M70" s="36">
        <f>DSUM($B$43:$Y$48,M$43,$C$55:$D70)</f>
        <v>0.15399977117146602</v>
      </c>
      <c r="N70" s="36">
        <f>DSUM($B$43:$Y$48,N$43,$C$55:$D70)</f>
        <v>0.19284684356649703</v>
      </c>
      <c r="O70" s="36">
        <f>DSUM($B$43:$Y$48,O$43,$C$55:$D70)</f>
        <v>0.22747789256773929</v>
      </c>
      <c r="P70" s="36">
        <f>DSUM($B$43:$Y$48,P$43,$C$55:$D70)</f>
        <v>0.25454429724002048</v>
      </c>
      <c r="Q70" s="36">
        <f>DSUM($B$43:$Y$48,Q$43,$C$55:$D70)</f>
        <v>0.27335794026273169</v>
      </c>
      <c r="R70" s="36">
        <f>DSUM($B$43:$Y$48,R$43,$C$55:$D70)</f>
        <v>0.29116798169886449</v>
      </c>
      <c r="S70" s="36">
        <f>DSUM($B$43:$Y$48,S$43,$C$55:$D70)</f>
        <v>0.30624421204541047</v>
      </c>
      <c r="T70" s="36">
        <f>DSUM($B$43:$Y$48,T$43,$C$55:$D70)</f>
        <v>0.31308786110119685</v>
      </c>
      <c r="U70" s="36">
        <f>DSUM($B$43:$Y$48,U$43,$C$55:$D70)</f>
        <v>0.31048414722014889</v>
      </c>
      <c r="V70" s="36">
        <f>DSUM($B$43:$Y$48,V$43,$C$55:$D70)</f>
        <v>0.31279983362311781</v>
      </c>
      <c r="W70" s="36">
        <f>DSUM($B$43:$Y$48,W$43,$C$55:$D70)</f>
        <v>0.31439109022101425</v>
      </c>
      <c r="X70" s="36">
        <f>DSUM($B$43:$Y$48,X$43,$C$55:$D70)</f>
        <v>0.31697063449160773</v>
      </c>
      <c r="Y70" s="36">
        <f>DSUM($B$43:$Y$48,Y$43,$C$55:$D70)</f>
        <v>3.6134763700837991</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2:80">
      <c r="B71" s="9" t="s">
        <v>123</v>
      </c>
      <c r="C71" s="58" t="s">
        <v>124</v>
      </c>
      <c r="D71" s="58" t="s">
        <v>125</v>
      </c>
      <c r="E71" s="36">
        <f>DSUM($B$43:$Y$48,E$43,$C$55:$D71)</f>
        <v>2.2569983798435877E-3</v>
      </c>
      <c r="F71" s="36">
        <f>DSUM($B$43:$Y$48,F$43,$C$55:$D71)</f>
        <v>5.6075751765639684E-3</v>
      </c>
      <c r="G71" s="36">
        <f>DSUM($B$43:$Y$48,G$43,$C$55:$D71)</f>
        <v>1.1980676520663402E-2</v>
      </c>
      <c r="H71" s="36">
        <f>DSUM($B$43:$Y$48,H$43,$C$55:$D71)</f>
        <v>2.2777562011351084E-2</v>
      </c>
      <c r="I71" s="36">
        <f>DSUM($B$43:$Y$48,I$43,$C$55:$D71)</f>
        <v>3.8735378638978926E-2</v>
      </c>
      <c r="J71" s="36">
        <f>DSUM($B$43:$Y$48,J$43,$C$55:$D71)</f>
        <v>5.9540310629541737E-2</v>
      </c>
      <c r="K71" s="36">
        <f>DSUM($B$43:$Y$48,K$43,$C$55:$D71)</f>
        <v>8.6180992441484874E-2</v>
      </c>
      <c r="L71" s="36">
        <f>DSUM($B$43:$Y$48,L$43,$C$55:$D71)</f>
        <v>0.11902437107555662</v>
      </c>
      <c r="M71" s="36">
        <f>DSUM($B$43:$Y$48,M$43,$C$55:$D71)</f>
        <v>0.15399977117146602</v>
      </c>
      <c r="N71" s="36">
        <f>DSUM($B$43:$Y$48,N$43,$C$55:$D71)</f>
        <v>0.19284684356649703</v>
      </c>
      <c r="O71" s="36">
        <f>DSUM($B$43:$Y$48,O$43,$C$55:$D71)</f>
        <v>0.22747789256773929</v>
      </c>
      <c r="P71" s="36">
        <f>DSUM($B$43:$Y$48,P$43,$C$55:$D71)</f>
        <v>0.25454429724002048</v>
      </c>
      <c r="Q71" s="36">
        <f>DSUM($B$43:$Y$48,Q$43,$C$55:$D71)</f>
        <v>0.27335794026273169</v>
      </c>
      <c r="R71" s="36">
        <f>DSUM($B$43:$Y$48,R$43,$C$55:$D71)</f>
        <v>0.29116798169886449</v>
      </c>
      <c r="S71" s="36">
        <f>DSUM($B$43:$Y$48,S$43,$C$55:$D71)</f>
        <v>0.30624421204541047</v>
      </c>
      <c r="T71" s="36">
        <f>DSUM($B$43:$Y$48,T$43,$C$55:$D71)</f>
        <v>0.31308786110119685</v>
      </c>
      <c r="U71" s="36">
        <f>DSUM($B$43:$Y$48,U$43,$C$55:$D71)</f>
        <v>0.31048414722014889</v>
      </c>
      <c r="V71" s="36">
        <f>DSUM($B$43:$Y$48,V$43,$C$55:$D71)</f>
        <v>0.31279983362311781</v>
      </c>
      <c r="W71" s="36">
        <f>DSUM($B$43:$Y$48,W$43,$C$55:$D71)</f>
        <v>0.31439109022101425</v>
      </c>
      <c r="X71" s="36">
        <f>DSUM($B$43:$Y$48,X$43,$C$55:$D71)</f>
        <v>0.31697063449160773</v>
      </c>
      <c r="Y71" s="36">
        <f>DSUM($B$43:$Y$48,Y$43,$C$55:$D71)</f>
        <v>3.6134763700837991</v>
      </c>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2:80">
      <c r="B72" s="9" t="s">
        <v>126</v>
      </c>
      <c r="C72" s="58" t="s">
        <v>127</v>
      </c>
      <c r="D72" s="58" t="s">
        <v>128</v>
      </c>
      <c r="E72" s="36">
        <f>DSUM($B$43:$Y$48,E$43,$C$55:$D72)</f>
        <v>2.2569983798435877E-3</v>
      </c>
      <c r="F72" s="36">
        <f>DSUM($B$43:$Y$48,F$43,$C$55:$D72)</f>
        <v>5.6075751765639684E-3</v>
      </c>
      <c r="G72" s="36">
        <f>DSUM($B$43:$Y$48,G$43,$C$55:$D72)</f>
        <v>1.1980676520663402E-2</v>
      </c>
      <c r="H72" s="36">
        <f>DSUM($B$43:$Y$48,H$43,$C$55:$D72)</f>
        <v>2.2777562011351084E-2</v>
      </c>
      <c r="I72" s="36">
        <f>DSUM($B$43:$Y$48,I$43,$C$55:$D72)</f>
        <v>3.8735378638978926E-2</v>
      </c>
      <c r="J72" s="36">
        <f>DSUM($B$43:$Y$48,J$43,$C$55:$D72)</f>
        <v>5.9540310629541737E-2</v>
      </c>
      <c r="K72" s="36">
        <f>DSUM($B$43:$Y$48,K$43,$C$55:$D72)</f>
        <v>8.6180992441484874E-2</v>
      </c>
      <c r="L72" s="36">
        <f>DSUM($B$43:$Y$48,L$43,$C$55:$D72)</f>
        <v>0.11902437107555662</v>
      </c>
      <c r="M72" s="36">
        <f>DSUM($B$43:$Y$48,M$43,$C$55:$D72)</f>
        <v>0.15399977117146602</v>
      </c>
      <c r="N72" s="36">
        <f>DSUM($B$43:$Y$48,N$43,$C$55:$D72)</f>
        <v>0.19284684356649703</v>
      </c>
      <c r="O72" s="36">
        <f>DSUM($B$43:$Y$48,O$43,$C$55:$D72)</f>
        <v>0.22747789256773929</v>
      </c>
      <c r="P72" s="36">
        <f>DSUM($B$43:$Y$48,P$43,$C$55:$D72)</f>
        <v>0.25454429724002048</v>
      </c>
      <c r="Q72" s="36">
        <f>DSUM($B$43:$Y$48,Q$43,$C$55:$D72)</f>
        <v>0.27335794026273169</v>
      </c>
      <c r="R72" s="36">
        <f>DSUM($B$43:$Y$48,R$43,$C$55:$D72)</f>
        <v>0.29116798169886449</v>
      </c>
      <c r="S72" s="36">
        <f>DSUM($B$43:$Y$48,S$43,$C$55:$D72)</f>
        <v>0.30624421204541047</v>
      </c>
      <c r="T72" s="36">
        <f>DSUM($B$43:$Y$48,T$43,$C$55:$D72)</f>
        <v>0.31308786110119685</v>
      </c>
      <c r="U72" s="36">
        <f>DSUM($B$43:$Y$48,U$43,$C$55:$D72)</f>
        <v>0.31048414722014889</v>
      </c>
      <c r="V72" s="36">
        <f>DSUM($B$43:$Y$48,V$43,$C$55:$D72)</f>
        <v>0.31279983362311781</v>
      </c>
      <c r="W72" s="36">
        <f>DSUM($B$43:$Y$48,W$43,$C$55:$D72)</f>
        <v>0.31439109022101425</v>
      </c>
      <c r="X72" s="36">
        <f>DSUM($B$43:$Y$48,X$43,$C$55:$D72)</f>
        <v>0.31697063449160773</v>
      </c>
      <c r="Y72" s="36">
        <f>DSUM($B$43:$Y$48,Y$43,$C$55:$D72)</f>
        <v>3.6134763700837991</v>
      </c>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2:80">
      <c r="B73" s="9" t="s">
        <v>129</v>
      </c>
      <c r="C73" s="58" t="s">
        <v>130</v>
      </c>
      <c r="D73" s="58" t="s">
        <v>131</v>
      </c>
      <c r="E73" s="36">
        <f>DSUM($B$43:$Y$48,E$43,$C$55:$D73)</f>
        <v>2.2569983798435877E-3</v>
      </c>
      <c r="F73" s="36">
        <f>DSUM($B$43:$Y$48,F$43,$C$55:$D73)</f>
        <v>5.6075751765639684E-3</v>
      </c>
      <c r="G73" s="36">
        <f>DSUM($B$43:$Y$48,G$43,$C$55:$D73)</f>
        <v>1.1980676520663402E-2</v>
      </c>
      <c r="H73" s="36">
        <f>DSUM($B$43:$Y$48,H$43,$C$55:$D73)</f>
        <v>2.2777562011351084E-2</v>
      </c>
      <c r="I73" s="36">
        <f>DSUM($B$43:$Y$48,I$43,$C$55:$D73)</f>
        <v>3.8735378638978926E-2</v>
      </c>
      <c r="J73" s="36">
        <f>DSUM($B$43:$Y$48,J$43,$C$55:$D73)</f>
        <v>5.9540310629541737E-2</v>
      </c>
      <c r="K73" s="36">
        <f>DSUM($B$43:$Y$48,K$43,$C$55:$D73)</f>
        <v>8.6180992441484874E-2</v>
      </c>
      <c r="L73" s="36">
        <f>DSUM($B$43:$Y$48,L$43,$C$55:$D73)</f>
        <v>0.11902437107555662</v>
      </c>
      <c r="M73" s="36">
        <f>DSUM($B$43:$Y$48,M$43,$C$55:$D73)</f>
        <v>0.15399977117146602</v>
      </c>
      <c r="N73" s="36">
        <f>DSUM($B$43:$Y$48,N$43,$C$55:$D73)</f>
        <v>0.19284684356649703</v>
      </c>
      <c r="O73" s="36">
        <f>DSUM($B$43:$Y$48,O$43,$C$55:$D73)</f>
        <v>0.22747789256773929</v>
      </c>
      <c r="P73" s="36">
        <f>DSUM($B$43:$Y$48,P$43,$C$55:$D73)</f>
        <v>0.25454429724002048</v>
      </c>
      <c r="Q73" s="36">
        <f>DSUM($B$43:$Y$48,Q$43,$C$55:$D73)</f>
        <v>0.27335794026273169</v>
      </c>
      <c r="R73" s="36">
        <f>DSUM($B$43:$Y$48,R$43,$C$55:$D73)</f>
        <v>0.29116798169886449</v>
      </c>
      <c r="S73" s="36">
        <f>DSUM($B$43:$Y$48,S$43,$C$55:$D73)</f>
        <v>0.30624421204541047</v>
      </c>
      <c r="T73" s="36">
        <f>DSUM($B$43:$Y$48,T$43,$C$55:$D73)</f>
        <v>0.31308786110119685</v>
      </c>
      <c r="U73" s="36">
        <f>DSUM($B$43:$Y$48,U$43,$C$55:$D73)</f>
        <v>0.31048414722014889</v>
      </c>
      <c r="V73" s="36">
        <f>DSUM($B$43:$Y$48,V$43,$C$55:$D73)</f>
        <v>0.31279983362311781</v>
      </c>
      <c r="W73" s="36">
        <f>DSUM($B$43:$Y$48,W$43,$C$55:$D73)</f>
        <v>0.31439109022101425</v>
      </c>
      <c r="X73" s="36">
        <f>DSUM($B$43:$Y$48,X$43,$C$55:$D73)</f>
        <v>0.31697063449160773</v>
      </c>
      <c r="Y73" s="36">
        <f>DSUM($B$43:$Y$48,Y$43,$C$55:$D73)</f>
        <v>3.6134763700837991</v>
      </c>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2:80">
      <c r="B74" s="9" t="s">
        <v>132</v>
      </c>
      <c r="C74" s="58" t="s">
        <v>133</v>
      </c>
      <c r="D74" s="58" t="s">
        <v>134</v>
      </c>
      <c r="E74" s="36">
        <f>DSUM($B$43:$Y$48,E$43,$C$55:$D74)</f>
        <v>2.2569983798435877E-3</v>
      </c>
      <c r="F74" s="36">
        <f>DSUM($B$43:$Y$48,F$43,$C$55:$D74)</f>
        <v>5.6075751765639684E-3</v>
      </c>
      <c r="G74" s="36">
        <f>DSUM($B$43:$Y$48,G$43,$C$55:$D74)</f>
        <v>1.1980676520663402E-2</v>
      </c>
      <c r="H74" s="36">
        <f>DSUM($B$43:$Y$48,H$43,$C$55:$D74)</f>
        <v>2.2777562011351084E-2</v>
      </c>
      <c r="I74" s="36">
        <f>DSUM($B$43:$Y$48,I$43,$C$55:$D74)</f>
        <v>3.8735378638978926E-2</v>
      </c>
      <c r="J74" s="36">
        <f>DSUM($B$43:$Y$48,J$43,$C$55:$D74)</f>
        <v>5.9540310629541737E-2</v>
      </c>
      <c r="K74" s="36">
        <f>DSUM($B$43:$Y$48,K$43,$C$55:$D74)</f>
        <v>8.6180992441484874E-2</v>
      </c>
      <c r="L74" s="36">
        <f>DSUM($B$43:$Y$48,L$43,$C$55:$D74)</f>
        <v>0.11902437107555662</v>
      </c>
      <c r="M74" s="36">
        <f>DSUM($B$43:$Y$48,M$43,$C$55:$D74)</f>
        <v>0.15399977117146602</v>
      </c>
      <c r="N74" s="36">
        <f>DSUM($B$43:$Y$48,N$43,$C$55:$D74)</f>
        <v>0.19284684356649703</v>
      </c>
      <c r="O74" s="36">
        <f>DSUM($B$43:$Y$48,O$43,$C$55:$D74)</f>
        <v>0.22747789256773929</v>
      </c>
      <c r="P74" s="36">
        <f>DSUM($B$43:$Y$48,P$43,$C$55:$D74)</f>
        <v>0.25454429724002048</v>
      </c>
      <c r="Q74" s="36">
        <f>DSUM($B$43:$Y$48,Q$43,$C$55:$D74)</f>
        <v>0.27335794026273169</v>
      </c>
      <c r="R74" s="36">
        <f>DSUM($B$43:$Y$48,R$43,$C$55:$D74)</f>
        <v>0.29116798169886449</v>
      </c>
      <c r="S74" s="36">
        <f>DSUM($B$43:$Y$48,S$43,$C$55:$D74)</f>
        <v>0.30624421204541047</v>
      </c>
      <c r="T74" s="36">
        <f>DSUM($B$43:$Y$48,T$43,$C$55:$D74)</f>
        <v>0.31308786110119685</v>
      </c>
      <c r="U74" s="36">
        <f>DSUM($B$43:$Y$48,U$43,$C$55:$D74)</f>
        <v>0.31048414722014889</v>
      </c>
      <c r="V74" s="36">
        <f>DSUM($B$43:$Y$48,V$43,$C$55:$D74)</f>
        <v>0.31279983362311781</v>
      </c>
      <c r="W74" s="36">
        <f>DSUM($B$43:$Y$48,W$43,$C$55:$D74)</f>
        <v>0.31439109022101425</v>
      </c>
      <c r="X74" s="36">
        <f>DSUM($B$43:$Y$48,X$43,$C$55:$D74)</f>
        <v>0.31697063449160773</v>
      </c>
      <c r="Y74" s="36">
        <f>DSUM($B$43:$Y$48,Y$43,$C$55:$D74)</f>
        <v>3.6134763700837991</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2:80">
      <c r="B75" s="9" t="s">
        <v>135</v>
      </c>
      <c r="C75" s="58" t="s">
        <v>136</v>
      </c>
      <c r="D75" s="58" t="s">
        <v>137</v>
      </c>
      <c r="E75" s="36">
        <f>DSUM($B$43:$Y$48,E$43,$C$55:$D75)</f>
        <v>2.2569983798435877E-3</v>
      </c>
      <c r="F75" s="36">
        <f>DSUM($B$43:$Y$48,F$43,$C$55:$D75)</f>
        <v>5.6075751765639684E-3</v>
      </c>
      <c r="G75" s="36">
        <f>DSUM($B$43:$Y$48,G$43,$C$55:$D75)</f>
        <v>1.1980676520663402E-2</v>
      </c>
      <c r="H75" s="36">
        <f>DSUM($B$43:$Y$48,H$43,$C$55:$D75)</f>
        <v>2.2777562011351084E-2</v>
      </c>
      <c r="I75" s="36">
        <f>DSUM($B$43:$Y$48,I$43,$C$55:$D75)</f>
        <v>3.8735378638978926E-2</v>
      </c>
      <c r="J75" s="36">
        <f>DSUM($B$43:$Y$48,J$43,$C$55:$D75)</f>
        <v>5.9540310629541737E-2</v>
      </c>
      <c r="K75" s="36">
        <f>DSUM($B$43:$Y$48,K$43,$C$55:$D75)</f>
        <v>8.6180992441484874E-2</v>
      </c>
      <c r="L75" s="36">
        <f>DSUM($B$43:$Y$48,L$43,$C$55:$D75)</f>
        <v>0.11902437107555662</v>
      </c>
      <c r="M75" s="36">
        <f>DSUM($B$43:$Y$48,M$43,$C$55:$D75)</f>
        <v>0.15399977117146602</v>
      </c>
      <c r="N75" s="36">
        <f>DSUM($B$43:$Y$48,N$43,$C$55:$D75)</f>
        <v>0.19284684356649703</v>
      </c>
      <c r="O75" s="36">
        <f>DSUM($B$43:$Y$48,O$43,$C$55:$D75)</f>
        <v>0.22747789256773929</v>
      </c>
      <c r="P75" s="36">
        <f>DSUM($B$43:$Y$48,P$43,$C$55:$D75)</f>
        <v>0.25454429724002048</v>
      </c>
      <c r="Q75" s="36">
        <f>DSUM($B$43:$Y$48,Q$43,$C$55:$D75)</f>
        <v>0.27335794026273169</v>
      </c>
      <c r="R75" s="36">
        <f>DSUM($B$43:$Y$48,R$43,$C$55:$D75)</f>
        <v>0.29116798169886449</v>
      </c>
      <c r="S75" s="36">
        <f>DSUM($B$43:$Y$48,S$43,$C$55:$D75)</f>
        <v>0.30624421204541047</v>
      </c>
      <c r="T75" s="36">
        <f>DSUM($B$43:$Y$48,T$43,$C$55:$D75)</f>
        <v>0.31308786110119685</v>
      </c>
      <c r="U75" s="36">
        <f>DSUM($B$43:$Y$48,U$43,$C$55:$D75)</f>
        <v>0.31048414722014889</v>
      </c>
      <c r="V75" s="36">
        <f>DSUM($B$43:$Y$48,V$43,$C$55:$D75)</f>
        <v>0.31279983362311781</v>
      </c>
      <c r="W75" s="36">
        <f>DSUM($B$43:$Y$48,W$43,$C$55:$D75)</f>
        <v>0.31439109022101425</v>
      </c>
      <c r="X75" s="36">
        <f>DSUM($B$43:$Y$48,X$43,$C$55:$D75)</f>
        <v>0.31697063449160773</v>
      </c>
      <c r="Y75" s="36">
        <f>DSUM($B$43:$Y$48,Y$43,$C$55:$D75)</f>
        <v>3.6134763700837991</v>
      </c>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2:80">
      <c r="B76" s="9" t="s">
        <v>138</v>
      </c>
      <c r="C76" s="58" t="s">
        <v>139</v>
      </c>
      <c r="D76" s="58" t="s">
        <v>140</v>
      </c>
      <c r="E76" s="36">
        <f>DSUM($B$43:$Y$48,E$43,$C$55:$D76)</f>
        <v>2.2569983798435877E-3</v>
      </c>
      <c r="F76" s="36">
        <f>DSUM($B$43:$Y$48,F$43,$C$55:$D76)</f>
        <v>5.6075751765639684E-3</v>
      </c>
      <c r="G76" s="36">
        <f>DSUM($B$43:$Y$48,G$43,$C$55:$D76)</f>
        <v>1.1980676520663402E-2</v>
      </c>
      <c r="H76" s="36">
        <f>DSUM($B$43:$Y$48,H$43,$C$55:$D76)</f>
        <v>2.2777562011351084E-2</v>
      </c>
      <c r="I76" s="36">
        <f>DSUM($B$43:$Y$48,I$43,$C$55:$D76)</f>
        <v>3.8735378638978926E-2</v>
      </c>
      <c r="J76" s="36">
        <f>DSUM($B$43:$Y$48,J$43,$C$55:$D76)</f>
        <v>5.9540310629541737E-2</v>
      </c>
      <c r="K76" s="36">
        <f>DSUM($B$43:$Y$48,K$43,$C$55:$D76)</f>
        <v>8.6180992441484874E-2</v>
      </c>
      <c r="L76" s="36">
        <f>DSUM($B$43:$Y$48,L$43,$C$55:$D76)</f>
        <v>0.11902437107555662</v>
      </c>
      <c r="M76" s="36">
        <f>DSUM($B$43:$Y$48,M$43,$C$55:$D76)</f>
        <v>0.15399977117146602</v>
      </c>
      <c r="N76" s="36">
        <f>DSUM($B$43:$Y$48,N$43,$C$55:$D76)</f>
        <v>0.19284684356649703</v>
      </c>
      <c r="O76" s="36">
        <f>DSUM($B$43:$Y$48,O$43,$C$55:$D76)</f>
        <v>0.22747789256773929</v>
      </c>
      <c r="P76" s="36">
        <f>DSUM($B$43:$Y$48,P$43,$C$55:$D76)</f>
        <v>0.25454429724002048</v>
      </c>
      <c r="Q76" s="36">
        <f>DSUM($B$43:$Y$48,Q$43,$C$55:$D76)</f>
        <v>0.27335794026273169</v>
      </c>
      <c r="R76" s="36">
        <f>DSUM($B$43:$Y$48,R$43,$C$55:$D76)</f>
        <v>0.29116798169886449</v>
      </c>
      <c r="S76" s="36">
        <f>DSUM($B$43:$Y$48,S$43,$C$55:$D76)</f>
        <v>0.30624421204541047</v>
      </c>
      <c r="T76" s="36">
        <f>DSUM($B$43:$Y$48,T$43,$C$55:$D76)</f>
        <v>0.31308786110119685</v>
      </c>
      <c r="U76" s="36">
        <f>DSUM($B$43:$Y$48,U$43,$C$55:$D76)</f>
        <v>0.31048414722014889</v>
      </c>
      <c r="V76" s="36">
        <f>DSUM($B$43:$Y$48,V$43,$C$55:$D76)</f>
        <v>0.31279983362311781</v>
      </c>
      <c r="W76" s="36">
        <f>DSUM($B$43:$Y$48,W$43,$C$55:$D76)</f>
        <v>0.31439109022101425</v>
      </c>
      <c r="X76" s="36">
        <f>DSUM($B$43:$Y$48,X$43,$C$55:$D76)</f>
        <v>0.31697063449160773</v>
      </c>
      <c r="Y76" s="36">
        <f>DSUM($B$43:$Y$48,Y$43,$C$55:$D76)</f>
        <v>3.6134763700837991</v>
      </c>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2:80">
      <c r="B77" s="9" t="s">
        <v>293</v>
      </c>
      <c r="C77" s="58" t="s">
        <v>141</v>
      </c>
      <c r="D77" s="58" t="s">
        <v>294</v>
      </c>
      <c r="E77" s="36">
        <f>DSUM($B$43:$Y$48,E$43,$C$55:$D77)</f>
        <v>2.2569983798435877E-3</v>
      </c>
      <c r="F77" s="36">
        <f>DSUM($B$43:$Y$48,F$43,$C$55:$D77)</f>
        <v>5.6075751765639684E-3</v>
      </c>
      <c r="G77" s="36">
        <f>DSUM($B$43:$Y$48,G$43,$C$55:$D77)</f>
        <v>1.1980676520663402E-2</v>
      </c>
      <c r="H77" s="36">
        <f>DSUM($B$43:$Y$48,H$43,$C$55:$D77)</f>
        <v>2.2777562011351084E-2</v>
      </c>
      <c r="I77" s="36">
        <f>DSUM($B$43:$Y$48,I$43,$C$55:$D77)</f>
        <v>3.8735378638978926E-2</v>
      </c>
      <c r="J77" s="36">
        <f>DSUM($B$43:$Y$48,J$43,$C$55:$D77)</f>
        <v>5.9540310629541737E-2</v>
      </c>
      <c r="K77" s="36">
        <f>DSUM($B$43:$Y$48,K$43,$C$55:$D77)</f>
        <v>8.6180992441484874E-2</v>
      </c>
      <c r="L77" s="36">
        <f>DSUM($B$43:$Y$48,L$43,$C$55:$D77)</f>
        <v>0.11902437107555662</v>
      </c>
      <c r="M77" s="36">
        <f>DSUM($B$43:$Y$48,M$43,$C$55:$D77)</f>
        <v>0.15399977117146602</v>
      </c>
      <c r="N77" s="36">
        <f>DSUM($B$43:$Y$48,N$43,$C$55:$D77)</f>
        <v>0.19284684356649703</v>
      </c>
      <c r="O77" s="36">
        <f>DSUM($B$43:$Y$48,O$43,$C$55:$D77)</f>
        <v>0.22747789256773929</v>
      </c>
      <c r="P77" s="36">
        <f>DSUM($B$43:$Y$48,P$43,$C$55:$D77)</f>
        <v>0.25454429724002048</v>
      </c>
      <c r="Q77" s="36">
        <f>DSUM($B$43:$Y$48,Q$43,$C$55:$D77)</f>
        <v>0.27335794026273169</v>
      </c>
      <c r="R77" s="36">
        <f>DSUM($B$43:$Y$48,R$43,$C$55:$D77)</f>
        <v>0.29116798169886449</v>
      </c>
      <c r="S77" s="36">
        <f>DSUM($B$43:$Y$48,S$43,$C$55:$D77)</f>
        <v>0.30624421204541047</v>
      </c>
      <c r="T77" s="36">
        <f>DSUM($B$43:$Y$48,T$43,$C$55:$D77)</f>
        <v>0.31308786110119685</v>
      </c>
      <c r="U77" s="36">
        <f>DSUM($B$43:$Y$48,U$43,$C$55:$D77)</f>
        <v>0.31048414722014889</v>
      </c>
      <c r="V77" s="36">
        <f>DSUM($B$43:$Y$48,V$43,$C$55:$D77)</f>
        <v>0.31279983362311781</v>
      </c>
      <c r="W77" s="36">
        <f>DSUM($B$43:$Y$48,W$43,$C$55:$D77)</f>
        <v>0.31439109022101425</v>
      </c>
      <c r="X77" s="36">
        <f>DSUM($B$43:$Y$48,X$43,$C$55:$D77)</f>
        <v>0.31697063449160773</v>
      </c>
      <c r="Y77" s="36">
        <f>DSUM($B$43:$Y$48,Y$43,$C$55:$D77)</f>
        <v>3.6134763700837991</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2:80">
      <c r="B78" s="9" t="s">
        <v>295</v>
      </c>
      <c r="C78" s="58" t="s">
        <v>296</v>
      </c>
      <c r="D78" s="58" t="s">
        <v>297</v>
      </c>
      <c r="E78" s="36">
        <f>DSUM($B$43:$Y$48,E$43,$C$55:$D78)</f>
        <v>2.2569983798435877E-3</v>
      </c>
      <c r="F78" s="36">
        <f>DSUM($B$43:$Y$48,F$43,$C$55:$D78)</f>
        <v>5.6075751765639684E-3</v>
      </c>
      <c r="G78" s="36">
        <f>DSUM($B$43:$Y$48,G$43,$C$55:$D78)</f>
        <v>1.1980676520663402E-2</v>
      </c>
      <c r="H78" s="36">
        <f>DSUM($B$43:$Y$48,H$43,$C$55:$D78)</f>
        <v>2.2777562011351084E-2</v>
      </c>
      <c r="I78" s="36">
        <f>DSUM($B$43:$Y$48,I$43,$C$55:$D78)</f>
        <v>3.8735378638978926E-2</v>
      </c>
      <c r="J78" s="36">
        <f>DSUM($B$43:$Y$48,J$43,$C$55:$D78)</f>
        <v>5.9540310629541737E-2</v>
      </c>
      <c r="K78" s="36">
        <f>DSUM($B$43:$Y$48,K$43,$C$55:$D78)</f>
        <v>8.6180992441484874E-2</v>
      </c>
      <c r="L78" s="36">
        <f>DSUM($B$43:$Y$48,L$43,$C$55:$D78)</f>
        <v>0.11902437107555662</v>
      </c>
      <c r="M78" s="36">
        <f>DSUM($B$43:$Y$48,M$43,$C$55:$D78)</f>
        <v>0.15399977117146602</v>
      </c>
      <c r="N78" s="36">
        <f>DSUM($B$43:$Y$48,N$43,$C$55:$D78)</f>
        <v>0.19284684356649703</v>
      </c>
      <c r="O78" s="36">
        <f>DSUM($B$43:$Y$48,O$43,$C$55:$D78)</f>
        <v>0.22747789256773929</v>
      </c>
      <c r="P78" s="36">
        <f>DSUM($B$43:$Y$48,P$43,$C$55:$D78)</f>
        <v>0.25454429724002048</v>
      </c>
      <c r="Q78" s="36">
        <f>DSUM($B$43:$Y$48,Q$43,$C$55:$D78)</f>
        <v>0.27335794026273169</v>
      </c>
      <c r="R78" s="36">
        <f>DSUM($B$43:$Y$48,R$43,$C$55:$D78)</f>
        <v>0.29116798169886449</v>
      </c>
      <c r="S78" s="36">
        <f>DSUM($B$43:$Y$48,S$43,$C$55:$D78)</f>
        <v>0.30624421204541047</v>
      </c>
      <c r="T78" s="36">
        <f>DSUM($B$43:$Y$48,T$43,$C$55:$D78)</f>
        <v>0.31308786110119685</v>
      </c>
      <c r="U78" s="36">
        <f>DSUM($B$43:$Y$48,U$43,$C$55:$D78)</f>
        <v>0.31048414722014889</v>
      </c>
      <c r="V78" s="36">
        <f>DSUM($B$43:$Y$48,V$43,$C$55:$D78)</f>
        <v>0.31279983362311781</v>
      </c>
      <c r="W78" s="36">
        <f>DSUM($B$43:$Y$48,W$43,$C$55:$D78)</f>
        <v>0.31439109022101425</v>
      </c>
      <c r="X78" s="36">
        <f>DSUM($B$43:$Y$48,X$43,$C$55:$D78)</f>
        <v>0.31697063449160773</v>
      </c>
      <c r="Y78" s="36">
        <f>DSUM($B$43:$Y$48,Y$43,$C$55:$D78)</f>
        <v>3.6134763700837991</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2:80">
      <c r="B79" s="9" t="s">
        <v>298</v>
      </c>
      <c r="C79" s="58" t="s">
        <v>299</v>
      </c>
      <c r="D79" s="58" t="s">
        <v>300</v>
      </c>
      <c r="E79" s="36">
        <f>DSUM($B$43:$Y$48,E$43,$C$55:$D79)</f>
        <v>2.2569983798435877E-3</v>
      </c>
      <c r="F79" s="36">
        <f>DSUM($B$43:$Y$48,F$43,$C$55:$D79)</f>
        <v>5.6075751765639684E-3</v>
      </c>
      <c r="G79" s="36">
        <f>DSUM($B$43:$Y$48,G$43,$C$55:$D79)</f>
        <v>1.1980676520663402E-2</v>
      </c>
      <c r="H79" s="36">
        <f>DSUM($B$43:$Y$48,H$43,$C$55:$D79)</f>
        <v>2.2777562011351084E-2</v>
      </c>
      <c r="I79" s="36">
        <f>DSUM($B$43:$Y$48,I$43,$C$55:$D79)</f>
        <v>3.8735378638978926E-2</v>
      </c>
      <c r="J79" s="36">
        <f>DSUM($B$43:$Y$48,J$43,$C$55:$D79)</f>
        <v>5.9540310629541737E-2</v>
      </c>
      <c r="K79" s="36">
        <f>DSUM($B$43:$Y$48,K$43,$C$55:$D79)</f>
        <v>8.6180992441484874E-2</v>
      </c>
      <c r="L79" s="36">
        <f>DSUM($B$43:$Y$48,L$43,$C$55:$D79)</f>
        <v>0.11902437107555662</v>
      </c>
      <c r="M79" s="36">
        <f>DSUM($B$43:$Y$48,M$43,$C$55:$D79)</f>
        <v>0.15399977117146602</v>
      </c>
      <c r="N79" s="36">
        <f>DSUM($B$43:$Y$48,N$43,$C$55:$D79)</f>
        <v>0.19284684356649703</v>
      </c>
      <c r="O79" s="36">
        <f>DSUM($B$43:$Y$48,O$43,$C$55:$D79)</f>
        <v>0.22747789256773929</v>
      </c>
      <c r="P79" s="36">
        <f>DSUM($B$43:$Y$48,P$43,$C$55:$D79)</f>
        <v>0.25454429724002048</v>
      </c>
      <c r="Q79" s="36">
        <f>DSUM($B$43:$Y$48,Q$43,$C$55:$D79)</f>
        <v>0.27335794026273169</v>
      </c>
      <c r="R79" s="36">
        <f>DSUM($B$43:$Y$48,R$43,$C$55:$D79)</f>
        <v>0.29116798169886449</v>
      </c>
      <c r="S79" s="36">
        <f>DSUM($B$43:$Y$48,S$43,$C$55:$D79)</f>
        <v>0.30624421204541047</v>
      </c>
      <c r="T79" s="36">
        <f>DSUM($B$43:$Y$48,T$43,$C$55:$D79)</f>
        <v>0.31308786110119685</v>
      </c>
      <c r="U79" s="36">
        <f>DSUM($B$43:$Y$48,U$43,$C$55:$D79)</f>
        <v>0.31048414722014889</v>
      </c>
      <c r="V79" s="36">
        <f>DSUM($B$43:$Y$48,V$43,$C$55:$D79)</f>
        <v>0.31279983362311781</v>
      </c>
      <c r="W79" s="36">
        <f>DSUM($B$43:$Y$48,W$43,$C$55:$D79)</f>
        <v>0.31439109022101425</v>
      </c>
      <c r="X79" s="36">
        <f>DSUM($B$43:$Y$48,X$43,$C$55:$D79)</f>
        <v>0.31697063449160773</v>
      </c>
      <c r="Y79" s="36">
        <f>DSUM($B$43:$Y$48,Y$43,$C$55:$D79)</f>
        <v>3.6134763700837991</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2:80">
      <c r="B80" s="9" t="s">
        <v>301</v>
      </c>
      <c r="C80" s="58" t="s">
        <v>302</v>
      </c>
      <c r="D80" s="58" t="s">
        <v>303</v>
      </c>
      <c r="E80" s="36">
        <f>DSUM($B$43:$Y$48,E$43,$C$55:$D80)</f>
        <v>2.2569983798435877E-3</v>
      </c>
      <c r="F80" s="36">
        <f>DSUM($B$43:$Y$48,F$43,$C$55:$D80)</f>
        <v>5.6075751765639684E-3</v>
      </c>
      <c r="G80" s="36">
        <f>DSUM($B$43:$Y$48,G$43,$C$55:$D80)</f>
        <v>1.1980676520663402E-2</v>
      </c>
      <c r="H80" s="36">
        <f>DSUM($B$43:$Y$48,H$43,$C$55:$D80)</f>
        <v>2.2777562011351084E-2</v>
      </c>
      <c r="I80" s="36">
        <f>DSUM($B$43:$Y$48,I$43,$C$55:$D80)</f>
        <v>3.8735378638978926E-2</v>
      </c>
      <c r="J80" s="36">
        <f>DSUM($B$43:$Y$48,J$43,$C$55:$D80)</f>
        <v>5.9540310629541737E-2</v>
      </c>
      <c r="K80" s="36">
        <f>DSUM($B$43:$Y$48,K$43,$C$55:$D80)</f>
        <v>8.6180992441484874E-2</v>
      </c>
      <c r="L80" s="36">
        <f>DSUM($B$43:$Y$48,L$43,$C$55:$D80)</f>
        <v>0.11902437107555662</v>
      </c>
      <c r="M80" s="36">
        <f>DSUM($B$43:$Y$48,M$43,$C$55:$D80)</f>
        <v>0.15399977117146602</v>
      </c>
      <c r="N80" s="36">
        <f>DSUM($B$43:$Y$48,N$43,$C$55:$D80)</f>
        <v>0.19284684356649703</v>
      </c>
      <c r="O80" s="36">
        <f>DSUM($B$43:$Y$48,O$43,$C$55:$D80)</f>
        <v>0.22747789256773929</v>
      </c>
      <c r="P80" s="36">
        <f>DSUM($B$43:$Y$48,P$43,$C$55:$D80)</f>
        <v>0.25454429724002048</v>
      </c>
      <c r="Q80" s="36">
        <f>DSUM($B$43:$Y$48,Q$43,$C$55:$D80)</f>
        <v>0.27335794026273169</v>
      </c>
      <c r="R80" s="36">
        <f>DSUM($B$43:$Y$48,R$43,$C$55:$D80)</f>
        <v>0.29116798169886449</v>
      </c>
      <c r="S80" s="36">
        <f>DSUM($B$43:$Y$48,S$43,$C$55:$D80)</f>
        <v>0.30624421204541047</v>
      </c>
      <c r="T80" s="36">
        <f>DSUM($B$43:$Y$48,T$43,$C$55:$D80)</f>
        <v>0.31308786110119685</v>
      </c>
      <c r="U80" s="36">
        <f>DSUM($B$43:$Y$48,U$43,$C$55:$D80)</f>
        <v>0.31048414722014889</v>
      </c>
      <c r="V80" s="36">
        <f>DSUM($B$43:$Y$48,V$43,$C$55:$D80)</f>
        <v>0.31279983362311781</v>
      </c>
      <c r="W80" s="36">
        <f>DSUM($B$43:$Y$48,W$43,$C$55:$D80)</f>
        <v>0.31439109022101425</v>
      </c>
      <c r="X80" s="36">
        <f>DSUM($B$43:$Y$48,X$43,$C$55:$D80)</f>
        <v>0.31697063449160773</v>
      </c>
      <c r="Y80" s="36">
        <f>DSUM($B$43:$Y$48,Y$43,$C$55:$D80)</f>
        <v>3.6134763700837991</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B81" s="9" t="s">
        <v>304</v>
      </c>
      <c r="C81" s="58" t="s">
        <v>305</v>
      </c>
      <c r="D81" s="58" t="s">
        <v>306</v>
      </c>
      <c r="E81" s="36">
        <f>DSUM($B$43:$Y$48,E$43,$C$55:$D81)</f>
        <v>2.2569983798435877E-3</v>
      </c>
      <c r="F81" s="36">
        <f>DSUM($B$43:$Y$48,F$43,$C$55:$D81)</f>
        <v>5.6075751765639684E-3</v>
      </c>
      <c r="G81" s="36">
        <f>DSUM($B$43:$Y$48,G$43,$C$55:$D81)</f>
        <v>1.1980676520663402E-2</v>
      </c>
      <c r="H81" s="36">
        <f>DSUM($B$43:$Y$48,H$43,$C$55:$D81)</f>
        <v>2.2777562011351084E-2</v>
      </c>
      <c r="I81" s="36">
        <f>DSUM($B$43:$Y$48,I$43,$C$55:$D81)</f>
        <v>3.8735378638978926E-2</v>
      </c>
      <c r="J81" s="36">
        <f>DSUM($B$43:$Y$48,J$43,$C$55:$D81)</f>
        <v>5.9540310629541737E-2</v>
      </c>
      <c r="K81" s="36">
        <f>DSUM($B$43:$Y$48,K$43,$C$55:$D81)</f>
        <v>8.6180992441484874E-2</v>
      </c>
      <c r="L81" s="36">
        <f>DSUM($B$43:$Y$48,L$43,$C$55:$D81)</f>
        <v>0.11902437107555662</v>
      </c>
      <c r="M81" s="36">
        <f>DSUM($B$43:$Y$48,M$43,$C$55:$D81)</f>
        <v>0.15399977117146602</v>
      </c>
      <c r="N81" s="36">
        <f>DSUM($B$43:$Y$48,N$43,$C$55:$D81)</f>
        <v>0.19284684356649703</v>
      </c>
      <c r="O81" s="36">
        <f>DSUM($B$43:$Y$48,O$43,$C$55:$D81)</f>
        <v>0.22747789256773929</v>
      </c>
      <c r="P81" s="36">
        <f>DSUM($B$43:$Y$48,P$43,$C$55:$D81)</f>
        <v>0.25454429724002048</v>
      </c>
      <c r="Q81" s="36">
        <f>DSUM($B$43:$Y$48,Q$43,$C$55:$D81)</f>
        <v>0.27335794026273169</v>
      </c>
      <c r="R81" s="36">
        <f>DSUM($B$43:$Y$48,R$43,$C$55:$D81)</f>
        <v>0.29116798169886449</v>
      </c>
      <c r="S81" s="36">
        <f>DSUM($B$43:$Y$48,S$43,$C$55:$D81)</f>
        <v>0.30624421204541047</v>
      </c>
      <c r="T81" s="36">
        <f>DSUM($B$43:$Y$48,T$43,$C$55:$D81)</f>
        <v>0.31308786110119685</v>
      </c>
      <c r="U81" s="36">
        <f>DSUM($B$43:$Y$48,U$43,$C$55:$D81)</f>
        <v>0.31048414722014889</v>
      </c>
      <c r="V81" s="36">
        <f>DSUM($B$43:$Y$48,V$43,$C$55:$D81)</f>
        <v>0.31279983362311781</v>
      </c>
      <c r="W81" s="36">
        <f>DSUM($B$43:$Y$48,W$43,$C$55:$D81)</f>
        <v>0.31439109022101425</v>
      </c>
      <c r="X81" s="36">
        <f>DSUM($B$43:$Y$48,X$43,$C$55:$D81)</f>
        <v>0.31697063449160773</v>
      </c>
      <c r="Y81" s="36">
        <f>DSUM($B$43:$Y$48,Y$43,$C$55:$D81)</f>
        <v>3.6134763700837991</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B82" s="9" t="s">
        <v>307</v>
      </c>
      <c r="C82" s="58" t="s">
        <v>308</v>
      </c>
      <c r="D82" s="58" t="s">
        <v>309</v>
      </c>
      <c r="E82" s="36">
        <f>DSUM($B$43:$Y$48,E$43,$C$55:$D82)</f>
        <v>2.2569983798435877E-3</v>
      </c>
      <c r="F82" s="36">
        <f>DSUM($B$43:$Y$48,F$43,$C$55:$D82)</f>
        <v>5.6075751765639684E-3</v>
      </c>
      <c r="G82" s="36">
        <f>DSUM($B$43:$Y$48,G$43,$C$55:$D82)</f>
        <v>1.1980676520663402E-2</v>
      </c>
      <c r="H82" s="36">
        <f>DSUM($B$43:$Y$48,H$43,$C$55:$D82)</f>
        <v>2.2777562011351084E-2</v>
      </c>
      <c r="I82" s="36">
        <f>DSUM($B$43:$Y$48,I$43,$C$55:$D82)</f>
        <v>3.8735378638978926E-2</v>
      </c>
      <c r="J82" s="36">
        <f>DSUM($B$43:$Y$48,J$43,$C$55:$D82)</f>
        <v>5.9540310629541737E-2</v>
      </c>
      <c r="K82" s="36">
        <f>DSUM($B$43:$Y$48,K$43,$C$55:$D82)</f>
        <v>8.6180992441484874E-2</v>
      </c>
      <c r="L82" s="36">
        <f>DSUM($B$43:$Y$48,L$43,$C$55:$D82)</f>
        <v>0.11902437107555662</v>
      </c>
      <c r="M82" s="36">
        <f>DSUM($B$43:$Y$48,M$43,$C$55:$D82)</f>
        <v>0.15399977117146602</v>
      </c>
      <c r="N82" s="36">
        <f>DSUM($B$43:$Y$48,N$43,$C$55:$D82)</f>
        <v>0.19284684356649703</v>
      </c>
      <c r="O82" s="36">
        <f>DSUM($B$43:$Y$48,O$43,$C$55:$D82)</f>
        <v>0.22747789256773929</v>
      </c>
      <c r="P82" s="36">
        <f>DSUM($B$43:$Y$48,P$43,$C$55:$D82)</f>
        <v>0.25454429724002048</v>
      </c>
      <c r="Q82" s="36">
        <f>DSUM($B$43:$Y$48,Q$43,$C$55:$D82)</f>
        <v>0.27335794026273169</v>
      </c>
      <c r="R82" s="36">
        <f>DSUM($B$43:$Y$48,R$43,$C$55:$D82)</f>
        <v>0.29116798169886449</v>
      </c>
      <c r="S82" s="36">
        <f>DSUM($B$43:$Y$48,S$43,$C$55:$D82)</f>
        <v>0.30624421204541047</v>
      </c>
      <c r="T82" s="36">
        <f>DSUM($B$43:$Y$48,T$43,$C$55:$D82)</f>
        <v>0.31308786110119685</v>
      </c>
      <c r="U82" s="36">
        <f>DSUM($B$43:$Y$48,U$43,$C$55:$D82)</f>
        <v>0.31048414722014889</v>
      </c>
      <c r="V82" s="36">
        <f>DSUM($B$43:$Y$48,V$43,$C$55:$D82)</f>
        <v>0.31279983362311781</v>
      </c>
      <c r="W82" s="36">
        <f>DSUM($B$43:$Y$48,W$43,$C$55:$D82)</f>
        <v>0.31439109022101425</v>
      </c>
      <c r="X82" s="36">
        <f>DSUM($B$43:$Y$48,X$43,$C$55:$D82)</f>
        <v>0.31697063449160773</v>
      </c>
      <c r="Y82" s="36">
        <f>DSUM($B$43:$Y$48,Y$43,$C$55:$D82)</f>
        <v>3.6134763700837991</v>
      </c>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B83" s="9" t="s">
        <v>310</v>
      </c>
      <c r="C83" s="58" t="s">
        <v>311</v>
      </c>
      <c r="D83" s="58" t="s">
        <v>312</v>
      </c>
      <c r="E83" s="36">
        <f>DSUM($B$43:$Y$48,E$43,$C$55:$D83)</f>
        <v>2.2569983798435877E-3</v>
      </c>
      <c r="F83" s="36">
        <f>DSUM($B$43:$Y$48,F$43,$C$55:$D83)</f>
        <v>5.6075751765639684E-3</v>
      </c>
      <c r="G83" s="36">
        <f>DSUM($B$43:$Y$48,G$43,$C$55:$D83)</f>
        <v>1.1980676520663402E-2</v>
      </c>
      <c r="H83" s="36">
        <f>DSUM($B$43:$Y$48,H$43,$C$55:$D83)</f>
        <v>2.2777562011351084E-2</v>
      </c>
      <c r="I83" s="36">
        <f>DSUM($B$43:$Y$48,I$43,$C$55:$D83)</f>
        <v>3.8735378638978926E-2</v>
      </c>
      <c r="J83" s="36">
        <f>DSUM($B$43:$Y$48,J$43,$C$55:$D83)</f>
        <v>5.9540310629541737E-2</v>
      </c>
      <c r="K83" s="36">
        <f>DSUM($B$43:$Y$48,K$43,$C$55:$D83)</f>
        <v>8.6180992441484874E-2</v>
      </c>
      <c r="L83" s="36">
        <f>DSUM($B$43:$Y$48,L$43,$C$55:$D83)</f>
        <v>0.11902437107555662</v>
      </c>
      <c r="M83" s="36">
        <f>DSUM($B$43:$Y$48,M$43,$C$55:$D83)</f>
        <v>0.15399977117146602</v>
      </c>
      <c r="N83" s="36">
        <f>DSUM($B$43:$Y$48,N$43,$C$55:$D83)</f>
        <v>0.19284684356649703</v>
      </c>
      <c r="O83" s="36">
        <f>DSUM($B$43:$Y$48,O$43,$C$55:$D83)</f>
        <v>0.22747789256773929</v>
      </c>
      <c r="P83" s="36">
        <f>DSUM($B$43:$Y$48,P$43,$C$55:$D83)</f>
        <v>0.25454429724002048</v>
      </c>
      <c r="Q83" s="36">
        <f>DSUM($B$43:$Y$48,Q$43,$C$55:$D83)</f>
        <v>0.27335794026273169</v>
      </c>
      <c r="R83" s="36">
        <f>DSUM($B$43:$Y$48,R$43,$C$55:$D83)</f>
        <v>0.29116798169886449</v>
      </c>
      <c r="S83" s="36">
        <f>DSUM($B$43:$Y$48,S$43,$C$55:$D83)</f>
        <v>0.30624421204541047</v>
      </c>
      <c r="T83" s="36">
        <f>DSUM($B$43:$Y$48,T$43,$C$55:$D83)</f>
        <v>0.31308786110119685</v>
      </c>
      <c r="U83" s="36">
        <f>DSUM($B$43:$Y$48,U$43,$C$55:$D83)</f>
        <v>0.31048414722014889</v>
      </c>
      <c r="V83" s="36">
        <f>DSUM($B$43:$Y$48,V$43,$C$55:$D83)</f>
        <v>0.31279983362311781</v>
      </c>
      <c r="W83" s="36">
        <f>DSUM($B$43:$Y$48,W$43,$C$55:$D83)</f>
        <v>0.31439109022101425</v>
      </c>
      <c r="X83" s="36">
        <f>DSUM($B$43:$Y$48,X$43,$C$55:$D83)</f>
        <v>0.31697063449160773</v>
      </c>
      <c r="Y83" s="36">
        <f>DSUM($B$43:$Y$48,Y$43,$C$55:$D83)</f>
        <v>3.6134763700837991</v>
      </c>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B84" s="9" t="s">
        <v>313</v>
      </c>
      <c r="C84" s="58" t="s">
        <v>314</v>
      </c>
      <c r="D84" s="58" t="s">
        <v>315</v>
      </c>
      <c r="E84" s="36">
        <f>DSUM($B$43:$Y$48,E$43,$C$55:$D84)</f>
        <v>2.2569983798435877E-3</v>
      </c>
      <c r="F84" s="36">
        <f>DSUM($B$43:$Y$48,F$43,$C$55:$D84)</f>
        <v>5.6075751765639684E-3</v>
      </c>
      <c r="G84" s="36">
        <f>DSUM($B$43:$Y$48,G$43,$C$55:$D84)</f>
        <v>1.1980676520663402E-2</v>
      </c>
      <c r="H84" s="36">
        <f>DSUM($B$43:$Y$48,H$43,$C$55:$D84)</f>
        <v>2.2777562011351084E-2</v>
      </c>
      <c r="I84" s="36">
        <f>DSUM($B$43:$Y$48,I$43,$C$55:$D84)</f>
        <v>3.8735378638978926E-2</v>
      </c>
      <c r="J84" s="36">
        <f>DSUM($B$43:$Y$48,J$43,$C$55:$D84)</f>
        <v>5.9540310629541737E-2</v>
      </c>
      <c r="K84" s="36">
        <f>DSUM($B$43:$Y$48,K$43,$C$55:$D84)</f>
        <v>8.6180992441484874E-2</v>
      </c>
      <c r="L84" s="36">
        <f>DSUM($B$43:$Y$48,L$43,$C$55:$D84)</f>
        <v>0.11902437107555662</v>
      </c>
      <c r="M84" s="36">
        <f>DSUM($B$43:$Y$48,M$43,$C$55:$D84)</f>
        <v>0.15399977117146602</v>
      </c>
      <c r="N84" s="36">
        <f>DSUM($B$43:$Y$48,N$43,$C$55:$D84)</f>
        <v>0.19284684356649703</v>
      </c>
      <c r="O84" s="36">
        <f>DSUM($B$43:$Y$48,O$43,$C$55:$D84)</f>
        <v>0.22747789256773929</v>
      </c>
      <c r="P84" s="36">
        <f>DSUM($B$43:$Y$48,P$43,$C$55:$D84)</f>
        <v>0.25454429724002048</v>
      </c>
      <c r="Q84" s="36">
        <f>DSUM($B$43:$Y$48,Q$43,$C$55:$D84)</f>
        <v>0.27335794026273169</v>
      </c>
      <c r="R84" s="36">
        <f>DSUM($B$43:$Y$48,R$43,$C$55:$D84)</f>
        <v>0.29116798169886449</v>
      </c>
      <c r="S84" s="36">
        <f>DSUM($B$43:$Y$48,S$43,$C$55:$D84)</f>
        <v>0.30624421204541047</v>
      </c>
      <c r="T84" s="36">
        <f>DSUM($B$43:$Y$48,T$43,$C$55:$D84)</f>
        <v>0.31308786110119685</v>
      </c>
      <c r="U84" s="36">
        <f>DSUM($B$43:$Y$48,U$43,$C$55:$D84)</f>
        <v>0.31048414722014889</v>
      </c>
      <c r="V84" s="36">
        <f>DSUM($B$43:$Y$48,V$43,$C$55:$D84)</f>
        <v>0.31279983362311781</v>
      </c>
      <c r="W84" s="36">
        <f>DSUM($B$43:$Y$48,W$43,$C$55:$D84)</f>
        <v>0.31439109022101425</v>
      </c>
      <c r="X84" s="36">
        <f>DSUM($B$43:$Y$48,X$43,$C$55:$D84)</f>
        <v>0.31697063449160773</v>
      </c>
      <c r="Y84" s="36">
        <f>DSUM($B$43:$Y$48,Y$43,$C$55:$D84)</f>
        <v>3.6134763700837991</v>
      </c>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c r="B85" s="9" t="s">
        <v>316</v>
      </c>
      <c r="C85" s="58" t="s">
        <v>317</v>
      </c>
      <c r="D85" s="58" t="s">
        <v>318</v>
      </c>
      <c r="E85" s="36">
        <f>DSUM($B$43:$Y$48,E$43,$C$55:$D85)</f>
        <v>2.2569983798435877E-3</v>
      </c>
      <c r="F85" s="36">
        <f>DSUM($B$43:$Y$48,F$43,$C$55:$D85)</f>
        <v>5.6075751765639684E-3</v>
      </c>
      <c r="G85" s="36">
        <f>DSUM($B$43:$Y$48,G$43,$C$55:$D85)</f>
        <v>1.1980676520663402E-2</v>
      </c>
      <c r="H85" s="36">
        <f>DSUM($B$43:$Y$48,H$43,$C$55:$D85)</f>
        <v>2.2777562011351084E-2</v>
      </c>
      <c r="I85" s="36">
        <f>DSUM($B$43:$Y$48,I$43,$C$55:$D85)</f>
        <v>3.8735378638978926E-2</v>
      </c>
      <c r="J85" s="36">
        <f>DSUM($B$43:$Y$48,J$43,$C$55:$D85)</f>
        <v>5.9540310629541737E-2</v>
      </c>
      <c r="K85" s="36">
        <f>DSUM($B$43:$Y$48,K$43,$C$55:$D85)</f>
        <v>8.6180992441484874E-2</v>
      </c>
      <c r="L85" s="36">
        <f>DSUM($B$43:$Y$48,L$43,$C$55:$D85)</f>
        <v>0.11902437107555662</v>
      </c>
      <c r="M85" s="36">
        <f>DSUM($B$43:$Y$48,M$43,$C$55:$D85)</f>
        <v>0.15399977117146602</v>
      </c>
      <c r="N85" s="36">
        <f>DSUM($B$43:$Y$48,N$43,$C$55:$D85)</f>
        <v>0.19284684356649703</v>
      </c>
      <c r="O85" s="36">
        <f>DSUM($B$43:$Y$48,O$43,$C$55:$D85)</f>
        <v>0.22747789256773929</v>
      </c>
      <c r="P85" s="36">
        <f>DSUM($B$43:$Y$48,P$43,$C$55:$D85)</f>
        <v>0.25454429724002048</v>
      </c>
      <c r="Q85" s="36">
        <f>DSUM($B$43:$Y$48,Q$43,$C$55:$D85)</f>
        <v>0.27335794026273169</v>
      </c>
      <c r="R85" s="36">
        <f>DSUM($B$43:$Y$48,R$43,$C$55:$D85)</f>
        <v>0.29116798169886449</v>
      </c>
      <c r="S85" s="36">
        <f>DSUM($B$43:$Y$48,S$43,$C$55:$D85)</f>
        <v>0.30624421204541047</v>
      </c>
      <c r="T85" s="36">
        <f>DSUM($B$43:$Y$48,T$43,$C$55:$D85)</f>
        <v>0.31308786110119685</v>
      </c>
      <c r="U85" s="36">
        <f>DSUM($B$43:$Y$48,U$43,$C$55:$D85)</f>
        <v>0.31048414722014889</v>
      </c>
      <c r="V85" s="36">
        <f>DSUM($B$43:$Y$48,V$43,$C$55:$D85)</f>
        <v>0.31279983362311781</v>
      </c>
      <c r="W85" s="36">
        <f>DSUM($B$43:$Y$48,W$43,$C$55:$D85)</f>
        <v>0.31439109022101425</v>
      </c>
      <c r="X85" s="36">
        <f>DSUM($B$43:$Y$48,X$43,$C$55:$D85)</f>
        <v>0.31697063449160773</v>
      </c>
      <c r="Y85" s="36">
        <f>DSUM($B$43:$Y$48,Y$43,$C$55:$D85)</f>
        <v>3.6134763700837991</v>
      </c>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c r="B86" s="9" t="s">
        <v>319</v>
      </c>
      <c r="C86" s="58" t="s">
        <v>320</v>
      </c>
      <c r="D86" s="58" t="s">
        <v>321</v>
      </c>
      <c r="E86" s="36">
        <f>DSUM($B$43:$Y$48,E$43,$C$55:$D86)</f>
        <v>2.2569983798435877E-3</v>
      </c>
      <c r="F86" s="36">
        <f>DSUM($B$43:$Y$48,F$43,$C$55:$D86)</f>
        <v>5.6075751765639684E-3</v>
      </c>
      <c r="G86" s="36">
        <f>DSUM($B$43:$Y$48,G$43,$C$55:$D86)</f>
        <v>1.1980676520663402E-2</v>
      </c>
      <c r="H86" s="36">
        <f>DSUM($B$43:$Y$48,H$43,$C$55:$D86)</f>
        <v>2.2777562011351084E-2</v>
      </c>
      <c r="I86" s="36">
        <f>DSUM($B$43:$Y$48,I$43,$C$55:$D86)</f>
        <v>3.8735378638978926E-2</v>
      </c>
      <c r="J86" s="36">
        <f>DSUM($B$43:$Y$48,J$43,$C$55:$D86)</f>
        <v>5.9540310629541737E-2</v>
      </c>
      <c r="K86" s="36">
        <f>DSUM($B$43:$Y$48,K$43,$C$55:$D86)</f>
        <v>8.6180992441484874E-2</v>
      </c>
      <c r="L86" s="36">
        <f>DSUM($B$43:$Y$48,L$43,$C$55:$D86)</f>
        <v>0.11902437107555662</v>
      </c>
      <c r="M86" s="36">
        <f>DSUM($B$43:$Y$48,M$43,$C$55:$D86)</f>
        <v>0.15399977117146602</v>
      </c>
      <c r="N86" s="36">
        <f>DSUM($B$43:$Y$48,N$43,$C$55:$D86)</f>
        <v>0.19284684356649703</v>
      </c>
      <c r="O86" s="36">
        <f>DSUM($B$43:$Y$48,O$43,$C$55:$D86)</f>
        <v>0.22747789256773929</v>
      </c>
      <c r="P86" s="36">
        <f>DSUM($B$43:$Y$48,P$43,$C$55:$D86)</f>
        <v>0.25454429724002048</v>
      </c>
      <c r="Q86" s="36">
        <f>DSUM($B$43:$Y$48,Q$43,$C$55:$D86)</f>
        <v>0.27335794026273169</v>
      </c>
      <c r="R86" s="36">
        <f>DSUM($B$43:$Y$48,R$43,$C$55:$D86)</f>
        <v>0.29116798169886449</v>
      </c>
      <c r="S86" s="36">
        <f>DSUM($B$43:$Y$48,S$43,$C$55:$D86)</f>
        <v>0.30624421204541047</v>
      </c>
      <c r="T86" s="36">
        <f>DSUM($B$43:$Y$48,T$43,$C$55:$D86)</f>
        <v>0.31308786110119685</v>
      </c>
      <c r="U86" s="36">
        <f>DSUM($B$43:$Y$48,U$43,$C$55:$D86)</f>
        <v>0.31048414722014889</v>
      </c>
      <c r="V86" s="36">
        <f>DSUM($B$43:$Y$48,V$43,$C$55:$D86)</f>
        <v>0.31279983362311781</v>
      </c>
      <c r="W86" s="36">
        <f>DSUM($B$43:$Y$48,W$43,$C$55:$D86)</f>
        <v>0.31439109022101425</v>
      </c>
      <c r="X86" s="36">
        <f>DSUM($B$43:$Y$48,X$43,$C$55:$D86)</f>
        <v>0.31697063449160773</v>
      </c>
      <c r="Y86" s="36">
        <f>DSUM($B$43:$Y$48,Y$43,$C$55:$D86)</f>
        <v>3.6134763700837991</v>
      </c>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c r="B87" s="9" t="s">
        <v>322</v>
      </c>
      <c r="C87" s="58" t="s">
        <v>323</v>
      </c>
      <c r="D87" s="58" t="s">
        <v>142</v>
      </c>
      <c r="E87" s="36">
        <f>DSUM($B$43:$Y$48,E$43,$C$55:$D87)</f>
        <v>2.2569983798435877E-3</v>
      </c>
      <c r="F87" s="36">
        <f>DSUM($B$43:$Y$48,F$43,$C$55:$D87)</f>
        <v>5.6075751765639684E-3</v>
      </c>
      <c r="G87" s="36">
        <f>DSUM($B$43:$Y$48,G$43,$C$55:$D87)</f>
        <v>1.1980676520663402E-2</v>
      </c>
      <c r="H87" s="36">
        <f>DSUM($B$43:$Y$48,H$43,$C$55:$D87)</f>
        <v>2.2777562011351084E-2</v>
      </c>
      <c r="I87" s="36">
        <f>DSUM($B$43:$Y$48,I$43,$C$55:$D87)</f>
        <v>3.8735378638978926E-2</v>
      </c>
      <c r="J87" s="36">
        <f>DSUM($B$43:$Y$48,J$43,$C$55:$D87)</f>
        <v>5.9540310629541737E-2</v>
      </c>
      <c r="K87" s="36">
        <f>DSUM($B$43:$Y$48,K$43,$C$55:$D87)</f>
        <v>8.6180992441484874E-2</v>
      </c>
      <c r="L87" s="36">
        <f>DSUM($B$43:$Y$48,L$43,$C$55:$D87)</f>
        <v>0.11902437107555662</v>
      </c>
      <c r="M87" s="36">
        <f>DSUM($B$43:$Y$48,M$43,$C$55:$D87)</f>
        <v>0.15399977117146602</v>
      </c>
      <c r="N87" s="36">
        <f>DSUM($B$43:$Y$48,N$43,$C$55:$D87)</f>
        <v>0.19284684356649703</v>
      </c>
      <c r="O87" s="36">
        <f>DSUM($B$43:$Y$48,O$43,$C$55:$D87)</f>
        <v>0.22747789256773929</v>
      </c>
      <c r="P87" s="36">
        <f>DSUM($B$43:$Y$48,P$43,$C$55:$D87)</f>
        <v>0.25454429724002048</v>
      </c>
      <c r="Q87" s="36">
        <f>DSUM($B$43:$Y$48,Q$43,$C$55:$D87)</f>
        <v>0.27335794026273169</v>
      </c>
      <c r="R87" s="36">
        <f>DSUM($B$43:$Y$48,R$43,$C$55:$D87)</f>
        <v>0.29116798169886449</v>
      </c>
      <c r="S87" s="36">
        <f>DSUM($B$43:$Y$48,S$43,$C$55:$D87)</f>
        <v>0.30624421204541047</v>
      </c>
      <c r="T87" s="36">
        <f>DSUM($B$43:$Y$48,T$43,$C$55:$D87)</f>
        <v>0.31308786110119685</v>
      </c>
      <c r="U87" s="36">
        <f>DSUM($B$43:$Y$48,U$43,$C$55:$D87)</f>
        <v>0.31048414722014889</v>
      </c>
      <c r="V87" s="36">
        <f>DSUM($B$43:$Y$48,V$43,$C$55:$D87)</f>
        <v>0.31279983362311781</v>
      </c>
      <c r="W87" s="36">
        <f>DSUM($B$43:$Y$48,W$43,$C$55:$D87)</f>
        <v>0.31439109022101425</v>
      </c>
      <c r="X87" s="36">
        <f>DSUM($B$43:$Y$48,X$43,$C$55:$D87)</f>
        <v>0.31697063449160773</v>
      </c>
      <c r="Y87" s="36">
        <f>DSUM($B$43:$Y$48,Y$43,$C$55:$D87)</f>
        <v>3.6134763700837991</v>
      </c>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ht="15">
      <c r="A90" s="63" t="s">
        <v>143</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ht="15">
      <c r="C91" s="72" t="s">
        <v>149</v>
      </c>
      <c r="D91" s="72"/>
      <c r="E91" s="66">
        <f t="shared" ref="E91:X91" si="25">E11</f>
        <v>2016</v>
      </c>
      <c r="F91" s="67">
        <f t="shared" si="25"/>
        <v>2017</v>
      </c>
      <c r="G91" s="67">
        <f t="shared" si="25"/>
        <v>2018</v>
      </c>
      <c r="H91" s="67">
        <f t="shared" si="25"/>
        <v>2019</v>
      </c>
      <c r="I91" s="67">
        <f t="shared" si="25"/>
        <v>2020</v>
      </c>
      <c r="J91" s="67">
        <f t="shared" si="25"/>
        <v>2021</v>
      </c>
      <c r="K91" s="67">
        <f t="shared" si="25"/>
        <v>2022</v>
      </c>
      <c r="L91" s="67">
        <f t="shared" si="25"/>
        <v>2023</v>
      </c>
      <c r="M91" s="67">
        <f t="shared" si="25"/>
        <v>2024</v>
      </c>
      <c r="N91" s="67">
        <f t="shared" si="25"/>
        <v>2025</v>
      </c>
      <c r="O91" s="67">
        <f t="shared" si="25"/>
        <v>2026</v>
      </c>
      <c r="P91" s="67">
        <f t="shared" si="25"/>
        <v>2027</v>
      </c>
      <c r="Q91" s="67">
        <f t="shared" si="25"/>
        <v>2028</v>
      </c>
      <c r="R91" s="67">
        <f t="shared" si="25"/>
        <v>2029</v>
      </c>
      <c r="S91" s="67">
        <f t="shared" si="25"/>
        <v>2030</v>
      </c>
      <c r="T91" s="67">
        <f t="shared" si="25"/>
        <v>2031</v>
      </c>
      <c r="U91" s="67">
        <f t="shared" si="25"/>
        <v>2032</v>
      </c>
      <c r="V91" s="67">
        <f t="shared" si="25"/>
        <v>2033</v>
      </c>
      <c r="W91" s="67">
        <f t="shared" si="25"/>
        <v>2034</v>
      </c>
      <c r="X91" s="67">
        <f t="shared" si="25"/>
        <v>2035</v>
      </c>
      <c r="Y91" s="68" t="s">
        <v>70</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ht="15">
      <c r="C92" s="72" t="str">
        <f>C8</f>
        <v>Aerator</v>
      </c>
      <c r="D92" s="72"/>
      <c r="E92" s="69" t="str">
        <f>CONCATENATE("aMW_",E$11)</f>
        <v>aMW_2016</v>
      </c>
      <c r="F92" s="70" t="str">
        <f t="shared" ref="F92:X92" si="26">CONCATENATE("aMW_",F$11)</f>
        <v>aMW_2017</v>
      </c>
      <c r="G92" s="70" t="str">
        <f t="shared" si="26"/>
        <v>aMW_2018</v>
      </c>
      <c r="H92" s="70" t="str">
        <f t="shared" si="26"/>
        <v>aMW_2019</v>
      </c>
      <c r="I92" s="70" t="str">
        <f t="shared" si="26"/>
        <v>aMW_2020</v>
      </c>
      <c r="J92" s="70" t="str">
        <f t="shared" si="26"/>
        <v>aMW_2021</v>
      </c>
      <c r="K92" s="70" t="str">
        <f t="shared" si="26"/>
        <v>aMW_2022</v>
      </c>
      <c r="L92" s="70" t="str">
        <f t="shared" si="26"/>
        <v>aMW_2023</v>
      </c>
      <c r="M92" s="70" t="str">
        <f t="shared" si="26"/>
        <v>aMW_2024</v>
      </c>
      <c r="N92" s="70" t="str">
        <f t="shared" si="26"/>
        <v>aMW_2025</v>
      </c>
      <c r="O92" s="70" t="str">
        <f t="shared" si="26"/>
        <v>aMW_2026</v>
      </c>
      <c r="P92" s="70" t="str">
        <f t="shared" si="26"/>
        <v>aMW_2027</v>
      </c>
      <c r="Q92" s="70" t="str">
        <f t="shared" si="26"/>
        <v>aMW_2028</v>
      </c>
      <c r="R92" s="70" t="str">
        <f t="shared" si="26"/>
        <v>aMW_2029</v>
      </c>
      <c r="S92" s="70" t="str">
        <f t="shared" si="26"/>
        <v>aMW_2030</v>
      </c>
      <c r="T92" s="70" t="str">
        <f t="shared" si="26"/>
        <v>aMW_2031</v>
      </c>
      <c r="U92" s="70" t="str">
        <f t="shared" si="26"/>
        <v>aMW_2032</v>
      </c>
      <c r="V92" s="70" t="str">
        <f t="shared" si="26"/>
        <v>aMW_2033</v>
      </c>
      <c r="W92" s="70" t="str">
        <f t="shared" si="26"/>
        <v>aMW_2034</v>
      </c>
      <c r="X92" s="70" t="str">
        <f t="shared" si="26"/>
        <v>aMW_2035</v>
      </c>
      <c r="Y92" s="71" t="s">
        <v>70</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C93" s="9" t="s">
        <v>79</v>
      </c>
      <c r="E93" s="36">
        <f t="shared" ref="E93:Y93" si="27">E56</f>
        <v>2.2569983798435877E-3</v>
      </c>
      <c r="F93" s="36">
        <f t="shared" si="27"/>
        <v>5.6075751765639684E-3</v>
      </c>
      <c r="G93" s="36">
        <f t="shared" si="27"/>
        <v>1.1980676520663402E-2</v>
      </c>
      <c r="H93" s="36">
        <f t="shared" si="27"/>
        <v>2.2777562011351084E-2</v>
      </c>
      <c r="I93" s="36">
        <f t="shared" si="27"/>
        <v>3.8735378638978926E-2</v>
      </c>
      <c r="J93" s="36">
        <f t="shared" si="27"/>
        <v>5.9540310629541737E-2</v>
      </c>
      <c r="K93" s="36">
        <f t="shared" si="27"/>
        <v>8.6180992441484874E-2</v>
      </c>
      <c r="L93" s="36">
        <f t="shared" si="27"/>
        <v>0.11902437107555662</v>
      </c>
      <c r="M93" s="36">
        <f t="shared" si="27"/>
        <v>0.15399977117146602</v>
      </c>
      <c r="N93" s="36">
        <f t="shared" si="27"/>
        <v>0.19284684356649703</v>
      </c>
      <c r="O93" s="36">
        <f t="shared" si="27"/>
        <v>0.22747789256773929</v>
      </c>
      <c r="P93" s="36">
        <f t="shared" si="27"/>
        <v>0.25454429724002048</v>
      </c>
      <c r="Q93" s="36">
        <f t="shared" si="27"/>
        <v>0.27335794026273169</v>
      </c>
      <c r="R93" s="36">
        <f t="shared" si="27"/>
        <v>0.29116798169886449</v>
      </c>
      <c r="S93" s="36">
        <f t="shared" si="27"/>
        <v>0.30624421204541047</v>
      </c>
      <c r="T93" s="36">
        <f t="shared" si="27"/>
        <v>0.31308786110119685</v>
      </c>
      <c r="U93" s="36">
        <f t="shared" si="27"/>
        <v>0.31048414722014889</v>
      </c>
      <c r="V93" s="36">
        <f t="shared" si="27"/>
        <v>0.31279983362311781</v>
      </c>
      <c r="W93" s="36">
        <f t="shared" si="27"/>
        <v>0.31439109022101425</v>
      </c>
      <c r="X93" s="36">
        <f t="shared" si="27"/>
        <v>0.31697063449160773</v>
      </c>
      <c r="Y93" s="36">
        <f t="shared" si="27"/>
        <v>3.6134763700837991</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C94" s="9" t="s">
        <v>327</v>
      </c>
      <c r="E94" s="36">
        <f t="shared" ref="E94:X106" si="28">E57-E56</f>
        <v>0</v>
      </c>
      <c r="F94" s="36">
        <f t="shared" si="28"/>
        <v>0</v>
      </c>
      <c r="G94" s="36">
        <f t="shared" si="28"/>
        <v>0</v>
      </c>
      <c r="H94" s="36">
        <f t="shared" si="28"/>
        <v>0</v>
      </c>
      <c r="I94" s="36">
        <f t="shared" si="28"/>
        <v>0</v>
      </c>
      <c r="J94" s="36">
        <f t="shared" si="28"/>
        <v>0</v>
      </c>
      <c r="K94" s="36">
        <f t="shared" si="28"/>
        <v>0</v>
      </c>
      <c r="L94" s="36">
        <f t="shared" si="28"/>
        <v>0</v>
      </c>
      <c r="M94" s="36">
        <f t="shared" si="28"/>
        <v>0</v>
      </c>
      <c r="N94" s="36">
        <f t="shared" si="28"/>
        <v>0</v>
      </c>
      <c r="O94" s="36">
        <f t="shared" si="28"/>
        <v>0</v>
      </c>
      <c r="P94" s="36">
        <f t="shared" si="28"/>
        <v>0</v>
      </c>
      <c r="Q94" s="36">
        <f t="shared" si="28"/>
        <v>0</v>
      </c>
      <c r="R94" s="36">
        <f t="shared" si="28"/>
        <v>0</v>
      </c>
      <c r="S94" s="36">
        <f t="shared" si="28"/>
        <v>0</v>
      </c>
      <c r="T94" s="36">
        <f t="shared" si="28"/>
        <v>0</v>
      </c>
      <c r="U94" s="36">
        <f t="shared" si="28"/>
        <v>0</v>
      </c>
      <c r="V94" s="36">
        <f t="shared" si="28"/>
        <v>0</v>
      </c>
      <c r="W94" s="36">
        <f t="shared" si="28"/>
        <v>0</v>
      </c>
      <c r="X94" s="36">
        <f t="shared" si="28"/>
        <v>0</v>
      </c>
      <c r="Y94" s="36">
        <f t="shared" ref="Y94" si="29">Y57-Y56</f>
        <v>0</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C95" s="9" t="s">
        <v>84</v>
      </c>
      <c r="E95" s="36">
        <f t="shared" si="28"/>
        <v>0</v>
      </c>
      <c r="F95" s="36">
        <f t="shared" si="28"/>
        <v>0</v>
      </c>
      <c r="G95" s="36">
        <f t="shared" si="28"/>
        <v>0</v>
      </c>
      <c r="H95" s="36">
        <f t="shared" si="28"/>
        <v>0</v>
      </c>
      <c r="I95" s="36">
        <f t="shared" si="28"/>
        <v>0</v>
      </c>
      <c r="J95" s="36">
        <f t="shared" si="28"/>
        <v>0</v>
      </c>
      <c r="K95" s="36">
        <f t="shared" si="28"/>
        <v>0</v>
      </c>
      <c r="L95" s="36">
        <f t="shared" si="28"/>
        <v>0</v>
      </c>
      <c r="M95" s="36">
        <f t="shared" si="28"/>
        <v>0</v>
      </c>
      <c r="N95" s="36">
        <f t="shared" si="28"/>
        <v>0</v>
      </c>
      <c r="O95" s="36">
        <f t="shared" si="28"/>
        <v>0</v>
      </c>
      <c r="P95" s="36">
        <f t="shared" si="28"/>
        <v>0</v>
      </c>
      <c r="Q95" s="36">
        <f t="shared" si="28"/>
        <v>0</v>
      </c>
      <c r="R95" s="36">
        <f t="shared" si="28"/>
        <v>0</v>
      </c>
      <c r="S95" s="36">
        <f t="shared" si="28"/>
        <v>0</v>
      </c>
      <c r="T95" s="36">
        <f t="shared" si="28"/>
        <v>0</v>
      </c>
      <c r="U95" s="36">
        <f t="shared" si="28"/>
        <v>0</v>
      </c>
      <c r="V95" s="36">
        <f t="shared" si="28"/>
        <v>0</v>
      </c>
      <c r="W95" s="36">
        <f t="shared" si="28"/>
        <v>0</v>
      </c>
      <c r="X95" s="36">
        <f t="shared" si="28"/>
        <v>0</v>
      </c>
      <c r="Y95" s="36">
        <f t="shared" ref="Y95" si="30">Y58-Y57</f>
        <v>0</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C96" s="9" t="s">
        <v>87</v>
      </c>
      <c r="E96" s="36">
        <f t="shared" si="28"/>
        <v>0</v>
      </c>
      <c r="F96" s="36">
        <f t="shared" si="28"/>
        <v>0</v>
      </c>
      <c r="G96" s="36">
        <f t="shared" si="28"/>
        <v>0</v>
      </c>
      <c r="H96" s="36">
        <f t="shared" si="28"/>
        <v>0</v>
      </c>
      <c r="I96" s="36">
        <f t="shared" si="28"/>
        <v>0</v>
      </c>
      <c r="J96" s="36">
        <f t="shared" si="28"/>
        <v>0</v>
      </c>
      <c r="K96" s="36">
        <f t="shared" si="28"/>
        <v>0</v>
      </c>
      <c r="L96" s="36">
        <f t="shared" si="28"/>
        <v>0</v>
      </c>
      <c r="M96" s="36">
        <f t="shared" si="28"/>
        <v>0</v>
      </c>
      <c r="N96" s="36">
        <f t="shared" si="28"/>
        <v>0</v>
      </c>
      <c r="O96" s="36">
        <f t="shared" si="28"/>
        <v>0</v>
      </c>
      <c r="P96" s="36">
        <f t="shared" si="28"/>
        <v>0</v>
      </c>
      <c r="Q96" s="36">
        <f t="shared" si="28"/>
        <v>0</v>
      </c>
      <c r="R96" s="36">
        <f t="shared" si="28"/>
        <v>0</v>
      </c>
      <c r="S96" s="36">
        <f t="shared" si="28"/>
        <v>0</v>
      </c>
      <c r="T96" s="36">
        <f t="shared" si="28"/>
        <v>0</v>
      </c>
      <c r="U96" s="36">
        <f t="shared" si="28"/>
        <v>0</v>
      </c>
      <c r="V96" s="36">
        <f t="shared" si="28"/>
        <v>0</v>
      </c>
      <c r="W96" s="36">
        <f t="shared" si="28"/>
        <v>0</v>
      </c>
      <c r="X96" s="36">
        <f t="shared" si="28"/>
        <v>0</v>
      </c>
      <c r="Y96" s="36">
        <f t="shared" ref="Y96" si="31">Y59-Y58</f>
        <v>0</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3:80">
      <c r="C97" s="9" t="s">
        <v>90</v>
      </c>
      <c r="E97" s="42">
        <f t="shared" si="28"/>
        <v>0</v>
      </c>
      <c r="F97" s="42">
        <f t="shared" si="28"/>
        <v>0</v>
      </c>
      <c r="G97" s="42">
        <f t="shared" si="28"/>
        <v>0</v>
      </c>
      <c r="H97" s="42">
        <f t="shared" si="28"/>
        <v>0</v>
      </c>
      <c r="I97" s="42">
        <f t="shared" si="28"/>
        <v>0</v>
      </c>
      <c r="J97" s="42">
        <f t="shared" si="28"/>
        <v>0</v>
      </c>
      <c r="K97" s="42">
        <f t="shared" si="28"/>
        <v>0</v>
      </c>
      <c r="L97" s="42">
        <f t="shared" si="28"/>
        <v>0</v>
      </c>
      <c r="M97" s="42">
        <f t="shared" si="28"/>
        <v>0</v>
      </c>
      <c r="N97" s="42">
        <f t="shared" si="28"/>
        <v>0</v>
      </c>
      <c r="O97" s="42">
        <f t="shared" si="28"/>
        <v>0</v>
      </c>
      <c r="P97" s="42">
        <f t="shared" si="28"/>
        <v>0</v>
      </c>
      <c r="Q97" s="42">
        <f t="shared" si="28"/>
        <v>0</v>
      </c>
      <c r="R97" s="42">
        <f t="shared" si="28"/>
        <v>0</v>
      </c>
      <c r="S97" s="42">
        <f t="shared" si="28"/>
        <v>0</v>
      </c>
      <c r="T97" s="42">
        <f t="shared" si="28"/>
        <v>0</v>
      </c>
      <c r="U97" s="42">
        <f t="shared" si="28"/>
        <v>0</v>
      </c>
      <c r="V97" s="42">
        <f t="shared" si="28"/>
        <v>0</v>
      </c>
      <c r="W97" s="42">
        <f t="shared" si="28"/>
        <v>0</v>
      </c>
      <c r="X97" s="42">
        <f t="shared" si="28"/>
        <v>0</v>
      </c>
      <c r="Y97" s="42">
        <f t="shared" ref="Y97" si="32">Y60-Y59</f>
        <v>0</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3:80">
      <c r="C98" s="9" t="s">
        <v>93</v>
      </c>
      <c r="E98" s="42">
        <f t="shared" si="28"/>
        <v>0</v>
      </c>
      <c r="F98" s="42">
        <f t="shared" si="28"/>
        <v>0</v>
      </c>
      <c r="G98" s="42">
        <f t="shared" si="28"/>
        <v>0</v>
      </c>
      <c r="H98" s="42">
        <f t="shared" si="28"/>
        <v>0</v>
      </c>
      <c r="I98" s="42">
        <f t="shared" si="28"/>
        <v>0</v>
      </c>
      <c r="J98" s="42">
        <f t="shared" si="28"/>
        <v>0</v>
      </c>
      <c r="K98" s="42">
        <f t="shared" si="28"/>
        <v>0</v>
      </c>
      <c r="L98" s="42">
        <f t="shared" si="28"/>
        <v>0</v>
      </c>
      <c r="M98" s="42">
        <f t="shared" si="28"/>
        <v>0</v>
      </c>
      <c r="N98" s="42">
        <f t="shared" si="28"/>
        <v>0</v>
      </c>
      <c r="O98" s="42">
        <f t="shared" si="28"/>
        <v>0</v>
      </c>
      <c r="P98" s="42">
        <f t="shared" si="28"/>
        <v>0</v>
      </c>
      <c r="Q98" s="42">
        <f t="shared" si="28"/>
        <v>0</v>
      </c>
      <c r="R98" s="42">
        <f t="shared" si="28"/>
        <v>0</v>
      </c>
      <c r="S98" s="42">
        <f t="shared" si="28"/>
        <v>0</v>
      </c>
      <c r="T98" s="42">
        <f t="shared" si="28"/>
        <v>0</v>
      </c>
      <c r="U98" s="42">
        <f t="shared" si="28"/>
        <v>0</v>
      </c>
      <c r="V98" s="42">
        <f t="shared" si="28"/>
        <v>0</v>
      </c>
      <c r="W98" s="42">
        <f t="shared" si="28"/>
        <v>0</v>
      </c>
      <c r="X98" s="42">
        <f t="shared" si="28"/>
        <v>0</v>
      </c>
      <c r="Y98" s="42">
        <f t="shared" ref="Y98" si="33">Y61-Y60</f>
        <v>0</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3:80">
      <c r="C99" s="9" t="s">
        <v>96</v>
      </c>
      <c r="E99" s="42">
        <f t="shared" si="28"/>
        <v>0</v>
      </c>
      <c r="F99" s="42">
        <f t="shared" si="28"/>
        <v>0</v>
      </c>
      <c r="G99" s="42">
        <f t="shared" si="28"/>
        <v>0</v>
      </c>
      <c r="H99" s="42">
        <f t="shared" si="28"/>
        <v>0</v>
      </c>
      <c r="I99" s="42">
        <f t="shared" si="28"/>
        <v>0</v>
      </c>
      <c r="J99" s="42">
        <f t="shared" si="28"/>
        <v>0</v>
      </c>
      <c r="K99" s="42">
        <f t="shared" si="28"/>
        <v>0</v>
      </c>
      <c r="L99" s="42">
        <f t="shared" si="28"/>
        <v>0</v>
      </c>
      <c r="M99" s="42">
        <f t="shared" si="28"/>
        <v>0</v>
      </c>
      <c r="N99" s="42">
        <f t="shared" si="28"/>
        <v>0</v>
      </c>
      <c r="O99" s="42">
        <f t="shared" si="28"/>
        <v>0</v>
      </c>
      <c r="P99" s="42">
        <f t="shared" si="28"/>
        <v>0</v>
      </c>
      <c r="Q99" s="42">
        <f t="shared" si="28"/>
        <v>0</v>
      </c>
      <c r="R99" s="42">
        <f t="shared" si="28"/>
        <v>0</v>
      </c>
      <c r="S99" s="42">
        <f t="shared" si="28"/>
        <v>0</v>
      </c>
      <c r="T99" s="42">
        <f t="shared" si="28"/>
        <v>0</v>
      </c>
      <c r="U99" s="42">
        <f t="shared" si="28"/>
        <v>0</v>
      </c>
      <c r="V99" s="42">
        <f t="shared" si="28"/>
        <v>0</v>
      </c>
      <c r="W99" s="42">
        <f t="shared" si="28"/>
        <v>0</v>
      </c>
      <c r="X99" s="42">
        <f t="shared" si="28"/>
        <v>0</v>
      </c>
      <c r="Y99" s="42">
        <f t="shared" ref="Y99" si="34">Y62-Y61</f>
        <v>0</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3:80">
      <c r="C100" s="9" t="s">
        <v>99</v>
      </c>
      <c r="E100" s="42">
        <f t="shared" si="28"/>
        <v>0</v>
      </c>
      <c r="F100" s="42">
        <f t="shared" si="28"/>
        <v>0</v>
      </c>
      <c r="G100" s="42">
        <f t="shared" si="28"/>
        <v>0</v>
      </c>
      <c r="H100" s="42">
        <f t="shared" si="28"/>
        <v>0</v>
      </c>
      <c r="I100" s="42">
        <f t="shared" si="28"/>
        <v>0</v>
      </c>
      <c r="J100" s="42">
        <f t="shared" si="28"/>
        <v>0</v>
      </c>
      <c r="K100" s="42">
        <f t="shared" si="28"/>
        <v>0</v>
      </c>
      <c r="L100" s="42">
        <f t="shared" si="28"/>
        <v>0</v>
      </c>
      <c r="M100" s="42">
        <f t="shared" si="28"/>
        <v>0</v>
      </c>
      <c r="N100" s="42">
        <f t="shared" si="28"/>
        <v>0</v>
      </c>
      <c r="O100" s="42">
        <f t="shared" si="28"/>
        <v>0</v>
      </c>
      <c r="P100" s="42">
        <f t="shared" si="28"/>
        <v>0</v>
      </c>
      <c r="Q100" s="42">
        <f t="shared" si="28"/>
        <v>0</v>
      </c>
      <c r="R100" s="42">
        <f t="shared" si="28"/>
        <v>0</v>
      </c>
      <c r="S100" s="42">
        <f t="shared" si="28"/>
        <v>0</v>
      </c>
      <c r="T100" s="42">
        <f t="shared" si="28"/>
        <v>0</v>
      </c>
      <c r="U100" s="42">
        <f t="shared" si="28"/>
        <v>0</v>
      </c>
      <c r="V100" s="42">
        <f t="shared" si="28"/>
        <v>0</v>
      </c>
      <c r="W100" s="42">
        <f t="shared" si="28"/>
        <v>0</v>
      </c>
      <c r="X100" s="42">
        <f t="shared" si="28"/>
        <v>0</v>
      </c>
      <c r="Y100" s="42">
        <f t="shared" ref="Y100" si="35">Y63-Y62</f>
        <v>0</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3:80">
      <c r="C101" s="9" t="s">
        <v>102</v>
      </c>
      <c r="E101" s="42">
        <f t="shared" si="28"/>
        <v>0</v>
      </c>
      <c r="F101" s="42">
        <f t="shared" si="28"/>
        <v>0</v>
      </c>
      <c r="G101" s="42">
        <f t="shared" si="28"/>
        <v>0</v>
      </c>
      <c r="H101" s="42">
        <f t="shared" si="28"/>
        <v>0</v>
      </c>
      <c r="I101" s="42">
        <f t="shared" si="28"/>
        <v>0</v>
      </c>
      <c r="J101" s="42">
        <f t="shared" si="28"/>
        <v>0</v>
      </c>
      <c r="K101" s="42">
        <f t="shared" si="28"/>
        <v>0</v>
      </c>
      <c r="L101" s="42">
        <f t="shared" si="28"/>
        <v>0</v>
      </c>
      <c r="M101" s="42">
        <f t="shared" si="28"/>
        <v>0</v>
      </c>
      <c r="N101" s="42">
        <f t="shared" si="28"/>
        <v>0</v>
      </c>
      <c r="O101" s="42">
        <f t="shared" si="28"/>
        <v>0</v>
      </c>
      <c r="P101" s="42">
        <f t="shared" si="28"/>
        <v>0</v>
      </c>
      <c r="Q101" s="42">
        <f t="shared" si="28"/>
        <v>0</v>
      </c>
      <c r="R101" s="42">
        <f t="shared" si="28"/>
        <v>0</v>
      </c>
      <c r="S101" s="42">
        <f t="shared" si="28"/>
        <v>0</v>
      </c>
      <c r="T101" s="42">
        <f t="shared" si="28"/>
        <v>0</v>
      </c>
      <c r="U101" s="42">
        <f t="shared" si="28"/>
        <v>0</v>
      </c>
      <c r="V101" s="42">
        <f t="shared" si="28"/>
        <v>0</v>
      </c>
      <c r="W101" s="42">
        <f t="shared" si="28"/>
        <v>0</v>
      </c>
      <c r="X101" s="42">
        <f t="shared" si="28"/>
        <v>0</v>
      </c>
      <c r="Y101" s="42">
        <f t="shared" ref="Y101" si="36">Y64-Y63</f>
        <v>0</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3:80">
      <c r="C102" s="9" t="s">
        <v>105</v>
      </c>
      <c r="E102" s="42">
        <f t="shared" si="28"/>
        <v>0</v>
      </c>
      <c r="F102" s="42">
        <f t="shared" si="28"/>
        <v>0</v>
      </c>
      <c r="G102" s="42">
        <f t="shared" si="28"/>
        <v>0</v>
      </c>
      <c r="H102" s="42">
        <f t="shared" si="28"/>
        <v>0</v>
      </c>
      <c r="I102" s="42">
        <f t="shared" si="28"/>
        <v>0</v>
      </c>
      <c r="J102" s="42">
        <f t="shared" si="28"/>
        <v>0</v>
      </c>
      <c r="K102" s="42">
        <f t="shared" si="28"/>
        <v>0</v>
      </c>
      <c r="L102" s="42">
        <f t="shared" si="28"/>
        <v>0</v>
      </c>
      <c r="M102" s="42">
        <f t="shared" si="28"/>
        <v>0</v>
      </c>
      <c r="N102" s="42">
        <f t="shared" si="28"/>
        <v>0</v>
      </c>
      <c r="O102" s="42">
        <f t="shared" si="28"/>
        <v>0</v>
      </c>
      <c r="P102" s="42">
        <f t="shared" si="28"/>
        <v>0</v>
      </c>
      <c r="Q102" s="42">
        <f t="shared" si="28"/>
        <v>0</v>
      </c>
      <c r="R102" s="42">
        <f t="shared" si="28"/>
        <v>0</v>
      </c>
      <c r="S102" s="42">
        <f t="shared" si="28"/>
        <v>0</v>
      </c>
      <c r="T102" s="42">
        <f t="shared" si="28"/>
        <v>0</v>
      </c>
      <c r="U102" s="42">
        <f t="shared" si="28"/>
        <v>0</v>
      </c>
      <c r="V102" s="42">
        <f t="shared" si="28"/>
        <v>0</v>
      </c>
      <c r="W102" s="42">
        <f t="shared" si="28"/>
        <v>0</v>
      </c>
      <c r="X102" s="42">
        <f t="shared" si="28"/>
        <v>0</v>
      </c>
      <c r="Y102" s="42">
        <f t="shared" ref="Y102" si="37">Y65-Y64</f>
        <v>0</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3:80">
      <c r="C103" s="9" t="s">
        <v>108</v>
      </c>
      <c r="E103" s="42">
        <f t="shared" si="28"/>
        <v>0</v>
      </c>
      <c r="F103" s="42">
        <f t="shared" si="28"/>
        <v>0</v>
      </c>
      <c r="G103" s="42">
        <f t="shared" si="28"/>
        <v>0</v>
      </c>
      <c r="H103" s="42">
        <f t="shared" si="28"/>
        <v>0</v>
      </c>
      <c r="I103" s="42">
        <f t="shared" si="28"/>
        <v>0</v>
      </c>
      <c r="J103" s="42">
        <f t="shared" si="28"/>
        <v>0</v>
      </c>
      <c r="K103" s="42">
        <f t="shared" si="28"/>
        <v>0</v>
      </c>
      <c r="L103" s="42">
        <f t="shared" si="28"/>
        <v>0</v>
      </c>
      <c r="M103" s="42">
        <f t="shared" si="28"/>
        <v>0</v>
      </c>
      <c r="N103" s="42">
        <f t="shared" si="28"/>
        <v>0</v>
      </c>
      <c r="O103" s="42">
        <f t="shared" si="28"/>
        <v>0</v>
      </c>
      <c r="P103" s="42">
        <f t="shared" si="28"/>
        <v>0</v>
      </c>
      <c r="Q103" s="42">
        <f t="shared" si="28"/>
        <v>0</v>
      </c>
      <c r="R103" s="42">
        <f t="shared" si="28"/>
        <v>0</v>
      </c>
      <c r="S103" s="42">
        <f t="shared" si="28"/>
        <v>0</v>
      </c>
      <c r="T103" s="42">
        <f t="shared" si="28"/>
        <v>0</v>
      </c>
      <c r="U103" s="42">
        <f t="shared" si="28"/>
        <v>0</v>
      </c>
      <c r="V103" s="42">
        <f t="shared" si="28"/>
        <v>0</v>
      </c>
      <c r="W103" s="42">
        <f t="shared" si="28"/>
        <v>0</v>
      </c>
      <c r="X103" s="42">
        <f t="shared" si="28"/>
        <v>0</v>
      </c>
      <c r="Y103" s="42">
        <f t="shared" ref="Y103" si="38">Y66-Y65</f>
        <v>0</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3:80">
      <c r="C104" s="9" t="s">
        <v>111</v>
      </c>
      <c r="E104" s="42">
        <f t="shared" si="28"/>
        <v>0</v>
      </c>
      <c r="F104" s="42">
        <f t="shared" si="28"/>
        <v>0</v>
      </c>
      <c r="G104" s="42">
        <f t="shared" si="28"/>
        <v>0</v>
      </c>
      <c r="H104" s="42">
        <f t="shared" si="28"/>
        <v>0</v>
      </c>
      <c r="I104" s="42">
        <f t="shared" si="28"/>
        <v>0</v>
      </c>
      <c r="J104" s="42">
        <f t="shared" si="28"/>
        <v>0</v>
      </c>
      <c r="K104" s="42">
        <f t="shared" si="28"/>
        <v>0</v>
      </c>
      <c r="L104" s="42">
        <f t="shared" si="28"/>
        <v>0</v>
      </c>
      <c r="M104" s="42">
        <f t="shared" si="28"/>
        <v>0</v>
      </c>
      <c r="N104" s="42">
        <f t="shared" si="28"/>
        <v>0</v>
      </c>
      <c r="O104" s="42">
        <f t="shared" si="28"/>
        <v>0</v>
      </c>
      <c r="P104" s="42">
        <f t="shared" si="28"/>
        <v>0</v>
      </c>
      <c r="Q104" s="42">
        <f t="shared" si="28"/>
        <v>0</v>
      </c>
      <c r="R104" s="42">
        <f t="shared" si="28"/>
        <v>0</v>
      </c>
      <c r="S104" s="42">
        <f t="shared" si="28"/>
        <v>0</v>
      </c>
      <c r="T104" s="42">
        <f t="shared" si="28"/>
        <v>0</v>
      </c>
      <c r="U104" s="42">
        <f t="shared" si="28"/>
        <v>0</v>
      </c>
      <c r="V104" s="42">
        <f t="shared" si="28"/>
        <v>0</v>
      </c>
      <c r="W104" s="42">
        <f t="shared" si="28"/>
        <v>0</v>
      </c>
      <c r="X104" s="42">
        <f t="shared" si="28"/>
        <v>0</v>
      </c>
      <c r="Y104" s="42">
        <f t="shared" ref="Y104" si="39">Y67-Y66</f>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3:80">
      <c r="C105" s="9" t="s">
        <v>114</v>
      </c>
      <c r="E105" s="42">
        <f t="shared" si="28"/>
        <v>0</v>
      </c>
      <c r="F105" s="42">
        <f t="shared" si="28"/>
        <v>0</v>
      </c>
      <c r="G105" s="42">
        <f t="shared" si="28"/>
        <v>0</v>
      </c>
      <c r="H105" s="42">
        <f t="shared" si="28"/>
        <v>0</v>
      </c>
      <c r="I105" s="42">
        <f t="shared" si="28"/>
        <v>0</v>
      </c>
      <c r="J105" s="42">
        <f t="shared" si="28"/>
        <v>0</v>
      </c>
      <c r="K105" s="42">
        <f t="shared" si="28"/>
        <v>0</v>
      </c>
      <c r="L105" s="42">
        <f t="shared" si="28"/>
        <v>0</v>
      </c>
      <c r="M105" s="42">
        <f t="shared" si="28"/>
        <v>0</v>
      </c>
      <c r="N105" s="42">
        <f t="shared" si="28"/>
        <v>0</v>
      </c>
      <c r="O105" s="42">
        <f t="shared" si="28"/>
        <v>0</v>
      </c>
      <c r="P105" s="42">
        <f t="shared" si="28"/>
        <v>0</v>
      </c>
      <c r="Q105" s="42">
        <f t="shared" si="28"/>
        <v>0</v>
      </c>
      <c r="R105" s="42">
        <f t="shared" si="28"/>
        <v>0</v>
      </c>
      <c r="S105" s="42">
        <f t="shared" si="28"/>
        <v>0</v>
      </c>
      <c r="T105" s="42">
        <f t="shared" si="28"/>
        <v>0</v>
      </c>
      <c r="U105" s="42">
        <f t="shared" si="28"/>
        <v>0</v>
      </c>
      <c r="V105" s="42">
        <f t="shared" si="28"/>
        <v>0</v>
      </c>
      <c r="W105" s="42">
        <f t="shared" si="28"/>
        <v>0</v>
      </c>
      <c r="X105" s="42">
        <f t="shared" si="28"/>
        <v>0</v>
      </c>
      <c r="Y105" s="42">
        <f t="shared" ref="Y105" si="40">Y68-Y67</f>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3:80">
      <c r="C106" s="9" t="s">
        <v>117</v>
      </c>
      <c r="E106" s="42">
        <f t="shared" si="28"/>
        <v>0</v>
      </c>
      <c r="F106" s="42">
        <f t="shared" si="28"/>
        <v>0</v>
      </c>
      <c r="G106" s="42">
        <f t="shared" si="28"/>
        <v>0</v>
      </c>
      <c r="H106" s="42">
        <f t="shared" ref="H106:X106" si="41">H69-H68</f>
        <v>0</v>
      </c>
      <c r="I106" s="42">
        <f t="shared" si="41"/>
        <v>0</v>
      </c>
      <c r="J106" s="42">
        <f t="shared" si="41"/>
        <v>0</v>
      </c>
      <c r="K106" s="42">
        <f t="shared" si="41"/>
        <v>0</v>
      </c>
      <c r="L106" s="42">
        <f t="shared" si="41"/>
        <v>0</v>
      </c>
      <c r="M106" s="42">
        <f t="shared" si="41"/>
        <v>0</v>
      </c>
      <c r="N106" s="42">
        <f t="shared" si="41"/>
        <v>0</v>
      </c>
      <c r="O106" s="42">
        <f t="shared" si="41"/>
        <v>0</v>
      </c>
      <c r="P106" s="42">
        <f t="shared" si="41"/>
        <v>0</v>
      </c>
      <c r="Q106" s="42">
        <f t="shared" si="41"/>
        <v>0</v>
      </c>
      <c r="R106" s="42">
        <f t="shared" si="41"/>
        <v>0</v>
      </c>
      <c r="S106" s="42">
        <f t="shared" si="41"/>
        <v>0</v>
      </c>
      <c r="T106" s="42">
        <f t="shared" si="41"/>
        <v>0</v>
      </c>
      <c r="U106" s="42">
        <f t="shared" si="41"/>
        <v>0</v>
      </c>
      <c r="V106" s="42">
        <f t="shared" si="41"/>
        <v>0</v>
      </c>
      <c r="W106" s="42">
        <f t="shared" si="41"/>
        <v>0</v>
      </c>
      <c r="X106" s="42">
        <f t="shared" si="41"/>
        <v>0</v>
      </c>
      <c r="Y106" s="42">
        <f t="shared" ref="Y106" si="42">Y69-Y68</f>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3:80">
      <c r="C107" s="9" t="s">
        <v>120</v>
      </c>
      <c r="E107" s="42">
        <f t="shared" ref="E107:X107" si="43">E70-E69</f>
        <v>0</v>
      </c>
      <c r="F107" s="42">
        <f t="shared" si="43"/>
        <v>0</v>
      </c>
      <c r="G107" s="42">
        <f t="shared" si="43"/>
        <v>0</v>
      </c>
      <c r="H107" s="42">
        <f t="shared" si="43"/>
        <v>0</v>
      </c>
      <c r="I107" s="42">
        <f t="shared" si="43"/>
        <v>0</v>
      </c>
      <c r="J107" s="42">
        <f t="shared" si="43"/>
        <v>0</v>
      </c>
      <c r="K107" s="42">
        <f t="shared" si="43"/>
        <v>0</v>
      </c>
      <c r="L107" s="42">
        <f t="shared" si="43"/>
        <v>0</v>
      </c>
      <c r="M107" s="42">
        <f t="shared" si="43"/>
        <v>0</v>
      </c>
      <c r="N107" s="42">
        <f t="shared" si="43"/>
        <v>0</v>
      </c>
      <c r="O107" s="42">
        <f t="shared" si="43"/>
        <v>0</v>
      </c>
      <c r="P107" s="42">
        <f t="shared" si="43"/>
        <v>0</v>
      </c>
      <c r="Q107" s="42">
        <f t="shared" si="43"/>
        <v>0</v>
      </c>
      <c r="R107" s="42">
        <f t="shared" si="43"/>
        <v>0</v>
      </c>
      <c r="S107" s="42">
        <f t="shared" si="43"/>
        <v>0</v>
      </c>
      <c r="T107" s="42">
        <f t="shared" si="43"/>
        <v>0</v>
      </c>
      <c r="U107" s="42">
        <f t="shared" si="43"/>
        <v>0</v>
      </c>
      <c r="V107" s="42">
        <f t="shared" si="43"/>
        <v>0</v>
      </c>
      <c r="W107" s="42">
        <f t="shared" si="43"/>
        <v>0</v>
      </c>
      <c r="X107" s="42">
        <f t="shared" si="43"/>
        <v>0</v>
      </c>
      <c r="Y107" s="42">
        <f t="shared" ref="Y107" si="44">Y70-Y69</f>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3:80">
      <c r="C108" s="9" t="s">
        <v>123</v>
      </c>
      <c r="E108" s="42">
        <f t="shared" ref="E108:X108" si="45">E71-E70</f>
        <v>0</v>
      </c>
      <c r="F108" s="42">
        <f t="shared" si="45"/>
        <v>0</v>
      </c>
      <c r="G108" s="42">
        <f t="shared" si="45"/>
        <v>0</v>
      </c>
      <c r="H108" s="42">
        <f t="shared" si="45"/>
        <v>0</v>
      </c>
      <c r="I108" s="42">
        <f t="shared" si="45"/>
        <v>0</v>
      </c>
      <c r="J108" s="42">
        <f t="shared" si="45"/>
        <v>0</v>
      </c>
      <c r="K108" s="42">
        <f t="shared" si="45"/>
        <v>0</v>
      </c>
      <c r="L108" s="42">
        <f t="shared" si="45"/>
        <v>0</v>
      </c>
      <c r="M108" s="42">
        <f t="shared" si="45"/>
        <v>0</v>
      </c>
      <c r="N108" s="42">
        <f t="shared" si="45"/>
        <v>0</v>
      </c>
      <c r="O108" s="42">
        <f t="shared" si="45"/>
        <v>0</v>
      </c>
      <c r="P108" s="42">
        <f t="shared" si="45"/>
        <v>0</v>
      </c>
      <c r="Q108" s="42">
        <f t="shared" si="45"/>
        <v>0</v>
      </c>
      <c r="R108" s="42">
        <f t="shared" si="45"/>
        <v>0</v>
      </c>
      <c r="S108" s="42">
        <f t="shared" si="45"/>
        <v>0</v>
      </c>
      <c r="T108" s="42">
        <f t="shared" si="45"/>
        <v>0</v>
      </c>
      <c r="U108" s="42">
        <f t="shared" si="45"/>
        <v>0</v>
      </c>
      <c r="V108" s="42">
        <f t="shared" si="45"/>
        <v>0</v>
      </c>
      <c r="W108" s="42">
        <f t="shared" si="45"/>
        <v>0</v>
      </c>
      <c r="X108" s="42">
        <f t="shared" si="45"/>
        <v>0</v>
      </c>
      <c r="Y108" s="42">
        <f t="shared" ref="Y108" si="46">Y71-Y70</f>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3:80">
      <c r="C109" s="9" t="s">
        <v>126</v>
      </c>
      <c r="E109" s="42">
        <f t="shared" ref="E109:X109" si="47">E72-E71</f>
        <v>0</v>
      </c>
      <c r="F109" s="42">
        <f t="shared" si="47"/>
        <v>0</v>
      </c>
      <c r="G109" s="42">
        <f t="shared" si="47"/>
        <v>0</v>
      </c>
      <c r="H109" s="42">
        <f t="shared" si="47"/>
        <v>0</v>
      </c>
      <c r="I109" s="42">
        <f t="shared" si="47"/>
        <v>0</v>
      </c>
      <c r="J109" s="42">
        <f t="shared" si="47"/>
        <v>0</v>
      </c>
      <c r="K109" s="42">
        <f t="shared" si="47"/>
        <v>0</v>
      </c>
      <c r="L109" s="42">
        <f t="shared" si="47"/>
        <v>0</v>
      </c>
      <c r="M109" s="42">
        <f t="shared" si="47"/>
        <v>0</v>
      </c>
      <c r="N109" s="42">
        <f t="shared" si="47"/>
        <v>0</v>
      </c>
      <c r="O109" s="42">
        <f t="shared" si="47"/>
        <v>0</v>
      </c>
      <c r="P109" s="42">
        <f t="shared" si="47"/>
        <v>0</v>
      </c>
      <c r="Q109" s="42">
        <f t="shared" si="47"/>
        <v>0</v>
      </c>
      <c r="R109" s="42">
        <f t="shared" si="47"/>
        <v>0</v>
      </c>
      <c r="S109" s="42">
        <f t="shared" si="47"/>
        <v>0</v>
      </c>
      <c r="T109" s="42">
        <f t="shared" si="47"/>
        <v>0</v>
      </c>
      <c r="U109" s="42">
        <f t="shared" si="47"/>
        <v>0</v>
      </c>
      <c r="V109" s="42">
        <f t="shared" si="47"/>
        <v>0</v>
      </c>
      <c r="W109" s="42">
        <f t="shared" si="47"/>
        <v>0</v>
      </c>
      <c r="X109" s="42">
        <f t="shared" si="47"/>
        <v>0</v>
      </c>
      <c r="Y109" s="42">
        <f t="shared" ref="Y109" si="48">Y72-Y71</f>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3:80">
      <c r="C110" s="9" t="s">
        <v>129</v>
      </c>
      <c r="E110" s="42">
        <f t="shared" ref="E110:X110" si="49">E73-E72</f>
        <v>0</v>
      </c>
      <c r="F110" s="42">
        <f t="shared" si="49"/>
        <v>0</v>
      </c>
      <c r="G110" s="42">
        <f t="shared" si="49"/>
        <v>0</v>
      </c>
      <c r="H110" s="42">
        <f t="shared" si="49"/>
        <v>0</v>
      </c>
      <c r="I110" s="42">
        <f t="shared" si="49"/>
        <v>0</v>
      </c>
      <c r="J110" s="42">
        <f t="shared" si="49"/>
        <v>0</v>
      </c>
      <c r="K110" s="42">
        <f t="shared" si="49"/>
        <v>0</v>
      </c>
      <c r="L110" s="42">
        <f t="shared" si="49"/>
        <v>0</v>
      </c>
      <c r="M110" s="42">
        <f t="shared" si="49"/>
        <v>0</v>
      </c>
      <c r="N110" s="42">
        <f t="shared" si="49"/>
        <v>0</v>
      </c>
      <c r="O110" s="42">
        <f t="shared" si="49"/>
        <v>0</v>
      </c>
      <c r="P110" s="42">
        <f t="shared" si="49"/>
        <v>0</v>
      </c>
      <c r="Q110" s="42">
        <f t="shared" si="49"/>
        <v>0</v>
      </c>
      <c r="R110" s="42">
        <f t="shared" si="49"/>
        <v>0</v>
      </c>
      <c r="S110" s="42">
        <f t="shared" si="49"/>
        <v>0</v>
      </c>
      <c r="T110" s="42">
        <f t="shared" si="49"/>
        <v>0</v>
      </c>
      <c r="U110" s="42">
        <f t="shared" si="49"/>
        <v>0</v>
      </c>
      <c r="V110" s="42">
        <f t="shared" si="49"/>
        <v>0</v>
      </c>
      <c r="W110" s="42">
        <f t="shared" si="49"/>
        <v>0</v>
      </c>
      <c r="X110" s="42">
        <f t="shared" si="49"/>
        <v>0</v>
      </c>
      <c r="Y110" s="42">
        <f t="shared" ref="Y110" si="50">Y73-Y72</f>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3:80">
      <c r="C111" s="9" t="s">
        <v>132</v>
      </c>
      <c r="E111" s="42">
        <f t="shared" ref="E111:X111" si="51">E74-E73</f>
        <v>0</v>
      </c>
      <c r="F111" s="42">
        <f t="shared" si="51"/>
        <v>0</v>
      </c>
      <c r="G111" s="42">
        <f t="shared" si="51"/>
        <v>0</v>
      </c>
      <c r="H111" s="42">
        <f t="shared" si="51"/>
        <v>0</v>
      </c>
      <c r="I111" s="42">
        <f t="shared" si="51"/>
        <v>0</v>
      </c>
      <c r="J111" s="42">
        <f t="shared" si="51"/>
        <v>0</v>
      </c>
      <c r="K111" s="42">
        <f t="shared" si="51"/>
        <v>0</v>
      </c>
      <c r="L111" s="42">
        <f t="shared" si="51"/>
        <v>0</v>
      </c>
      <c r="M111" s="42">
        <f t="shared" si="51"/>
        <v>0</v>
      </c>
      <c r="N111" s="42">
        <f t="shared" si="51"/>
        <v>0</v>
      </c>
      <c r="O111" s="42">
        <f t="shared" si="51"/>
        <v>0</v>
      </c>
      <c r="P111" s="42">
        <f t="shared" si="51"/>
        <v>0</v>
      </c>
      <c r="Q111" s="42">
        <f t="shared" si="51"/>
        <v>0</v>
      </c>
      <c r="R111" s="42">
        <f t="shared" si="51"/>
        <v>0</v>
      </c>
      <c r="S111" s="42">
        <f t="shared" si="51"/>
        <v>0</v>
      </c>
      <c r="T111" s="42">
        <f t="shared" si="51"/>
        <v>0</v>
      </c>
      <c r="U111" s="42">
        <f t="shared" si="51"/>
        <v>0</v>
      </c>
      <c r="V111" s="42">
        <f t="shared" si="51"/>
        <v>0</v>
      </c>
      <c r="W111" s="42">
        <f t="shared" si="51"/>
        <v>0</v>
      </c>
      <c r="X111" s="42">
        <f t="shared" si="51"/>
        <v>0</v>
      </c>
      <c r="Y111" s="42">
        <f t="shared" ref="Y111" si="52">Y74-Y73</f>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3:80">
      <c r="C112" s="9" t="s">
        <v>135</v>
      </c>
      <c r="E112" s="42">
        <f t="shared" ref="E112:X112" si="53">E75-E74</f>
        <v>0</v>
      </c>
      <c r="F112" s="42">
        <f t="shared" si="53"/>
        <v>0</v>
      </c>
      <c r="G112" s="42">
        <f t="shared" si="53"/>
        <v>0</v>
      </c>
      <c r="H112" s="42">
        <f t="shared" si="53"/>
        <v>0</v>
      </c>
      <c r="I112" s="42">
        <f t="shared" si="53"/>
        <v>0</v>
      </c>
      <c r="J112" s="42">
        <f t="shared" si="53"/>
        <v>0</v>
      </c>
      <c r="K112" s="42">
        <f t="shared" si="53"/>
        <v>0</v>
      </c>
      <c r="L112" s="42">
        <f t="shared" si="53"/>
        <v>0</v>
      </c>
      <c r="M112" s="42">
        <f t="shared" si="53"/>
        <v>0</v>
      </c>
      <c r="N112" s="42">
        <f t="shared" si="53"/>
        <v>0</v>
      </c>
      <c r="O112" s="42">
        <f t="shared" si="53"/>
        <v>0</v>
      </c>
      <c r="P112" s="42">
        <f t="shared" si="53"/>
        <v>0</v>
      </c>
      <c r="Q112" s="42">
        <f t="shared" si="53"/>
        <v>0</v>
      </c>
      <c r="R112" s="42">
        <f t="shared" si="53"/>
        <v>0</v>
      </c>
      <c r="S112" s="42">
        <f t="shared" si="53"/>
        <v>0</v>
      </c>
      <c r="T112" s="42">
        <f t="shared" si="53"/>
        <v>0</v>
      </c>
      <c r="U112" s="42">
        <f t="shared" si="53"/>
        <v>0</v>
      </c>
      <c r="V112" s="42">
        <f t="shared" si="53"/>
        <v>0</v>
      </c>
      <c r="W112" s="42">
        <f t="shared" si="53"/>
        <v>0</v>
      </c>
      <c r="X112" s="42">
        <f t="shared" si="53"/>
        <v>0</v>
      </c>
      <c r="Y112" s="42">
        <f t="shared" ref="Y112" si="54">Y75-Y74</f>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9" t="s">
        <v>138</v>
      </c>
      <c r="E113" s="42">
        <f t="shared" ref="E113:X113" si="55">E76-E75</f>
        <v>0</v>
      </c>
      <c r="F113" s="42">
        <f t="shared" si="55"/>
        <v>0</v>
      </c>
      <c r="G113" s="42">
        <f t="shared" si="55"/>
        <v>0</v>
      </c>
      <c r="H113" s="42">
        <f t="shared" si="55"/>
        <v>0</v>
      </c>
      <c r="I113" s="42">
        <f t="shared" si="55"/>
        <v>0</v>
      </c>
      <c r="J113" s="42">
        <f t="shared" si="55"/>
        <v>0</v>
      </c>
      <c r="K113" s="42">
        <f t="shared" si="55"/>
        <v>0</v>
      </c>
      <c r="L113" s="42">
        <f t="shared" si="55"/>
        <v>0</v>
      </c>
      <c r="M113" s="42">
        <f t="shared" si="55"/>
        <v>0</v>
      </c>
      <c r="N113" s="42">
        <f t="shared" si="55"/>
        <v>0</v>
      </c>
      <c r="O113" s="42">
        <f t="shared" si="55"/>
        <v>0</v>
      </c>
      <c r="P113" s="42">
        <f t="shared" si="55"/>
        <v>0</v>
      </c>
      <c r="Q113" s="42">
        <f t="shared" si="55"/>
        <v>0</v>
      </c>
      <c r="R113" s="42">
        <f t="shared" si="55"/>
        <v>0</v>
      </c>
      <c r="S113" s="42">
        <f t="shared" si="55"/>
        <v>0</v>
      </c>
      <c r="T113" s="42">
        <f t="shared" si="55"/>
        <v>0</v>
      </c>
      <c r="U113" s="42">
        <f t="shared" si="55"/>
        <v>0</v>
      </c>
      <c r="V113" s="42">
        <f t="shared" si="55"/>
        <v>0</v>
      </c>
      <c r="W113" s="42">
        <f t="shared" si="55"/>
        <v>0</v>
      </c>
      <c r="X113" s="42">
        <f t="shared" si="55"/>
        <v>0</v>
      </c>
      <c r="Y113" s="42">
        <f t="shared" ref="Y113" si="56">Y76-Y75</f>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9" t="s">
        <v>293</v>
      </c>
      <c r="E114" s="42">
        <f t="shared" ref="E114:X114" si="57">E77-E76</f>
        <v>0</v>
      </c>
      <c r="F114" s="42">
        <f t="shared" si="57"/>
        <v>0</v>
      </c>
      <c r="G114" s="42">
        <f t="shared" si="57"/>
        <v>0</v>
      </c>
      <c r="H114" s="42">
        <f t="shared" si="57"/>
        <v>0</v>
      </c>
      <c r="I114" s="42">
        <f t="shared" si="57"/>
        <v>0</v>
      </c>
      <c r="J114" s="42">
        <f t="shared" si="57"/>
        <v>0</v>
      </c>
      <c r="K114" s="42">
        <f t="shared" si="57"/>
        <v>0</v>
      </c>
      <c r="L114" s="42">
        <f t="shared" si="57"/>
        <v>0</v>
      </c>
      <c r="M114" s="42">
        <f t="shared" si="57"/>
        <v>0</v>
      </c>
      <c r="N114" s="42">
        <f t="shared" si="57"/>
        <v>0</v>
      </c>
      <c r="O114" s="42">
        <f t="shared" si="57"/>
        <v>0</v>
      </c>
      <c r="P114" s="42">
        <f t="shared" si="57"/>
        <v>0</v>
      </c>
      <c r="Q114" s="42">
        <f t="shared" si="57"/>
        <v>0</v>
      </c>
      <c r="R114" s="42">
        <f t="shared" si="57"/>
        <v>0</v>
      </c>
      <c r="S114" s="42">
        <f t="shared" si="57"/>
        <v>0</v>
      </c>
      <c r="T114" s="42">
        <f t="shared" si="57"/>
        <v>0</v>
      </c>
      <c r="U114" s="42">
        <f t="shared" si="57"/>
        <v>0</v>
      </c>
      <c r="V114" s="42">
        <f t="shared" si="57"/>
        <v>0</v>
      </c>
      <c r="W114" s="42">
        <f t="shared" si="57"/>
        <v>0</v>
      </c>
      <c r="X114" s="42">
        <f t="shared" si="57"/>
        <v>0</v>
      </c>
      <c r="Y114" s="42">
        <f t="shared" ref="Y114" si="58">Y77-Y76</f>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9" t="s">
        <v>295</v>
      </c>
      <c r="E115" s="42">
        <f t="shared" ref="E115:X115" si="59">E78-E77</f>
        <v>0</v>
      </c>
      <c r="F115" s="42">
        <f t="shared" si="59"/>
        <v>0</v>
      </c>
      <c r="G115" s="42">
        <f t="shared" si="59"/>
        <v>0</v>
      </c>
      <c r="H115" s="42">
        <f t="shared" si="59"/>
        <v>0</v>
      </c>
      <c r="I115" s="42">
        <f t="shared" si="59"/>
        <v>0</v>
      </c>
      <c r="J115" s="42">
        <f t="shared" si="59"/>
        <v>0</v>
      </c>
      <c r="K115" s="42">
        <f t="shared" si="59"/>
        <v>0</v>
      </c>
      <c r="L115" s="42">
        <f t="shared" si="59"/>
        <v>0</v>
      </c>
      <c r="M115" s="42">
        <f t="shared" si="59"/>
        <v>0</v>
      </c>
      <c r="N115" s="42">
        <f t="shared" si="59"/>
        <v>0</v>
      </c>
      <c r="O115" s="42">
        <f t="shared" si="59"/>
        <v>0</v>
      </c>
      <c r="P115" s="42">
        <f t="shared" si="59"/>
        <v>0</v>
      </c>
      <c r="Q115" s="42">
        <f t="shared" si="59"/>
        <v>0</v>
      </c>
      <c r="R115" s="42">
        <f t="shared" si="59"/>
        <v>0</v>
      </c>
      <c r="S115" s="42">
        <f t="shared" si="59"/>
        <v>0</v>
      </c>
      <c r="T115" s="42">
        <f t="shared" si="59"/>
        <v>0</v>
      </c>
      <c r="U115" s="42">
        <f t="shared" si="59"/>
        <v>0</v>
      </c>
      <c r="V115" s="42">
        <f t="shared" si="59"/>
        <v>0</v>
      </c>
      <c r="W115" s="42">
        <f t="shared" si="59"/>
        <v>0</v>
      </c>
      <c r="X115" s="42">
        <f t="shared" si="59"/>
        <v>0</v>
      </c>
      <c r="Y115" s="42">
        <f t="shared" ref="Y115" si="60">Y78-Y77</f>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9" t="s">
        <v>298</v>
      </c>
      <c r="E116" s="42">
        <f t="shared" ref="E116:X116" si="61">E79-E78</f>
        <v>0</v>
      </c>
      <c r="F116" s="42">
        <f t="shared" si="61"/>
        <v>0</v>
      </c>
      <c r="G116" s="42">
        <f t="shared" si="61"/>
        <v>0</v>
      </c>
      <c r="H116" s="42">
        <f t="shared" si="61"/>
        <v>0</v>
      </c>
      <c r="I116" s="42">
        <f t="shared" si="61"/>
        <v>0</v>
      </c>
      <c r="J116" s="42">
        <f t="shared" si="61"/>
        <v>0</v>
      </c>
      <c r="K116" s="42">
        <f t="shared" si="61"/>
        <v>0</v>
      </c>
      <c r="L116" s="42">
        <f t="shared" si="61"/>
        <v>0</v>
      </c>
      <c r="M116" s="42">
        <f t="shared" si="61"/>
        <v>0</v>
      </c>
      <c r="N116" s="42">
        <f t="shared" si="61"/>
        <v>0</v>
      </c>
      <c r="O116" s="42">
        <f t="shared" si="61"/>
        <v>0</v>
      </c>
      <c r="P116" s="42">
        <f t="shared" si="61"/>
        <v>0</v>
      </c>
      <c r="Q116" s="42">
        <f t="shared" si="61"/>
        <v>0</v>
      </c>
      <c r="R116" s="42">
        <f t="shared" si="61"/>
        <v>0</v>
      </c>
      <c r="S116" s="42">
        <f t="shared" si="61"/>
        <v>0</v>
      </c>
      <c r="T116" s="42">
        <f t="shared" si="61"/>
        <v>0</v>
      </c>
      <c r="U116" s="42">
        <f t="shared" si="61"/>
        <v>0</v>
      </c>
      <c r="V116" s="42">
        <f t="shared" si="61"/>
        <v>0</v>
      </c>
      <c r="W116" s="42">
        <f t="shared" si="61"/>
        <v>0</v>
      </c>
      <c r="X116" s="42">
        <f t="shared" si="61"/>
        <v>0</v>
      </c>
      <c r="Y116" s="42">
        <f t="shared" ref="Y116" si="62">Y79-Y78</f>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9" t="s">
        <v>301</v>
      </c>
      <c r="E117" s="42">
        <f t="shared" ref="E117:X117" si="63">E80-E79</f>
        <v>0</v>
      </c>
      <c r="F117" s="42">
        <f t="shared" si="63"/>
        <v>0</v>
      </c>
      <c r="G117" s="42">
        <f t="shared" si="63"/>
        <v>0</v>
      </c>
      <c r="H117" s="42">
        <f t="shared" si="63"/>
        <v>0</v>
      </c>
      <c r="I117" s="42">
        <f t="shared" si="63"/>
        <v>0</v>
      </c>
      <c r="J117" s="42">
        <f t="shared" si="63"/>
        <v>0</v>
      </c>
      <c r="K117" s="42">
        <f t="shared" si="63"/>
        <v>0</v>
      </c>
      <c r="L117" s="42">
        <f t="shared" si="63"/>
        <v>0</v>
      </c>
      <c r="M117" s="42">
        <f t="shared" si="63"/>
        <v>0</v>
      </c>
      <c r="N117" s="42">
        <f t="shared" si="63"/>
        <v>0</v>
      </c>
      <c r="O117" s="42">
        <f t="shared" si="63"/>
        <v>0</v>
      </c>
      <c r="P117" s="42">
        <f t="shared" si="63"/>
        <v>0</v>
      </c>
      <c r="Q117" s="42">
        <f t="shared" si="63"/>
        <v>0</v>
      </c>
      <c r="R117" s="42">
        <f t="shared" si="63"/>
        <v>0</v>
      </c>
      <c r="S117" s="42">
        <f t="shared" si="63"/>
        <v>0</v>
      </c>
      <c r="T117" s="42">
        <f t="shared" si="63"/>
        <v>0</v>
      </c>
      <c r="U117" s="42">
        <f t="shared" si="63"/>
        <v>0</v>
      </c>
      <c r="V117" s="42">
        <f t="shared" si="63"/>
        <v>0</v>
      </c>
      <c r="W117" s="42">
        <f t="shared" si="63"/>
        <v>0</v>
      </c>
      <c r="X117" s="42">
        <f t="shared" si="63"/>
        <v>0</v>
      </c>
      <c r="Y117" s="42">
        <f t="shared" ref="Y117" si="64">Y80-Y79</f>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9" t="s">
        <v>304</v>
      </c>
      <c r="E118" s="42">
        <f t="shared" ref="E118:X118" si="65">E81-E80</f>
        <v>0</v>
      </c>
      <c r="F118" s="42">
        <f t="shared" si="65"/>
        <v>0</v>
      </c>
      <c r="G118" s="42">
        <f t="shared" si="65"/>
        <v>0</v>
      </c>
      <c r="H118" s="42">
        <f t="shared" si="65"/>
        <v>0</v>
      </c>
      <c r="I118" s="42">
        <f t="shared" si="65"/>
        <v>0</v>
      </c>
      <c r="J118" s="42">
        <f t="shared" si="65"/>
        <v>0</v>
      </c>
      <c r="K118" s="42">
        <f t="shared" si="65"/>
        <v>0</v>
      </c>
      <c r="L118" s="42">
        <f t="shared" si="65"/>
        <v>0</v>
      </c>
      <c r="M118" s="42">
        <f t="shared" si="65"/>
        <v>0</v>
      </c>
      <c r="N118" s="42">
        <f t="shared" si="65"/>
        <v>0</v>
      </c>
      <c r="O118" s="42">
        <f t="shared" si="65"/>
        <v>0</v>
      </c>
      <c r="P118" s="42">
        <f t="shared" si="65"/>
        <v>0</v>
      </c>
      <c r="Q118" s="42">
        <f t="shared" si="65"/>
        <v>0</v>
      </c>
      <c r="R118" s="42">
        <f t="shared" si="65"/>
        <v>0</v>
      </c>
      <c r="S118" s="42">
        <f t="shared" si="65"/>
        <v>0</v>
      </c>
      <c r="T118" s="42">
        <f t="shared" si="65"/>
        <v>0</v>
      </c>
      <c r="U118" s="42">
        <f t="shared" si="65"/>
        <v>0</v>
      </c>
      <c r="V118" s="42">
        <f t="shared" si="65"/>
        <v>0</v>
      </c>
      <c r="W118" s="42">
        <f t="shared" si="65"/>
        <v>0</v>
      </c>
      <c r="X118" s="42">
        <f t="shared" si="65"/>
        <v>0</v>
      </c>
      <c r="Y118" s="42">
        <f t="shared" ref="Y118" si="66">Y81-Y80</f>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9" t="s">
        <v>307</v>
      </c>
      <c r="E119" s="42">
        <f t="shared" ref="E119:X119" si="67">E82-E81</f>
        <v>0</v>
      </c>
      <c r="F119" s="42">
        <f t="shared" si="67"/>
        <v>0</v>
      </c>
      <c r="G119" s="42">
        <f t="shared" si="67"/>
        <v>0</v>
      </c>
      <c r="H119" s="42">
        <f t="shared" si="67"/>
        <v>0</v>
      </c>
      <c r="I119" s="42">
        <f t="shared" si="67"/>
        <v>0</v>
      </c>
      <c r="J119" s="42">
        <f t="shared" si="67"/>
        <v>0</v>
      </c>
      <c r="K119" s="42">
        <f t="shared" si="67"/>
        <v>0</v>
      </c>
      <c r="L119" s="42">
        <f t="shared" si="67"/>
        <v>0</v>
      </c>
      <c r="M119" s="42">
        <f t="shared" si="67"/>
        <v>0</v>
      </c>
      <c r="N119" s="42">
        <f t="shared" si="67"/>
        <v>0</v>
      </c>
      <c r="O119" s="42">
        <f t="shared" si="67"/>
        <v>0</v>
      </c>
      <c r="P119" s="42">
        <f t="shared" si="67"/>
        <v>0</v>
      </c>
      <c r="Q119" s="42">
        <f t="shared" si="67"/>
        <v>0</v>
      </c>
      <c r="R119" s="42">
        <f t="shared" si="67"/>
        <v>0</v>
      </c>
      <c r="S119" s="42">
        <f t="shared" si="67"/>
        <v>0</v>
      </c>
      <c r="T119" s="42">
        <f t="shared" si="67"/>
        <v>0</v>
      </c>
      <c r="U119" s="42">
        <f t="shared" si="67"/>
        <v>0</v>
      </c>
      <c r="V119" s="42">
        <f t="shared" si="67"/>
        <v>0</v>
      </c>
      <c r="W119" s="42">
        <f t="shared" si="67"/>
        <v>0</v>
      </c>
      <c r="X119" s="42">
        <f t="shared" si="67"/>
        <v>0</v>
      </c>
      <c r="Y119" s="42">
        <f t="shared" ref="Y119" si="68">Y82-Y81</f>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9" t="s">
        <v>310</v>
      </c>
      <c r="E120" s="42">
        <f t="shared" ref="E120:X120" si="69">E83-E82</f>
        <v>0</v>
      </c>
      <c r="F120" s="42">
        <f t="shared" si="69"/>
        <v>0</v>
      </c>
      <c r="G120" s="42">
        <f t="shared" si="69"/>
        <v>0</v>
      </c>
      <c r="H120" s="42">
        <f t="shared" si="69"/>
        <v>0</v>
      </c>
      <c r="I120" s="42">
        <f t="shared" si="69"/>
        <v>0</v>
      </c>
      <c r="J120" s="42">
        <f t="shared" si="69"/>
        <v>0</v>
      </c>
      <c r="K120" s="42">
        <f t="shared" si="69"/>
        <v>0</v>
      </c>
      <c r="L120" s="42">
        <f t="shared" si="69"/>
        <v>0</v>
      </c>
      <c r="M120" s="42">
        <f t="shared" si="69"/>
        <v>0</v>
      </c>
      <c r="N120" s="42">
        <f t="shared" si="69"/>
        <v>0</v>
      </c>
      <c r="O120" s="42">
        <f t="shared" si="69"/>
        <v>0</v>
      </c>
      <c r="P120" s="42">
        <f t="shared" si="69"/>
        <v>0</v>
      </c>
      <c r="Q120" s="42">
        <f t="shared" si="69"/>
        <v>0</v>
      </c>
      <c r="R120" s="42">
        <f t="shared" si="69"/>
        <v>0</v>
      </c>
      <c r="S120" s="42">
        <f t="shared" si="69"/>
        <v>0</v>
      </c>
      <c r="T120" s="42">
        <f t="shared" si="69"/>
        <v>0</v>
      </c>
      <c r="U120" s="42">
        <f t="shared" si="69"/>
        <v>0</v>
      </c>
      <c r="V120" s="42">
        <f t="shared" si="69"/>
        <v>0</v>
      </c>
      <c r="W120" s="42">
        <f t="shared" si="69"/>
        <v>0</v>
      </c>
      <c r="X120" s="42">
        <f t="shared" si="69"/>
        <v>0</v>
      </c>
      <c r="Y120" s="42">
        <f t="shared" ref="Y120" si="70">Y83-Y82</f>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9" t="s">
        <v>313</v>
      </c>
      <c r="E121" s="42">
        <f t="shared" ref="E121:X121" si="71">E84-E83</f>
        <v>0</v>
      </c>
      <c r="F121" s="42">
        <f t="shared" si="71"/>
        <v>0</v>
      </c>
      <c r="G121" s="42">
        <f t="shared" si="71"/>
        <v>0</v>
      </c>
      <c r="H121" s="42">
        <f t="shared" si="71"/>
        <v>0</v>
      </c>
      <c r="I121" s="42">
        <f t="shared" si="71"/>
        <v>0</v>
      </c>
      <c r="J121" s="42">
        <f t="shared" si="71"/>
        <v>0</v>
      </c>
      <c r="K121" s="42">
        <f t="shared" si="71"/>
        <v>0</v>
      </c>
      <c r="L121" s="42">
        <f t="shared" si="71"/>
        <v>0</v>
      </c>
      <c r="M121" s="42">
        <f t="shared" si="71"/>
        <v>0</v>
      </c>
      <c r="N121" s="42">
        <f t="shared" si="71"/>
        <v>0</v>
      </c>
      <c r="O121" s="42">
        <f t="shared" si="71"/>
        <v>0</v>
      </c>
      <c r="P121" s="42">
        <f t="shared" si="71"/>
        <v>0</v>
      </c>
      <c r="Q121" s="42">
        <f t="shared" si="71"/>
        <v>0</v>
      </c>
      <c r="R121" s="42">
        <f t="shared" si="71"/>
        <v>0</v>
      </c>
      <c r="S121" s="42">
        <f t="shared" si="71"/>
        <v>0</v>
      </c>
      <c r="T121" s="42">
        <f t="shared" si="71"/>
        <v>0</v>
      </c>
      <c r="U121" s="42">
        <f t="shared" si="71"/>
        <v>0</v>
      </c>
      <c r="V121" s="42">
        <f t="shared" si="71"/>
        <v>0</v>
      </c>
      <c r="W121" s="42">
        <f t="shared" si="71"/>
        <v>0</v>
      </c>
      <c r="X121" s="42">
        <f t="shared" si="71"/>
        <v>0</v>
      </c>
      <c r="Y121" s="42">
        <f t="shared" ref="Y121" si="72">Y84-Y83</f>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9" t="s">
        <v>316</v>
      </c>
      <c r="E122" s="42">
        <f t="shared" ref="E122:X122" si="73">E85-E84</f>
        <v>0</v>
      </c>
      <c r="F122" s="42">
        <f t="shared" si="73"/>
        <v>0</v>
      </c>
      <c r="G122" s="42">
        <f t="shared" si="73"/>
        <v>0</v>
      </c>
      <c r="H122" s="42">
        <f t="shared" si="73"/>
        <v>0</v>
      </c>
      <c r="I122" s="42">
        <f t="shared" si="73"/>
        <v>0</v>
      </c>
      <c r="J122" s="42">
        <f t="shared" si="73"/>
        <v>0</v>
      </c>
      <c r="K122" s="42">
        <f t="shared" si="73"/>
        <v>0</v>
      </c>
      <c r="L122" s="42">
        <f t="shared" si="73"/>
        <v>0</v>
      </c>
      <c r="M122" s="42">
        <f t="shared" si="73"/>
        <v>0</v>
      </c>
      <c r="N122" s="42">
        <f t="shared" si="73"/>
        <v>0</v>
      </c>
      <c r="O122" s="42">
        <f t="shared" si="73"/>
        <v>0</v>
      </c>
      <c r="P122" s="42">
        <f t="shared" si="73"/>
        <v>0</v>
      </c>
      <c r="Q122" s="42">
        <f t="shared" si="73"/>
        <v>0</v>
      </c>
      <c r="R122" s="42">
        <f t="shared" si="73"/>
        <v>0</v>
      </c>
      <c r="S122" s="42">
        <f t="shared" si="73"/>
        <v>0</v>
      </c>
      <c r="T122" s="42">
        <f t="shared" si="73"/>
        <v>0</v>
      </c>
      <c r="U122" s="42">
        <f t="shared" si="73"/>
        <v>0</v>
      </c>
      <c r="V122" s="42">
        <f t="shared" si="73"/>
        <v>0</v>
      </c>
      <c r="W122" s="42">
        <f t="shared" si="73"/>
        <v>0</v>
      </c>
      <c r="X122" s="42">
        <f t="shared" si="73"/>
        <v>0</v>
      </c>
      <c r="Y122" s="42">
        <f t="shared" ref="Y122" si="74">Y85-Y84</f>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9" t="s">
        <v>319</v>
      </c>
      <c r="E123" s="42">
        <f t="shared" ref="E123:X123" si="75">E86-E85</f>
        <v>0</v>
      </c>
      <c r="F123" s="42">
        <f t="shared" si="75"/>
        <v>0</v>
      </c>
      <c r="G123" s="42">
        <f t="shared" si="75"/>
        <v>0</v>
      </c>
      <c r="H123" s="42">
        <f t="shared" si="75"/>
        <v>0</v>
      </c>
      <c r="I123" s="42">
        <f t="shared" si="75"/>
        <v>0</v>
      </c>
      <c r="J123" s="42">
        <f t="shared" si="75"/>
        <v>0</v>
      </c>
      <c r="K123" s="42">
        <f t="shared" si="75"/>
        <v>0</v>
      </c>
      <c r="L123" s="42">
        <f t="shared" si="75"/>
        <v>0</v>
      </c>
      <c r="M123" s="42">
        <f t="shared" si="75"/>
        <v>0</v>
      </c>
      <c r="N123" s="42">
        <f t="shared" si="75"/>
        <v>0</v>
      </c>
      <c r="O123" s="42">
        <f t="shared" si="75"/>
        <v>0</v>
      </c>
      <c r="P123" s="42">
        <f t="shared" si="75"/>
        <v>0</v>
      </c>
      <c r="Q123" s="42">
        <f t="shared" si="75"/>
        <v>0</v>
      </c>
      <c r="R123" s="42">
        <f t="shared" si="75"/>
        <v>0</v>
      </c>
      <c r="S123" s="42">
        <f t="shared" si="75"/>
        <v>0</v>
      </c>
      <c r="T123" s="42">
        <f t="shared" si="75"/>
        <v>0</v>
      </c>
      <c r="U123" s="42">
        <f t="shared" si="75"/>
        <v>0</v>
      </c>
      <c r="V123" s="42">
        <f t="shared" si="75"/>
        <v>0</v>
      </c>
      <c r="W123" s="42">
        <f t="shared" si="75"/>
        <v>0</v>
      </c>
      <c r="X123" s="42">
        <f t="shared" si="75"/>
        <v>0</v>
      </c>
      <c r="Y123" s="42">
        <f t="shared" ref="Y123" si="76">Y86-Y85</f>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C124" s="9" t="s">
        <v>322</v>
      </c>
      <c r="E124" s="42">
        <f t="shared" ref="E124:X124" si="77">E87-E86</f>
        <v>0</v>
      </c>
      <c r="F124" s="42">
        <f t="shared" si="77"/>
        <v>0</v>
      </c>
      <c r="G124" s="42">
        <f t="shared" si="77"/>
        <v>0</v>
      </c>
      <c r="H124" s="42">
        <f t="shared" si="77"/>
        <v>0</v>
      </c>
      <c r="I124" s="42">
        <f t="shared" si="77"/>
        <v>0</v>
      </c>
      <c r="J124" s="42">
        <f t="shared" si="77"/>
        <v>0</v>
      </c>
      <c r="K124" s="42">
        <f t="shared" si="77"/>
        <v>0</v>
      </c>
      <c r="L124" s="42">
        <f t="shared" si="77"/>
        <v>0</v>
      </c>
      <c r="M124" s="42">
        <f t="shared" si="77"/>
        <v>0</v>
      </c>
      <c r="N124" s="42">
        <f t="shared" si="77"/>
        <v>0</v>
      </c>
      <c r="O124" s="42">
        <f t="shared" si="77"/>
        <v>0</v>
      </c>
      <c r="P124" s="42">
        <f t="shared" si="77"/>
        <v>0</v>
      </c>
      <c r="Q124" s="42">
        <f t="shared" si="77"/>
        <v>0</v>
      </c>
      <c r="R124" s="42">
        <f t="shared" si="77"/>
        <v>0</v>
      </c>
      <c r="S124" s="42">
        <f t="shared" si="77"/>
        <v>0</v>
      </c>
      <c r="T124" s="42">
        <f t="shared" si="77"/>
        <v>0</v>
      </c>
      <c r="U124" s="42">
        <f t="shared" si="77"/>
        <v>0</v>
      </c>
      <c r="V124" s="42">
        <f t="shared" si="77"/>
        <v>0</v>
      </c>
      <c r="W124" s="42">
        <f t="shared" si="77"/>
        <v>0</v>
      </c>
      <c r="X124" s="42">
        <f t="shared" si="77"/>
        <v>0</v>
      </c>
      <c r="Y124" s="42">
        <f t="shared" ref="Y124" si="78">Y87-Y86</f>
        <v>0</v>
      </c>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ht="15">
      <c r="C126" s="73" t="s">
        <v>144</v>
      </c>
      <c r="D126" s="74"/>
      <c r="E126" s="74">
        <f t="shared" ref="E126:X126" si="79">SUM(E93:E124)</f>
        <v>2.2569983798435877E-3</v>
      </c>
      <c r="F126" s="74">
        <f t="shared" si="79"/>
        <v>5.6075751765639684E-3</v>
      </c>
      <c r="G126" s="74">
        <f t="shared" si="79"/>
        <v>1.1980676520663402E-2</v>
      </c>
      <c r="H126" s="74">
        <f t="shared" si="79"/>
        <v>2.2777562011351084E-2</v>
      </c>
      <c r="I126" s="74">
        <f t="shared" si="79"/>
        <v>3.8735378638978926E-2</v>
      </c>
      <c r="J126" s="74">
        <f t="shared" si="79"/>
        <v>5.9540310629541737E-2</v>
      </c>
      <c r="K126" s="74">
        <f t="shared" si="79"/>
        <v>8.6180992441484874E-2</v>
      </c>
      <c r="L126" s="74">
        <f t="shared" si="79"/>
        <v>0.11902437107555662</v>
      </c>
      <c r="M126" s="74">
        <f t="shared" si="79"/>
        <v>0.15399977117146602</v>
      </c>
      <c r="N126" s="74">
        <f t="shared" si="79"/>
        <v>0.19284684356649703</v>
      </c>
      <c r="O126" s="74">
        <f t="shared" si="79"/>
        <v>0.22747789256773929</v>
      </c>
      <c r="P126" s="74">
        <f t="shared" si="79"/>
        <v>0.25454429724002048</v>
      </c>
      <c r="Q126" s="74">
        <f t="shared" si="79"/>
        <v>0.27335794026273169</v>
      </c>
      <c r="R126" s="74">
        <f t="shared" si="79"/>
        <v>0.29116798169886449</v>
      </c>
      <c r="S126" s="74">
        <f t="shared" si="79"/>
        <v>0.30624421204541047</v>
      </c>
      <c r="T126" s="74">
        <f t="shared" si="79"/>
        <v>0.31308786110119685</v>
      </c>
      <c r="U126" s="74">
        <f t="shared" si="79"/>
        <v>0.31048414722014889</v>
      </c>
      <c r="V126" s="74">
        <f t="shared" si="79"/>
        <v>0.31279983362311781</v>
      </c>
      <c r="W126" s="74">
        <f t="shared" si="79"/>
        <v>0.31439109022101425</v>
      </c>
      <c r="X126" s="74">
        <f t="shared" si="79"/>
        <v>0.31697063449160773</v>
      </c>
      <c r="Y126" s="74"/>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ht="15">
      <c r="C127" s="73" t="s">
        <v>145</v>
      </c>
      <c r="D127" s="74"/>
      <c r="E127" s="74">
        <f>E126</f>
        <v>2.2569983798435877E-3</v>
      </c>
      <c r="F127" s="74">
        <f t="shared" ref="F127:X127" si="80">E127+F126</f>
        <v>7.8645735564075551E-3</v>
      </c>
      <c r="G127" s="74">
        <f t="shared" si="80"/>
        <v>1.9845250077070956E-2</v>
      </c>
      <c r="H127" s="74">
        <f t="shared" si="80"/>
        <v>4.2622812088422043E-2</v>
      </c>
      <c r="I127" s="74">
        <f t="shared" si="80"/>
        <v>8.135819072740097E-2</v>
      </c>
      <c r="J127" s="74">
        <f t="shared" si="80"/>
        <v>0.14089850135694271</v>
      </c>
      <c r="K127" s="74">
        <f t="shared" si="80"/>
        <v>0.22707949379842757</v>
      </c>
      <c r="L127" s="74">
        <f t="shared" si="80"/>
        <v>0.3461038648739842</v>
      </c>
      <c r="M127" s="74">
        <f t="shared" si="80"/>
        <v>0.50010363604545027</v>
      </c>
      <c r="N127" s="74">
        <f t="shared" si="80"/>
        <v>0.69295047961194733</v>
      </c>
      <c r="O127" s="74">
        <f t="shared" si="80"/>
        <v>0.92042837217968665</v>
      </c>
      <c r="P127" s="74">
        <f t="shared" si="80"/>
        <v>1.1749726694197071</v>
      </c>
      <c r="Q127" s="74">
        <f t="shared" si="80"/>
        <v>1.4483306096824389</v>
      </c>
      <c r="R127" s="74">
        <f t="shared" si="80"/>
        <v>1.7394985913813032</v>
      </c>
      <c r="S127" s="74">
        <f t="shared" si="80"/>
        <v>2.0457428034267138</v>
      </c>
      <c r="T127" s="74">
        <f t="shared" si="80"/>
        <v>2.3588306645279107</v>
      </c>
      <c r="U127" s="74">
        <f t="shared" si="80"/>
        <v>2.6693148117480594</v>
      </c>
      <c r="V127" s="74">
        <f t="shared" si="80"/>
        <v>2.9821146453711771</v>
      </c>
      <c r="W127" s="74">
        <f t="shared" si="80"/>
        <v>3.2965057355921914</v>
      </c>
      <c r="X127" s="74">
        <f t="shared" si="80"/>
        <v>3.6134763700837991</v>
      </c>
      <c r="Y127" s="74">
        <f>SUM(Y93:Y124)</f>
        <v>3.6134763700837991</v>
      </c>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row>
    <row r="130" spans="1:27">
      <c r="A130" s="9" t="s">
        <v>150</v>
      </c>
    </row>
    <row r="132" spans="1:27">
      <c r="E132" s="42"/>
      <c r="F132" s="42"/>
      <c r="G132" s="42"/>
      <c r="H132" s="42"/>
      <c r="I132" s="42"/>
      <c r="J132" s="42"/>
      <c r="K132" s="42"/>
      <c r="L132" s="42"/>
      <c r="M132" s="42"/>
      <c r="N132" s="42"/>
      <c r="O132" s="42"/>
      <c r="P132" s="42"/>
      <c r="Q132" s="42"/>
      <c r="R132" s="42"/>
      <c r="S132" s="42"/>
      <c r="T132" s="42"/>
      <c r="U132" s="42"/>
      <c r="V132" s="42"/>
      <c r="W132" s="42"/>
      <c r="X132" s="42"/>
      <c r="Y132" s="42"/>
    </row>
    <row r="133" spans="1:27">
      <c r="E133" s="42"/>
      <c r="F133" s="42"/>
      <c r="G133" s="42"/>
      <c r="H133" s="42"/>
      <c r="I133" s="42"/>
      <c r="J133" s="42"/>
      <c r="K133" s="42"/>
      <c r="L133" s="42"/>
      <c r="M133" s="42"/>
      <c r="N133" s="42"/>
      <c r="O133" s="42"/>
      <c r="P133" s="42"/>
      <c r="Q133" s="42"/>
      <c r="R133" s="42"/>
      <c r="S133" s="42"/>
      <c r="T133" s="42"/>
      <c r="U133" s="42"/>
      <c r="V133" s="42"/>
      <c r="W133" s="42"/>
      <c r="X133" s="42"/>
      <c r="Y133" s="42"/>
    </row>
    <row r="134" spans="1:27" ht="15">
      <c r="A134" s="63" t="s">
        <v>151</v>
      </c>
      <c r="E134" s="42"/>
      <c r="F134" s="42"/>
      <c r="G134" s="42"/>
      <c r="H134" s="42"/>
      <c r="I134" s="42"/>
      <c r="J134" s="42"/>
      <c r="K134" s="42"/>
      <c r="L134" s="42"/>
      <c r="M134" s="42"/>
      <c r="N134" s="42"/>
      <c r="O134" s="42"/>
      <c r="P134" s="42"/>
      <c r="Q134" s="42"/>
      <c r="R134" s="42"/>
      <c r="S134" s="42"/>
      <c r="T134" s="42"/>
      <c r="U134" s="42"/>
      <c r="V134" s="42"/>
      <c r="W134" s="42"/>
      <c r="X134" s="42"/>
      <c r="Y134" s="42"/>
    </row>
    <row r="135" spans="1:27">
      <c r="A135" s="9" t="s">
        <v>152</v>
      </c>
      <c r="C135"/>
      <c r="D135"/>
      <c r="E135" s="9" t="s">
        <v>153</v>
      </c>
    </row>
    <row r="136" spans="1:27" ht="15">
      <c r="C136" s="53"/>
      <c r="D136" s="53"/>
      <c r="E136" s="72">
        <f>E11</f>
        <v>2016</v>
      </c>
      <c r="F136" s="72">
        <f t="shared" ref="F136:X136" si="81">F11</f>
        <v>2017</v>
      </c>
      <c r="G136" s="72">
        <f t="shared" si="81"/>
        <v>2018</v>
      </c>
      <c r="H136" s="72">
        <f t="shared" si="81"/>
        <v>2019</v>
      </c>
      <c r="I136" s="72">
        <f t="shared" si="81"/>
        <v>2020</v>
      </c>
      <c r="J136" s="72">
        <f t="shared" si="81"/>
        <v>2021</v>
      </c>
      <c r="K136" s="72">
        <f t="shared" si="81"/>
        <v>2022</v>
      </c>
      <c r="L136" s="72">
        <f t="shared" si="81"/>
        <v>2023</v>
      </c>
      <c r="M136" s="72">
        <f t="shared" si="81"/>
        <v>2024</v>
      </c>
      <c r="N136" s="72">
        <f t="shared" si="81"/>
        <v>2025</v>
      </c>
      <c r="O136" s="72">
        <f t="shared" si="81"/>
        <v>2026</v>
      </c>
      <c r="P136" s="72">
        <f t="shared" si="81"/>
        <v>2027</v>
      </c>
      <c r="Q136" s="72">
        <f t="shared" si="81"/>
        <v>2028</v>
      </c>
      <c r="R136" s="72">
        <f t="shared" si="81"/>
        <v>2029</v>
      </c>
      <c r="S136" s="72">
        <f t="shared" si="81"/>
        <v>2030</v>
      </c>
      <c r="T136" s="72">
        <f t="shared" si="81"/>
        <v>2031</v>
      </c>
      <c r="U136" s="72">
        <f t="shared" si="81"/>
        <v>2032</v>
      </c>
      <c r="V136" s="72">
        <f t="shared" si="81"/>
        <v>2033</v>
      </c>
      <c r="W136" s="72">
        <f t="shared" si="81"/>
        <v>2034</v>
      </c>
      <c r="X136" s="72">
        <f t="shared" si="81"/>
        <v>2035</v>
      </c>
      <c r="Y136" s="72"/>
    </row>
    <row r="137" spans="1:27">
      <c r="C137" s="9" t="str">
        <f>C13</f>
        <v>Single Family</v>
      </c>
      <c r="E137" s="42">
        <f>(E13-E33/$B23)</f>
        <v>62592.908458437742</v>
      </c>
      <c r="F137" s="42">
        <f t="shared" ref="F137:X140" si="82">(F13-F33/$B23)</f>
        <v>59733.355088040633</v>
      </c>
      <c r="G137" s="42">
        <f t="shared" si="82"/>
        <v>56352.846002006474</v>
      </c>
      <c r="H137" s="42">
        <f t="shared" si="82"/>
        <v>54071.598693804212</v>
      </c>
      <c r="I137" s="42">
        <f t="shared" si="82"/>
        <v>51940.150128605899</v>
      </c>
      <c r="J137" s="42">
        <f t="shared" si="82"/>
        <v>48583.923461465114</v>
      </c>
      <c r="K137" s="42">
        <f t="shared" si="82"/>
        <v>46110.903636063864</v>
      </c>
      <c r="L137" s="42">
        <f t="shared" si="82"/>
        <v>44590.486841664584</v>
      </c>
      <c r="M137" s="42">
        <f t="shared" si="82"/>
        <v>42745.244136018708</v>
      </c>
      <c r="N137" s="42">
        <f t="shared" si="82"/>
        <v>42094.908832212546</v>
      </c>
      <c r="O137" s="42">
        <f t="shared" si="82"/>
        <v>41063.679916800604</v>
      </c>
      <c r="P137" s="42">
        <f t="shared" si="82"/>
        <v>39391.829414377498</v>
      </c>
      <c r="Q137" s="42">
        <f t="shared" si="82"/>
        <v>37430.58985418058</v>
      </c>
      <c r="R137" s="42">
        <f t="shared" si="82"/>
        <v>36754.826481000389</v>
      </c>
      <c r="S137" s="42">
        <f t="shared" si="82"/>
        <v>36651.056394193954</v>
      </c>
      <c r="T137" s="42">
        <f t="shared" si="82"/>
        <v>36123.489968537098</v>
      </c>
      <c r="U137" s="42">
        <f t="shared" si="82"/>
        <v>34689.194813385766</v>
      </c>
      <c r="V137" s="42">
        <f t="shared" si="82"/>
        <v>34477.815211508059</v>
      </c>
      <c r="W137" s="42">
        <f t="shared" si="82"/>
        <v>34472.607278704818</v>
      </c>
      <c r="X137" s="42">
        <f t="shared" si="82"/>
        <v>34652.156156821431</v>
      </c>
      <c r="Y137" s="42"/>
      <c r="AA137" s="42">
        <f t="shared" ref="AA137:AA140" si="83">SUM(E137:Y137)</f>
        <v>874523.57076782989</v>
      </c>
    </row>
    <row r="138" spans="1:27">
      <c r="C138" s="9" t="str">
        <f>C14</f>
        <v>Multifamily - Low Rise</v>
      </c>
      <c r="E138" s="42">
        <f t="shared" ref="E138:T140" si="84">(E14-E34/$B24)</f>
        <v>23245.864103959815</v>
      </c>
      <c r="F138" s="42">
        <f t="shared" si="84"/>
        <v>22929.732673182309</v>
      </c>
      <c r="G138" s="42">
        <f t="shared" si="84"/>
        <v>22618.481736218651</v>
      </c>
      <c r="H138" s="42">
        <f t="shared" si="84"/>
        <v>21718.95272218265</v>
      </c>
      <c r="I138" s="42">
        <f t="shared" si="84"/>
        <v>20208.063967738479</v>
      </c>
      <c r="J138" s="42">
        <f t="shared" si="84"/>
        <v>19126.200590543609</v>
      </c>
      <c r="K138" s="42">
        <f t="shared" si="84"/>
        <v>18503.127323700744</v>
      </c>
      <c r="L138" s="42">
        <f t="shared" si="84"/>
        <v>18313.316261114116</v>
      </c>
      <c r="M138" s="42">
        <f t="shared" si="84"/>
        <v>18169.938676229875</v>
      </c>
      <c r="N138" s="42">
        <f t="shared" si="84"/>
        <v>18058.901585692016</v>
      </c>
      <c r="O138" s="42">
        <f t="shared" si="84"/>
        <v>17567.365352562825</v>
      </c>
      <c r="P138" s="42">
        <f t="shared" si="84"/>
        <v>17075.992953146364</v>
      </c>
      <c r="Q138" s="42">
        <f t="shared" si="84"/>
        <v>16694.019700989134</v>
      </c>
      <c r="R138" s="42">
        <f t="shared" si="84"/>
        <v>16197.388367125264</v>
      </c>
      <c r="S138" s="42">
        <f t="shared" si="84"/>
        <v>15772.926353417299</v>
      </c>
      <c r="T138" s="42">
        <f t="shared" si="84"/>
        <v>15293.043214638777</v>
      </c>
      <c r="U138" s="42">
        <f t="shared" si="82"/>
        <v>14929.329320223958</v>
      </c>
      <c r="V138" s="42">
        <f t="shared" si="82"/>
        <v>14675.352434118442</v>
      </c>
      <c r="W138" s="42">
        <f t="shared" si="82"/>
        <v>14354.168973041549</v>
      </c>
      <c r="X138" s="42">
        <f t="shared" si="82"/>
        <v>14277.418549562768</v>
      </c>
      <c r="Y138" s="42"/>
      <c r="AA138" s="42">
        <f t="shared" si="83"/>
        <v>359729.58485938859</v>
      </c>
    </row>
    <row r="139" spans="1:27">
      <c r="C139" s="9" t="str">
        <f>C15</f>
        <v>Multifamily - High Rise</v>
      </c>
      <c r="E139" s="42">
        <f t="shared" si="84"/>
        <v>5218.4976033731518</v>
      </c>
      <c r="F139" s="42">
        <f t="shared" si="82"/>
        <v>5219.9913944397449</v>
      </c>
      <c r="G139" s="42">
        <f t="shared" si="82"/>
        <v>5226.633919990456</v>
      </c>
      <c r="H139" s="42">
        <f t="shared" si="82"/>
        <v>4903.0417081624173</v>
      </c>
      <c r="I139" s="42">
        <f t="shared" si="82"/>
        <v>4473.597819162841</v>
      </c>
      <c r="J139" s="42">
        <f t="shared" si="82"/>
        <v>4297.5103552086957</v>
      </c>
      <c r="K139" s="42">
        <f t="shared" si="82"/>
        <v>4169.7146976492686</v>
      </c>
      <c r="L139" s="42">
        <f t="shared" si="82"/>
        <v>4178.2406647706966</v>
      </c>
      <c r="M139" s="42">
        <f t="shared" si="82"/>
        <v>4116.3842107888304</v>
      </c>
      <c r="N139" s="42">
        <f t="shared" si="82"/>
        <v>4090.8008073398532</v>
      </c>
      <c r="O139" s="42">
        <f t="shared" si="82"/>
        <v>3931.5512939947794</v>
      </c>
      <c r="P139" s="42">
        <f t="shared" si="82"/>
        <v>3814.1895307216714</v>
      </c>
      <c r="Q139" s="42">
        <f t="shared" si="82"/>
        <v>3696.703149794449</v>
      </c>
      <c r="R139" s="42">
        <f t="shared" si="82"/>
        <v>3614.8297022495931</v>
      </c>
      <c r="S139" s="42">
        <f t="shared" si="82"/>
        <v>3536.8700500576665</v>
      </c>
      <c r="T139" s="42">
        <f t="shared" si="82"/>
        <v>3426.8339356415308</v>
      </c>
      <c r="U139" s="42">
        <f t="shared" si="82"/>
        <v>3349.3474829428505</v>
      </c>
      <c r="V139" s="42">
        <f t="shared" si="82"/>
        <v>3257.8408157459853</v>
      </c>
      <c r="W139" s="42">
        <f t="shared" si="82"/>
        <v>3236.6965524192337</v>
      </c>
      <c r="X139" s="42">
        <f t="shared" si="82"/>
        <v>3216.8934329785407</v>
      </c>
      <c r="Y139" s="42"/>
      <c r="AA139" s="42">
        <f t="shared" si="83"/>
        <v>80976.169127432237</v>
      </c>
    </row>
    <row r="140" spans="1:27">
      <c r="C140" s="9" t="str">
        <f>C16</f>
        <v>Manufactured</v>
      </c>
      <c r="E140" s="42">
        <f t="shared" si="84"/>
        <v>1866.8061782119812</v>
      </c>
      <c r="F140" s="42">
        <f t="shared" si="82"/>
        <v>1874.6275556117703</v>
      </c>
      <c r="G140" s="42">
        <f t="shared" si="82"/>
        <v>1932.6323376414723</v>
      </c>
      <c r="H140" s="42">
        <f t="shared" si="82"/>
        <v>1987.6136200167475</v>
      </c>
      <c r="I140" s="42">
        <f t="shared" si="82"/>
        <v>1902.1089408953069</v>
      </c>
      <c r="J140" s="42">
        <f t="shared" si="82"/>
        <v>1837.8588137944685</v>
      </c>
      <c r="K140" s="42">
        <f t="shared" si="82"/>
        <v>1800.2409067217509</v>
      </c>
      <c r="L140" s="42">
        <f t="shared" si="82"/>
        <v>1759.1037466518842</v>
      </c>
      <c r="M140" s="42">
        <f t="shared" si="82"/>
        <v>1713.232737840857</v>
      </c>
      <c r="N140" s="42">
        <f t="shared" si="82"/>
        <v>1658.7546752976746</v>
      </c>
      <c r="O140" s="42">
        <f t="shared" si="82"/>
        <v>1598.2237925718205</v>
      </c>
      <c r="P140" s="42">
        <f t="shared" si="82"/>
        <v>1551.4602885802774</v>
      </c>
      <c r="Q140" s="42">
        <f t="shared" si="82"/>
        <v>1516.4860130740776</v>
      </c>
      <c r="R140" s="42">
        <f t="shared" si="82"/>
        <v>1489.2183875211369</v>
      </c>
      <c r="S140" s="42">
        <f t="shared" si="82"/>
        <v>1468.4166433856899</v>
      </c>
      <c r="T140" s="42">
        <f t="shared" si="82"/>
        <v>1452.7644674747669</v>
      </c>
      <c r="U140" s="42">
        <f t="shared" si="82"/>
        <v>1441.8302700261245</v>
      </c>
      <c r="V140" s="42">
        <f t="shared" si="82"/>
        <v>1435.6589488750917</v>
      </c>
      <c r="W140" s="42">
        <f t="shared" si="82"/>
        <v>1432.2408038299291</v>
      </c>
      <c r="X140" s="42">
        <f t="shared" si="82"/>
        <v>1430.1612936725378</v>
      </c>
      <c r="Y140" s="42"/>
      <c r="AA140" s="42">
        <f t="shared" si="83"/>
        <v>33149.44042169537</v>
      </c>
    </row>
    <row r="141" spans="1:27">
      <c r="E141" s="42"/>
      <c r="F141" s="42"/>
      <c r="G141" s="42"/>
      <c r="H141" s="42"/>
      <c r="I141" s="42"/>
      <c r="J141" s="42"/>
      <c r="K141" s="42"/>
      <c r="L141" s="42"/>
      <c r="M141" s="42"/>
      <c r="N141" s="42"/>
      <c r="O141" s="42"/>
      <c r="P141" s="42"/>
      <c r="Q141" s="42"/>
      <c r="R141" s="42"/>
      <c r="S141" s="42"/>
      <c r="T141" s="42"/>
      <c r="U141" s="42"/>
      <c r="V141" s="42"/>
      <c r="W141" s="42"/>
      <c r="X141" s="42"/>
      <c r="Y141" s="42"/>
    </row>
    <row r="142" spans="1:27">
      <c r="C142" s="9" t="s">
        <v>154</v>
      </c>
      <c r="E142" s="42">
        <f t="shared" ref="E142:X142" si="85">SUM(E137:E140)</f>
        <v>92924.076343982684</v>
      </c>
      <c r="F142" s="42">
        <f t="shared" si="85"/>
        <v>89757.706711274455</v>
      </c>
      <c r="G142" s="42">
        <f t="shared" si="85"/>
        <v>86130.593995857053</v>
      </c>
      <c r="H142" s="42">
        <f t="shared" si="85"/>
        <v>82681.206744166033</v>
      </c>
      <c r="I142" s="42">
        <f t="shared" si="85"/>
        <v>78523.920856402532</v>
      </c>
      <c r="J142" s="42">
        <f t="shared" si="85"/>
        <v>73845.4932210119</v>
      </c>
      <c r="K142" s="42">
        <f t="shared" si="85"/>
        <v>70583.98656413563</v>
      </c>
      <c r="L142" s="42">
        <f t="shared" si="85"/>
        <v>68841.147514201293</v>
      </c>
      <c r="M142" s="42">
        <f t="shared" si="85"/>
        <v>66744.799760878261</v>
      </c>
      <c r="N142" s="42">
        <f t="shared" si="85"/>
        <v>65903.365900542092</v>
      </c>
      <c r="O142" s="42">
        <f t="shared" si="85"/>
        <v>64160.820355930031</v>
      </c>
      <c r="P142" s="42">
        <f t="shared" si="85"/>
        <v>61833.472186825806</v>
      </c>
      <c r="Q142" s="42">
        <f t="shared" si="85"/>
        <v>59337.798718038241</v>
      </c>
      <c r="R142" s="42">
        <f t="shared" si="85"/>
        <v>58056.262937896376</v>
      </c>
      <c r="S142" s="42">
        <f t="shared" si="85"/>
        <v>57429.26944105461</v>
      </c>
      <c r="T142" s="42">
        <f t="shared" si="85"/>
        <v>56296.131586292169</v>
      </c>
      <c r="U142" s="42">
        <f t="shared" si="85"/>
        <v>54409.701886578703</v>
      </c>
      <c r="V142" s="42">
        <f t="shared" si="85"/>
        <v>53846.667410247574</v>
      </c>
      <c r="W142" s="42">
        <f t="shared" si="85"/>
        <v>53495.713607995538</v>
      </c>
      <c r="X142" s="42">
        <f t="shared" si="85"/>
        <v>53576.629433035276</v>
      </c>
      <c r="Y142" s="42"/>
      <c r="AA142" s="42">
        <f>SUM(E142:Y142)</f>
        <v>1348378.7651763463</v>
      </c>
    </row>
  </sheetData>
  <mergeCells count="1">
    <mergeCell ref="B1:T6"/>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4"/>
  <dimension ref="A1:CB154"/>
  <sheetViews>
    <sheetView tabSelected="1" topLeftCell="A8" workbookViewId="0">
      <selection activeCell="A8" sqref="A8"/>
    </sheetView>
  </sheetViews>
  <sheetFormatPr defaultRowHeight="12.75"/>
  <cols>
    <col min="1" max="1" width="35" style="9" customWidth="1"/>
    <col min="2" max="2" width="30.140625" style="9" customWidth="1"/>
    <col min="3" max="3" width="19.85546875" style="9" customWidth="1"/>
    <col min="4" max="4" width="14.140625" style="9" customWidth="1"/>
    <col min="5" max="25" width="9.140625" style="9"/>
    <col min="27" max="27" width="9.140625" style="9"/>
    <col min="28" max="28" width="21.7109375" style="9" customWidth="1"/>
    <col min="29" max="29" width="35.85546875" style="9" customWidth="1"/>
    <col min="30" max="30" width="35.28515625" style="9" customWidth="1"/>
    <col min="31" max="31" width="15" style="9" customWidth="1"/>
    <col min="32" max="32" width="17.7109375" style="9" customWidth="1"/>
    <col min="33" max="33" width="15.140625" style="9" customWidth="1"/>
    <col min="34" max="34" width="15.7109375" style="9" customWidth="1"/>
    <col min="35" max="35" width="21.28515625" style="9" customWidth="1"/>
    <col min="36" max="36" width="17.7109375" style="9" bestFit="1" customWidth="1"/>
    <col min="37" max="37" width="15.42578125" style="9" bestFit="1" customWidth="1"/>
    <col min="38" max="38" width="14.28515625" style="9" bestFit="1" customWidth="1"/>
    <col min="39" max="39" width="14.28515625" style="9" customWidth="1"/>
    <col min="40" max="40" width="12.5703125" style="9" customWidth="1"/>
    <col min="41" max="41" width="14" style="9" bestFit="1" customWidth="1"/>
    <col min="42" max="43" width="10.85546875" style="9" bestFit="1" customWidth="1"/>
    <col min="44" max="44" width="13.42578125" style="9" customWidth="1"/>
    <col min="45" max="45" width="11.85546875" style="9" bestFit="1" customWidth="1"/>
    <col min="46" max="46" width="11" style="9" bestFit="1" customWidth="1"/>
    <col min="47" max="47" width="14.28515625" style="9" bestFit="1" customWidth="1"/>
    <col min="48" max="48" width="10.7109375" style="9" customWidth="1"/>
    <col min="49" max="49" width="13.85546875" style="9" bestFit="1" customWidth="1"/>
    <col min="50" max="50" width="11.7109375" style="9" bestFit="1" customWidth="1"/>
    <col min="51" max="51" width="15.28515625" style="9" bestFit="1" customWidth="1"/>
    <col min="52" max="54" width="12.28515625" style="9" bestFit="1" customWidth="1"/>
    <col min="55" max="55" width="12.5703125" style="9" bestFit="1" customWidth="1"/>
    <col min="56" max="58" width="14.28515625" style="9" bestFit="1" customWidth="1"/>
    <col min="59" max="59" width="13.7109375" style="9" bestFit="1" customWidth="1"/>
    <col min="60" max="60" width="14" style="9" bestFit="1" customWidth="1"/>
    <col min="61" max="61" width="12.85546875" style="9" bestFit="1" customWidth="1"/>
    <col min="62" max="62" width="15.28515625" style="9" bestFit="1" customWidth="1"/>
    <col min="63" max="63" width="12.28515625" style="9" bestFit="1" customWidth="1"/>
    <col min="64" max="64" width="10.85546875" style="9" bestFit="1" customWidth="1"/>
    <col min="65" max="65" width="12.28515625" style="9" bestFit="1" customWidth="1"/>
    <col min="66" max="66" width="12.5703125" style="9" bestFit="1" customWidth="1"/>
    <col min="67" max="16384" width="9.140625" style="9"/>
  </cols>
  <sheetData>
    <row r="1" spans="1:68">
      <c r="A1" s="50" t="s">
        <v>62</v>
      </c>
      <c r="B1" s="241" t="s">
        <v>63</v>
      </c>
      <c r="C1" s="241"/>
      <c r="D1" s="241"/>
      <c r="E1" s="241"/>
      <c r="F1" s="241"/>
      <c r="G1" s="241"/>
      <c r="H1" s="241"/>
      <c r="I1" s="241"/>
      <c r="J1" s="241"/>
      <c r="K1" s="241"/>
      <c r="L1" s="241"/>
      <c r="M1" s="241"/>
      <c r="N1" s="241"/>
      <c r="O1" s="241"/>
      <c r="P1" s="241"/>
      <c r="Q1" s="241"/>
      <c r="R1" s="241"/>
      <c r="S1" s="241"/>
    </row>
    <row r="2" spans="1:68">
      <c r="A2" s="51" t="s">
        <v>159</v>
      </c>
      <c r="B2" s="241"/>
      <c r="C2" s="241"/>
      <c r="D2" s="241"/>
      <c r="E2" s="241"/>
      <c r="F2" s="241"/>
      <c r="G2" s="241"/>
      <c r="H2" s="241"/>
      <c r="I2" s="241"/>
      <c r="J2" s="241"/>
      <c r="K2" s="241"/>
      <c r="L2" s="241"/>
      <c r="M2" s="241"/>
      <c r="N2" s="241"/>
      <c r="O2" s="241"/>
      <c r="P2" s="241"/>
      <c r="Q2" s="241"/>
      <c r="R2" s="241"/>
      <c r="S2" s="241"/>
    </row>
    <row r="3" spans="1:68">
      <c r="B3" s="241"/>
      <c r="C3" s="241"/>
      <c r="D3" s="241"/>
      <c r="E3" s="241"/>
      <c r="F3" s="241"/>
      <c r="G3" s="241"/>
      <c r="H3" s="241"/>
      <c r="I3" s="241"/>
      <c r="J3" s="241"/>
      <c r="K3" s="241"/>
      <c r="L3" s="241"/>
      <c r="M3" s="241"/>
      <c r="N3" s="241"/>
      <c r="O3" s="241"/>
      <c r="P3" s="241"/>
      <c r="Q3" s="241"/>
      <c r="R3" s="241"/>
      <c r="S3" s="241"/>
    </row>
    <row r="4" spans="1:68">
      <c r="B4" s="241"/>
      <c r="C4" s="241"/>
      <c r="D4" s="241"/>
      <c r="E4" s="241"/>
      <c r="F4" s="241"/>
      <c r="G4" s="241"/>
      <c r="H4" s="241"/>
      <c r="I4" s="241"/>
      <c r="J4" s="241"/>
      <c r="K4" s="241"/>
      <c r="L4" s="241"/>
      <c r="M4" s="241"/>
      <c r="N4" s="241"/>
      <c r="O4" s="241"/>
      <c r="P4" s="241"/>
      <c r="Q4" s="241"/>
      <c r="R4" s="241"/>
      <c r="S4" s="241"/>
    </row>
    <row r="5" spans="1:68">
      <c r="B5" s="241"/>
      <c r="C5" s="241"/>
      <c r="D5" s="241"/>
      <c r="E5" s="241"/>
      <c r="F5" s="241"/>
      <c r="G5" s="241"/>
      <c r="H5" s="241"/>
      <c r="I5" s="241"/>
      <c r="J5" s="241"/>
      <c r="K5" s="241"/>
      <c r="L5" s="241"/>
      <c r="M5" s="241"/>
      <c r="N5" s="241"/>
      <c r="O5" s="241"/>
      <c r="P5" s="241"/>
      <c r="Q5" s="241"/>
      <c r="R5" s="241"/>
      <c r="S5" s="241"/>
    </row>
    <row r="6" spans="1:68">
      <c r="B6" s="241"/>
      <c r="C6" s="241"/>
      <c r="D6" s="241"/>
      <c r="E6" s="241"/>
      <c r="F6" s="241"/>
      <c r="G6" s="241"/>
      <c r="H6" s="241"/>
      <c r="I6" s="241"/>
      <c r="J6" s="241"/>
      <c r="K6" s="241"/>
      <c r="L6" s="241"/>
      <c r="M6" s="241"/>
      <c r="N6" s="241"/>
      <c r="O6" s="241"/>
      <c r="P6" s="241"/>
      <c r="Q6" s="241"/>
      <c r="R6" s="241"/>
      <c r="S6" s="241"/>
    </row>
    <row r="7" spans="1:68">
      <c r="A7" s="194"/>
      <c r="B7" s="194" t="s">
        <v>47</v>
      </c>
      <c r="C7" s="61" t="s">
        <v>64</v>
      </c>
      <c r="D7" s="61" t="s">
        <v>278</v>
      </c>
    </row>
    <row r="8" spans="1:68">
      <c r="A8" s="194" t="s">
        <v>337</v>
      </c>
      <c r="B8" s="194" t="s">
        <v>65</v>
      </c>
      <c r="C8" s="61" t="str">
        <f>[2]MLIST!$B$59</f>
        <v>Aerator</v>
      </c>
      <c r="D8" s="61" t="str">
        <f>[1]!switch_ForecastState</f>
        <v>Region</v>
      </c>
    </row>
    <row r="9" spans="1:68">
      <c r="A9" s="194" t="str">
        <f>INDEX([2]ACHIEV!$A$19:$B$100,MATCH(CONCATENATE($C$8," - ",$C$7),[2]ACHIEV!$B$19:$B$100,0),1)</f>
        <v>Water Heating</v>
      </c>
      <c r="B9" s="195" t="s">
        <v>66</v>
      </c>
      <c r="C9" s="61">
        <f>[2]FILES!$H$4</f>
        <v>2035</v>
      </c>
      <c r="D9" s="61" t="str">
        <f>[1]!switch_ForecastScenario</f>
        <v>Base</v>
      </c>
    </row>
    <row r="10" spans="1:68">
      <c r="A10" s="194"/>
      <c r="B10" s="194" t="s">
        <v>594</v>
      </c>
      <c r="C10" s="252">
        <f>MIN(SUM(E67:X67),Y67)</f>
        <v>29.511583514418515</v>
      </c>
      <c r="D10" s="62"/>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63" t="str">
        <f>CONCATENATE("# OF EXISTING HOMES FOR MEASURE -",$C$8)</f>
        <v># OF EXISTING HOMES FOR MEASURE -Aerator</v>
      </c>
      <c r="C11" s="9" t="s">
        <v>156</v>
      </c>
      <c r="E11" s="66">
        <v>2016</v>
      </c>
      <c r="F11" s="67">
        <v>2017</v>
      </c>
      <c r="G11" s="67">
        <v>2018</v>
      </c>
      <c r="H11" s="67">
        <v>2019</v>
      </c>
      <c r="I11" s="67">
        <v>2020</v>
      </c>
      <c r="J11" s="67">
        <v>2021</v>
      </c>
      <c r="K11" s="67">
        <v>2022</v>
      </c>
      <c r="L11" s="67">
        <v>2023</v>
      </c>
      <c r="M11" s="67">
        <v>2024</v>
      </c>
      <c r="N11" s="67">
        <v>2025</v>
      </c>
      <c r="O11" s="67">
        <v>2026</v>
      </c>
      <c r="P11" s="67">
        <v>2027</v>
      </c>
      <c r="Q11" s="67">
        <v>2028</v>
      </c>
      <c r="R11" s="67">
        <v>2029</v>
      </c>
      <c r="S11" s="67">
        <v>2030</v>
      </c>
      <c r="T11" s="67">
        <v>2031</v>
      </c>
      <c r="U11" s="67">
        <v>2032</v>
      </c>
      <c r="V11" s="67">
        <v>2033</v>
      </c>
      <c r="W11" s="67">
        <v>2034</v>
      </c>
      <c r="X11" s="67">
        <v>2035</v>
      </c>
      <c r="Y11" s="67"/>
      <c r="AA11" s="52"/>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69" t="str">
        <f>CONCATENATE("Homes_",E11)</f>
        <v>Homes_2016</v>
      </c>
      <c r="F12" s="70" t="str">
        <f t="shared" ref="F12:X12" si="0">CONCATENATE("Homes_",F11)</f>
        <v>Homes_2017</v>
      </c>
      <c r="G12" s="70" t="str">
        <f t="shared" si="0"/>
        <v>Homes_2018</v>
      </c>
      <c r="H12" s="70" t="str">
        <f t="shared" si="0"/>
        <v>Homes_2019</v>
      </c>
      <c r="I12" s="70" t="str">
        <f t="shared" si="0"/>
        <v>Homes_2020</v>
      </c>
      <c r="J12" s="70" t="str">
        <f t="shared" si="0"/>
        <v>Homes_2021</v>
      </c>
      <c r="K12" s="70" t="str">
        <f t="shared" si="0"/>
        <v>Homes_2022</v>
      </c>
      <c r="L12" s="70" t="str">
        <f t="shared" si="0"/>
        <v>Homes_2023</v>
      </c>
      <c r="M12" s="70" t="str">
        <f t="shared" si="0"/>
        <v>Homes_2024</v>
      </c>
      <c r="N12" s="70" t="str">
        <f t="shared" si="0"/>
        <v>Homes_2025</v>
      </c>
      <c r="O12" s="70" t="str">
        <f t="shared" si="0"/>
        <v>Homes_2026</v>
      </c>
      <c r="P12" s="70" t="str">
        <f t="shared" si="0"/>
        <v>Homes_2027</v>
      </c>
      <c r="Q12" s="70" t="str">
        <f t="shared" si="0"/>
        <v>Homes_2028</v>
      </c>
      <c r="R12" s="70" t="str">
        <f t="shared" si="0"/>
        <v>Homes_2029</v>
      </c>
      <c r="S12" s="70" t="str">
        <f t="shared" si="0"/>
        <v>Homes_2030</v>
      </c>
      <c r="T12" s="70" t="str">
        <f t="shared" si="0"/>
        <v>Homes_2031</v>
      </c>
      <c r="U12" s="70" t="str">
        <f t="shared" si="0"/>
        <v>Homes_2032</v>
      </c>
      <c r="V12" s="70" t="str">
        <f t="shared" si="0"/>
        <v>Homes_2033</v>
      </c>
      <c r="W12" s="70" t="str">
        <f t="shared" si="0"/>
        <v>Homes_2034</v>
      </c>
      <c r="X12" s="70" t="str">
        <f t="shared" si="0"/>
        <v>Homes_2035</v>
      </c>
      <c r="Y12" s="71"/>
      <c r="AA12" s="50"/>
    </row>
    <row r="13" spans="1:68">
      <c r="C13" s="9" t="s">
        <v>48</v>
      </c>
      <c r="E13" s="42">
        <f>INDEX([1]!tbl_Forecast,MATCH($D$8&amp;$C13&amp;$D$7,[1]!rng_ForecastRowLookup,0),MATCH(E$11,[1]!rng_ForecastColumnLookup,0))</f>
        <v>4203528.2719999999</v>
      </c>
      <c r="F13" s="42">
        <f>INDEX([1]!tbl_Forecast,MATCH($D$8&amp;$C13&amp;$D$7,[1]!rng_ForecastRowLookup,0),MATCH(F$11,[1]!rng_ForecastColumnLookup,0))</f>
        <v>4193982.9785983553</v>
      </c>
      <c r="G13" s="42">
        <f>INDEX([1]!tbl_Forecast,MATCH($D$8&amp;$C13&amp;$D$7,[1]!rng_ForecastRowLookup,0),MATCH(G$11,[1]!rng_ForecastColumnLookup,0))</f>
        <v>4184459.3604704877</v>
      </c>
      <c r="H13" s="42">
        <f>INDEX([1]!tbl_Forecast,MATCH($D$8&amp;$C13&amp;$D$7,[1]!rng_ForecastRowLookup,0),MATCH(H$11,[1]!rng_ForecastColumnLookup,0))</f>
        <v>4174957.36839659</v>
      </c>
      <c r="I13" s="42">
        <f>INDEX([1]!tbl_Forecast,MATCH($D$8&amp;$C13&amp;$D$7,[1]!rng_ForecastRowLookup,0),MATCH(I$11,[1]!rng_ForecastColumnLookup,0))</f>
        <v>4165476.9532686244</v>
      </c>
      <c r="J13" s="42">
        <f>INDEX([1]!tbl_Forecast,MATCH($D$8&amp;$C13&amp;$D$7,[1]!rng_ForecastRowLookup,0),MATCH(J$11,[1]!rng_ForecastColumnLookup,0))</f>
        <v>4156018.0660900641</v>
      </c>
      <c r="K13" s="42">
        <f>INDEX([1]!tbl_Forecast,MATCH($D$8&amp;$C13&amp;$D$7,[1]!rng_ForecastRowLookup,0),MATCH(K$11,[1]!rng_ForecastColumnLookup,0))</f>
        <v>4146580.6579756448</v>
      </c>
      <c r="L13" s="42">
        <f>INDEX([1]!tbl_Forecast,MATCH($D$8&amp;$C13&amp;$D$7,[1]!rng_ForecastRowLookup,0),MATCH(L$11,[1]!rng_ForecastColumnLookup,0))</f>
        <v>4137164.6801511091</v>
      </c>
      <c r="M13" s="42">
        <f>INDEX([1]!tbl_Forecast,MATCH($D$8&amp;$C13&amp;$D$7,[1]!rng_ForecastRowLookup,0),MATCH(M$11,[1]!rng_ForecastColumnLookup,0))</f>
        <v>4127770.0839529554</v>
      </c>
      <c r="N13" s="42">
        <f>INDEX([1]!tbl_Forecast,MATCH($D$8&amp;$C13&amp;$D$7,[1]!rng_ForecastRowLookup,0),MATCH(N$11,[1]!rng_ForecastColumnLookup,0))</f>
        <v>4118396.8208281873</v>
      </c>
      <c r="O13" s="42">
        <f>INDEX([1]!tbl_Forecast,MATCH($D$8&amp;$C13&amp;$D$7,[1]!rng_ForecastRowLookup,0),MATCH(O$11,[1]!rng_ForecastColumnLookup,0))</f>
        <v>4109044.8423340586</v>
      </c>
      <c r="P13" s="42">
        <f>INDEX([1]!tbl_Forecast,MATCH($D$8&amp;$C13&amp;$D$7,[1]!rng_ForecastRowLookup,0),MATCH(P$11,[1]!rng_ForecastColumnLookup,0))</f>
        <v>4099714.1001378288</v>
      </c>
      <c r="Q13" s="42">
        <f>INDEX([1]!tbl_Forecast,MATCH($D$8&amp;$C13&amp;$D$7,[1]!rng_ForecastRowLookup,0),MATCH(Q$11,[1]!rng_ForecastColumnLookup,0))</f>
        <v>4090404.5460165106</v>
      </c>
      <c r="R13" s="42">
        <f>INDEX([1]!tbl_Forecast,MATCH($D$8&amp;$C13&amp;$D$7,[1]!rng_ForecastRowLookup,0),MATCH(R$11,[1]!rng_ForecastColumnLookup,0))</f>
        <v>4081116.1318566194</v>
      </c>
      <c r="S13" s="42">
        <f>INDEX([1]!tbl_Forecast,MATCH($D$8&amp;$C13&amp;$D$7,[1]!rng_ForecastRowLookup,0),MATCH(S$11,[1]!rng_ForecastColumnLookup,0))</f>
        <v>4071848.8096539262</v>
      </c>
      <c r="T13" s="42">
        <f>INDEX([1]!tbl_Forecast,MATCH($D$8&amp;$C13&amp;$D$7,[1]!rng_ForecastRowLookup,0),MATCH(T$11,[1]!rng_ForecastColumnLookup,0))</f>
        <v>4062602.5315132081</v>
      </c>
      <c r="U13" s="42">
        <f>INDEX([1]!tbl_Forecast,MATCH($D$8&amp;$C13&amp;$D$7,[1]!rng_ForecastRowLookup,0),MATCH(U$11,[1]!rng_ForecastColumnLookup,0))</f>
        <v>4053377.2496480034</v>
      </c>
      <c r="V13" s="42">
        <f>INDEX([1]!tbl_Forecast,MATCH($D$8&amp;$C13&amp;$D$7,[1]!rng_ForecastRowLookup,0),MATCH(V$11,[1]!rng_ForecastColumnLookup,0))</f>
        <v>4044172.9163803621</v>
      </c>
      <c r="W13" s="42">
        <f>INDEX([1]!tbl_Forecast,MATCH($D$8&amp;$C13&amp;$D$7,[1]!rng_ForecastRowLookup,0),MATCH(W$11,[1]!rng_ForecastColumnLookup,0))</f>
        <v>4034989.4841406001</v>
      </c>
      <c r="X13" s="42">
        <f>INDEX([1]!tbl_Forecast,MATCH($D$8&amp;$C13&amp;$D$7,[1]!rng_ForecastRowLookup,0),MATCH(X$11,[1]!rng_ForecastColumnLookup,0))</f>
        <v>4025826.9054670548</v>
      </c>
      <c r="Y13" s="42"/>
      <c r="AA13" s="54"/>
    </row>
    <row r="14" spans="1:68">
      <c r="C14" s="9" t="s">
        <v>49</v>
      </c>
      <c r="E14" s="42">
        <f>INDEX([1]!tbl_Forecast,MATCH($D$8&amp;$C14&amp;$D$7,[1]!rng_ForecastRowLookup,0),MATCH(E$11,[1]!rng_ForecastColumnLookup,0))</f>
        <v>926243.25609262148</v>
      </c>
      <c r="F14" s="42">
        <f>INDEX([1]!tbl_Forecast,MATCH($D$8&amp;$C14&amp;$D$7,[1]!rng_ForecastRowLookup,0),MATCH(F$11,[1]!rng_ForecastColumnLookup,0))</f>
        <v>924139.92640956037</v>
      </c>
      <c r="G14" s="42">
        <f>INDEX([1]!tbl_Forecast,MATCH($D$8&amp;$C14&amp;$D$7,[1]!rng_ForecastRowLookup,0),MATCH(G$11,[1]!rng_ForecastColumnLookup,0))</f>
        <v>922041.3730050053</v>
      </c>
      <c r="H14" s="42">
        <f>INDEX([1]!tbl_Forecast,MATCH($D$8&amp;$C14&amp;$D$7,[1]!rng_ForecastRowLookup,0),MATCH(H$11,[1]!rng_ForecastColumnLookup,0))</f>
        <v>919947.58503289847</v>
      </c>
      <c r="I14" s="42">
        <f>INDEX([1]!tbl_Forecast,MATCH($D$8&amp;$C14&amp;$D$7,[1]!rng_ForecastRowLookup,0),MATCH(I$11,[1]!rng_ForecastColumnLookup,0))</f>
        <v>917858.55167181045</v>
      </c>
      <c r="J14" s="42">
        <f>INDEX([1]!tbl_Forecast,MATCH($D$8&amp;$C14&amp;$D$7,[1]!rng_ForecastRowLookup,0),MATCH(J$11,[1]!rng_ForecastColumnLookup,0))</f>
        <v>915774.26212488639</v>
      </c>
      <c r="K14" s="42">
        <f>INDEX([1]!tbl_Forecast,MATCH($D$8&amp;$C14&amp;$D$7,[1]!rng_ForecastRowLookup,0),MATCH(K$11,[1]!rng_ForecastColumnLookup,0))</f>
        <v>913694.70561978838</v>
      </c>
      <c r="L14" s="42">
        <f>INDEX([1]!tbl_Forecast,MATCH($D$8&amp;$C14&amp;$D$7,[1]!rng_ForecastRowLookup,0),MATCH(L$11,[1]!rng_ForecastColumnLookup,0))</f>
        <v>911619.87140864041</v>
      </c>
      <c r="M14" s="42">
        <f>INDEX([1]!tbl_Forecast,MATCH($D$8&amp;$C14&amp;$D$7,[1]!rng_ForecastRowLookup,0),MATCH(M$11,[1]!rng_ForecastColumnLookup,0))</f>
        <v>909549.74876797362</v>
      </c>
      <c r="N14" s="42">
        <f>INDEX([1]!tbl_Forecast,MATCH($D$8&amp;$C14&amp;$D$7,[1]!rng_ForecastRowLookup,0),MATCH(N$11,[1]!rng_ForecastColumnLookup,0))</f>
        <v>907484.32699866977</v>
      </c>
      <c r="O14" s="42">
        <f>INDEX([1]!tbl_Forecast,MATCH($D$8&amp;$C14&amp;$D$7,[1]!rng_ForecastRowLookup,0),MATCH(O$11,[1]!rng_ForecastColumnLookup,0))</f>
        <v>905423.59542590659</v>
      </c>
      <c r="P14" s="42">
        <f>INDEX([1]!tbl_Forecast,MATCH($D$8&amp;$C14&amp;$D$7,[1]!rng_ForecastRowLookup,0),MATCH(P$11,[1]!rng_ForecastColumnLookup,0))</f>
        <v>903367.54339910217</v>
      </c>
      <c r="Q14" s="42">
        <f>INDEX([1]!tbl_Forecast,MATCH($D$8&amp;$C14&amp;$D$7,[1]!rng_ForecastRowLookup,0),MATCH(Q$11,[1]!rng_ForecastColumnLookup,0))</f>
        <v>901316.16029185988</v>
      </c>
      <c r="R14" s="42">
        <f>INDEX([1]!tbl_Forecast,MATCH($D$8&amp;$C14&amp;$D$7,[1]!rng_ForecastRowLookup,0),MATCH(R$11,[1]!rng_ForecastColumnLookup,0))</f>
        <v>899269.43550191447</v>
      </c>
      <c r="S14" s="42">
        <f>INDEX([1]!tbl_Forecast,MATCH($D$8&amp;$C14&amp;$D$7,[1]!rng_ForecastRowLookup,0),MATCH(S$11,[1]!rng_ForecastColumnLookup,0))</f>
        <v>897227.35845107585</v>
      </c>
      <c r="T14" s="42">
        <f>INDEX([1]!tbl_Forecast,MATCH($D$8&amp;$C14&amp;$D$7,[1]!rng_ForecastRowLookup,0),MATCH(T$11,[1]!rng_ForecastColumnLookup,0))</f>
        <v>895189.9185851753</v>
      </c>
      <c r="U14" s="42">
        <f>INDEX([1]!tbl_Forecast,MATCH($D$8&amp;$C14&amp;$D$7,[1]!rng_ForecastRowLookup,0),MATCH(U$11,[1]!rng_ForecastColumnLookup,0))</f>
        <v>893157.10537401051</v>
      </c>
      <c r="V14" s="42">
        <f>INDEX([1]!tbl_Forecast,MATCH($D$8&amp;$C14&amp;$D$7,[1]!rng_ForecastRowLookup,0),MATCH(V$11,[1]!rng_ForecastColumnLookup,0))</f>
        <v>891128.90831129183</v>
      </c>
      <c r="W14" s="42">
        <f>INDEX([1]!tbl_Forecast,MATCH($D$8&amp;$C14&amp;$D$7,[1]!rng_ForecastRowLookup,0),MATCH(W$11,[1]!rng_ForecastColumnLookup,0))</f>
        <v>889105.31691458682</v>
      </c>
      <c r="X14" s="42">
        <f>INDEX([1]!tbl_Forecast,MATCH($D$8&amp;$C14&amp;$D$7,[1]!rng_ForecastRowLookup,0),MATCH(X$11,[1]!rng_ForecastColumnLookup,0))</f>
        <v>887086.32072526717</v>
      </c>
      <c r="Y14" s="42"/>
      <c r="AA14" s="54"/>
    </row>
    <row r="15" spans="1:68">
      <c r="C15" s="9" t="s">
        <v>50</v>
      </c>
      <c r="E15" s="42">
        <f>INDEX([1]!tbl_Forecast,MATCH($D$8&amp;$C15&amp;$D$7,[1]!rng_ForecastRowLookup,0),MATCH(E$11,[1]!rng_ForecastColumnLookup,0))</f>
        <v>211180.07985625503</v>
      </c>
      <c r="F15" s="42">
        <f>INDEX([1]!tbl_Forecast,MATCH($D$8&amp;$C15&amp;$D$7,[1]!rng_ForecastRowLookup,0),MATCH(F$11,[1]!rng_ForecastColumnLookup,0))</f>
        <v>210700.52836963299</v>
      </c>
      <c r="G15" s="42">
        <f>INDEX([1]!tbl_Forecast,MATCH($D$8&amp;$C15&amp;$D$7,[1]!rng_ForecastRowLookup,0),MATCH(G$11,[1]!rng_ForecastColumnLookup,0))</f>
        <v>210222.06585706791</v>
      </c>
      <c r="H15" s="42">
        <f>INDEX([1]!tbl_Forecast,MATCH($D$8&amp;$C15&amp;$D$7,[1]!rng_ForecastRowLookup,0),MATCH(H$11,[1]!rng_ForecastColumnLookup,0))</f>
        <v>209744.68984569819</v>
      </c>
      <c r="I15" s="42">
        <f>INDEX([1]!tbl_Forecast,MATCH($D$8&amp;$C15&amp;$D$7,[1]!rng_ForecastRowLookup,0),MATCH(I$11,[1]!rng_ForecastColumnLookup,0))</f>
        <v>209268.39786827751</v>
      </c>
      <c r="J15" s="42">
        <f>INDEX([1]!tbl_Forecast,MATCH($D$8&amp;$C15&amp;$D$7,[1]!rng_ForecastRowLookup,0),MATCH(J$11,[1]!rng_ForecastColumnLookup,0))</f>
        <v>208793.18746316229</v>
      </c>
      <c r="K15" s="42">
        <f>INDEX([1]!tbl_Forecast,MATCH($D$8&amp;$C15&amp;$D$7,[1]!rng_ForecastRowLookup,0),MATCH(K$11,[1]!rng_ForecastColumnLookup,0))</f>
        <v>208319.05617429892</v>
      </c>
      <c r="L15" s="42">
        <f>INDEX([1]!tbl_Forecast,MATCH($D$8&amp;$C15&amp;$D$7,[1]!rng_ForecastRowLookup,0),MATCH(L$11,[1]!rng_ForecastColumnLookup,0))</f>
        <v>207846.00155121088</v>
      </c>
      <c r="M15" s="42">
        <f>INDEX([1]!tbl_Forecast,MATCH($D$8&amp;$C15&amp;$D$7,[1]!rng_ForecastRowLookup,0),MATCH(M$11,[1]!rng_ForecastColumnLookup,0))</f>
        <v>207374.0211489865</v>
      </c>
      <c r="N15" s="42">
        <f>INDEX([1]!tbl_Forecast,MATCH($D$8&amp;$C15&amp;$D$7,[1]!rng_ForecastRowLookup,0),MATCH(N$11,[1]!rng_ForecastColumnLookup,0))</f>
        <v>206903.11252826577</v>
      </c>
      <c r="O15" s="42">
        <f>INDEX([1]!tbl_Forecast,MATCH($D$8&amp;$C15&amp;$D$7,[1]!rng_ForecastRowLookup,0),MATCH(O$11,[1]!rng_ForecastColumnLookup,0))</f>
        <v>206433.27325522827</v>
      </c>
      <c r="P15" s="42">
        <f>INDEX([1]!tbl_Forecast,MATCH($D$8&amp;$C15&amp;$D$7,[1]!rng_ForecastRowLookup,0),MATCH(P$11,[1]!rng_ForecastColumnLookup,0))</f>
        <v>205964.50090158021</v>
      </c>
      <c r="Q15" s="42">
        <f>INDEX([1]!tbl_Forecast,MATCH($D$8&amp;$C15&amp;$D$7,[1]!rng_ForecastRowLookup,0),MATCH(Q$11,[1]!rng_ForecastColumnLookup,0))</f>
        <v>205496.79304454199</v>
      </c>
      <c r="R15" s="42">
        <f>INDEX([1]!tbl_Forecast,MATCH($D$8&amp;$C15&amp;$D$7,[1]!rng_ForecastRowLookup,0),MATCH(R$11,[1]!rng_ForecastColumnLookup,0))</f>
        <v>205030.14726683579</v>
      </c>
      <c r="S15" s="42">
        <f>INDEX([1]!tbl_Forecast,MATCH($D$8&amp;$C15&amp;$D$7,[1]!rng_ForecastRowLookup,0),MATCH(S$11,[1]!rng_ForecastColumnLookup,0))</f>
        <v>204564.56115667295</v>
      </c>
      <c r="T15" s="42">
        <f>INDEX([1]!tbl_Forecast,MATCH($D$8&amp;$C15&amp;$D$7,[1]!rng_ForecastRowLookup,0),MATCH(T$11,[1]!rng_ForecastColumnLookup,0))</f>
        <v>204100.03230774152</v>
      </c>
      <c r="U15" s="42">
        <f>INDEX([1]!tbl_Forecast,MATCH($D$8&amp;$C15&amp;$D$7,[1]!rng_ForecastRowLookup,0),MATCH(U$11,[1]!rng_ForecastColumnLookup,0))</f>
        <v>203636.55831919383</v>
      </c>
      <c r="V15" s="42">
        <f>INDEX([1]!tbl_Forecast,MATCH($D$8&amp;$C15&amp;$D$7,[1]!rng_ForecastRowLookup,0),MATCH(V$11,[1]!rng_ForecastColumnLookup,0))</f>
        <v>203174.13679563423</v>
      </c>
      <c r="W15" s="42">
        <f>INDEX([1]!tbl_Forecast,MATCH($D$8&amp;$C15&amp;$D$7,[1]!rng_ForecastRowLookup,0),MATCH(W$11,[1]!rng_ForecastColumnLookup,0))</f>
        <v>202712.76534710638</v>
      </c>
      <c r="X15" s="42">
        <f>INDEX([1]!tbl_Forecast,MATCH($D$8&amp;$C15&amp;$D$7,[1]!rng_ForecastRowLookup,0),MATCH(X$11,[1]!rng_ForecastColumnLookup,0))</f>
        <v>202252.44158908122</v>
      </c>
      <c r="Y15" s="42"/>
      <c r="AA15" s="54"/>
    </row>
    <row r="16" spans="1:68">
      <c r="C16" s="9" t="s">
        <v>51</v>
      </c>
      <c r="E16" s="42">
        <f>INDEX([1]!tbl_Forecast,MATCH($D$8&amp;$C16&amp;$D$7,[1]!rng_ForecastRowLookup,0),MATCH(E$11,[1]!rng_ForecastColumnLookup,0))</f>
        <v>572006.3278356482</v>
      </c>
      <c r="F16" s="42">
        <f>INDEX([1]!tbl_Forecast,MATCH($D$8&amp;$C16&amp;$D$7,[1]!rng_ForecastRowLookup,0),MATCH(F$11,[1]!rng_ForecastColumnLookup,0))</f>
        <v>565893.30394507048</v>
      </c>
      <c r="G16" s="42">
        <f>INDEX([1]!tbl_Forecast,MATCH($D$8&amp;$C16&amp;$D$7,[1]!rng_ForecastRowLookup,0),MATCH(G$11,[1]!rng_ForecastColumnLookup,0))</f>
        <v>559845.60985814757</v>
      </c>
      <c r="H16" s="42">
        <f>INDEX([1]!tbl_Forecast,MATCH($D$8&amp;$C16&amp;$D$7,[1]!rng_ForecastRowLookup,0),MATCH(H$11,[1]!rng_ForecastColumnLookup,0))</f>
        <v>553862.54739615123</v>
      </c>
      <c r="I16" s="42">
        <f>INDEX([1]!tbl_Forecast,MATCH($D$8&amp;$C16&amp;$D$7,[1]!rng_ForecastRowLookup,0),MATCH(I$11,[1]!rng_ForecastColumnLookup,0))</f>
        <v>547943.42584177968</v>
      </c>
      <c r="J16" s="42">
        <f>INDEX([1]!tbl_Forecast,MATCH($D$8&amp;$C16&amp;$D$7,[1]!rng_ForecastRowLookup,0),MATCH(J$11,[1]!rng_ForecastColumnLookup,0))</f>
        <v>542087.56185941794</v>
      </c>
      <c r="K16" s="42">
        <f>INDEX([1]!tbl_Forecast,MATCH($D$8&amp;$C16&amp;$D$7,[1]!rng_ForecastRowLookup,0),MATCH(K$11,[1]!rng_ForecastColumnLookup,0))</f>
        <v>536294.27941624937</v>
      </c>
      <c r="L16" s="42">
        <f>INDEX([1]!tbl_Forecast,MATCH($D$8&amp;$C16&amp;$D$7,[1]!rng_ForecastRowLookup,0),MATCH(L$11,[1]!rng_ForecastColumnLookup,0))</f>
        <v>530562.90970421082</v>
      </c>
      <c r="M16" s="42">
        <f>INDEX([1]!tbl_Forecast,MATCH($D$8&amp;$C16&amp;$D$7,[1]!rng_ForecastRowLookup,0),MATCH(M$11,[1]!rng_ForecastColumnLookup,0))</f>
        <v>524892.79106278194</v>
      </c>
      <c r="N16" s="42">
        <f>INDEX([1]!tbl_Forecast,MATCH($D$8&amp;$C16&amp;$D$7,[1]!rng_ForecastRowLookup,0),MATCH(N$11,[1]!rng_ForecastColumnLookup,0))</f>
        <v>519283.26890259917</v>
      </c>
      <c r="O16" s="42">
        <f>INDEX([1]!tbl_Forecast,MATCH($D$8&amp;$C16&amp;$D$7,[1]!rng_ForecastRowLookup,0),MATCH(O$11,[1]!rng_ForecastColumnLookup,0))</f>
        <v>513733.69562988722</v>
      </c>
      <c r="P16" s="42">
        <f>INDEX([1]!tbl_Forecast,MATCH($D$8&amp;$C16&amp;$D$7,[1]!rng_ForecastRowLookup,0),MATCH(P$11,[1]!rng_ForecastColumnLookup,0))</f>
        <v>508243.4305716962</v>
      </c>
      <c r="Q16" s="42">
        <f>INDEX([1]!tbl_Forecast,MATCH($D$8&amp;$C16&amp;$D$7,[1]!rng_ForecastRowLookup,0),MATCH(Q$11,[1]!rng_ForecastColumnLookup,0))</f>
        <v>502811.8399019395</v>
      </c>
      <c r="R16" s="42">
        <f>INDEX([1]!tbl_Forecast,MATCH($D$8&amp;$C16&amp;$D$7,[1]!rng_ForecastRowLookup,0),MATCH(R$11,[1]!rng_ForecastColumnLookup,0))</f>
        <v>497438.2965682213</v>
      </c>
      <c r="S16" s="42">
        <f>INDEX([1]!tbl_Forecast,MATCH($D$8&amp;$C16&amp;$D$7,[1]!rng_ForecastRowLookup,0),MATCH(S$11,[1]!rng_ForecastColumnLookup,0))</f>
        <v>492122.18021944637</v>
      </c>
      <c r="T16" s="42">
        <f>INDEX([1]!tbl_Forecast,MATCH($D$8&amp;$C16&amp;$D$7,[1]!rng_ForecastRowLookup,0),MATCH(T$11,[1]!rng_ForecastColumnLookup,0))</f>
        <v>486862.87713420321</v>
      </c>
      <c r="U16" s="42">
        <f>INDEX([1]!tbl_Forecast,MATCH($D$8&amp;$C16&amp;$D$7,[1]!rng_ForecastRowLookup,0),MATCH(U$11,[1]!rng_ForecastColumnLookup,0))</f>
        <v>481659.78014991269</v>
      </c>
      <c r="V16" s="42">
        <f>INDEX([1]!tbl_Forecast,MATCH($D$8&amp;$C16&amp;$D$7,[1]!rng_ForecastRowLookup,0),MATCH(V$11,[1]!rng_ForecastColumnLookup,0))</f>
        <v>476512.28859273402</v>
      </c>
      <c r="W16" s="42">
        <f>INDEX([1]!tbl_Forecast,MATCH($D$8&amp;$C16&amp;$D$7,[1]!rng_ForecastRowLookup,0),MATCH(W$11,[1]!rng_ForecastColumnLookup,0))</f>
        <v>471419.80820821953</v>
      </c>
      <c r="X16" s="42">
        <f>INDEX([1]!tbl_Forecast,MATCH($D$8&amp;$C16&amp;$D$7,[1]!rng_ForecastRowLookup,0),MATCH(X$11,[1]!rng_ForecastColumnLookup,0))</f>
        <v>466381.75109271082</v>
      </c>
      <c r="Y16" s="42"/>
      <c r="AA16" s="54"/>
    </row>
    <row r="17" spans="1:68">
      <c r="E17" s="42"/>
      <c r="F17" s="42"/>
      <c r="G17" s="42"/>
      <c r="H17" s="42"/>
      <c r="I17" s="42"/>
      <c r="J17" s="42"/>
      <c r="K17" s="42"/>
      <c r="L17" s="42"/>
      <c r="M17" s="42"/>
      <c r="N17" s="42"/>
      <c r="O17" s="42"/>
      <c r="P17" s="42"/>
      <c r="Q17" s="42"/>
      <c r="R17" s="42"/>
      <c r="S17" s="42"/>
      <c r="T17" s="42"/>
      <c r="U17" s="42"/>
      <c r="V17" s="42"/>
      <c r="W17" s="42"/>
      <c r="X17" s="42"/>
      <c r="Y17" s="42"/>
    </row>
    <row r="18" spans="1:68">
      <c r="B18" s="9" t="s">
        <v>67</v>
      </c>
      <c r="C18" s="9" t="s">
        <v>68</v>
      </c>
      <c r="E18" s="42">
        <f t="shared" ref="E18:X18" si="1">SUM(E13:E16)</f>
        <v>5912957.9357845243</v>
      </c>
      <c r="F18" s="42">
        <f t="shared" si="1"/>
        <v>5894716.7373226183</v>
      </c>
      <c r="G18" s="42">
        <f t="shared" si="1"/>
        <v>5876568.4091907088</v>
      </c>
      <c r="H18" s="42">
        <f t="shared" si="1"/>
        <v>5858512.1906713378</v>
      </c>
      <c r="I18" s="42">
        <f t="shared" si="1"/>
        <v>5840547.3286504922</v>
      </c>
      <c r="J18" s="42">
        <f t="shared" si="1"/>
        <v>5822673.077537531</v>
      </c>
      <c r="K18" s="42">
        <f t="shared" si="1"/>
        <v>5804888.6991859814</v>
      </c>
      <c r="L18" s="42">
        <f t="shared" si="1"/>
        <v>5787193.462815172</v>
      </c>
      <c r="M18" s="42">
        <f t="shared" si="1"/>
        <v>5769586.6449326966</v>
      </c>
      <c r="N18" s="42">
        <f t="shared" si="1"/>
        <v>5752067.5292577213</v>
      </c>
      <c r="O18" s="42">
        <f t="shared" si="1"/>
        <v>5734635.406645081</v>
      </c>
      <c r="P18" s="42">
        <f t="shared" si="1"/>
        <v>5717289.5750102066</v>
      </c>
      <c r="Q18" s="42">
        <f t="shared" si="1"/>
        <v>5700029.3392548524</v>
      </c>
      <c r="R18" s="42">
        <f t="shared" si="1"/>
        <v>5682854.0111935912</v>
      </c>
      <c r="S18" s="42">
        <f t="shared" si="1"/>
        <v>5665762.9094811222</v>
      </c>
      <c r="T18" s="42">
        <f t="shared" si="1"/>
        <v>5648755.3595403275</v>
      </c>
      <c r="U18" s="42">
        <f t="shared" si="1"/>
        <v>5631830.6934911208</v>
      </c>
      <c r="V18" s="42">
        <f t="shared" si="1"/>
        <v>5614988.250080023</v>
      </c>
      <c r="W18" s="42">
        <f t="shared" si="1"/>
        <v>5598227.3746105134</v>
      </c>
      <c r="X18" s="42">
        <f t="shared" si="1"/>
        <v>5581547.4188741138</v>
      </c>
      <c r="Y18" s="42"/>
      <c r="AA18" s="54"/>
    </row>
    <row r="19" spans="1:68">
      <c r="D19" s="42"/>
      <c r="E19" s="42"/>
      <c r="F19" s="42"/>
      <c r="G19" s="42"/>
      <c r="H19" s="42"/>
      <c r="I19" s="42"/>
      <c r="J19" s="42"/>
      <c r="K19" s="42"/>
      <c r="L19" s="42"/>
      <c r="M19" s="42"/>
      <c r="N19" s="42"/>
      <c r="O19" s="42"/>
      <c r="P19" s="42"/>
      <c r="Q19" s="42"/>
      <c r="R19" s="42"/>
      <c r="S19" s="42"/>
      <c r="T19" s="42"/>
      <c r="U19" s="42"/>
      <c r="V19" s="42"/>
      <c r="W19" s="42"/>
      <c r="X19" s="42"/>
    </row>
    <row r="20" spans="1:68" ht="15">
      <c r="A20" s="63" t="str">
        <f>CONCATENATE("# OF UNTREATED NEW HOMES FOR MEASURE -",$C$8)</f>
        <v># OF UNTREATED NEW HOMES FOR MEASURE -Aerator</v>
      </c>
      <c r="C20" s="9" t="s">
        <v>156</v>
      </c>
      <c r="E20" s="66">
        <v>2016</v>
      </c>
      <c r="F20" s="67">
        <v>2017</v>
      </c>
      <c r="G20" s="67">
        <v>2018</v>
      </c>
      <c r="H20" s="67">
        <v>2019</v>
      </c>
      <c r="I20" s="67">
        <v>2020</v>
      </c>
      <c r="J20" s="67">
        <v>2021</v>
      </c>
      <c r="K20" s="67">
        <v>2022</v>
      </c>
      <c r="L20" s="67">
        <v>2023</v>
      </c>
      <c r="M20" s="67">
        <v>2024</v>
      </c>
      <c r="N20" s="67">
        <v>2025</v>
      </c>
      <c r="O20" s="67">
        <v>2026</v>
      </c>
      <c r="P20" s="67">
        <v>2027</v>
      </c>
      <c r="Q20" s="67">
        <v>2028</v>
      </c>
      <c r="R20" s="67">
        <v>2029</v>
      </c>
      <c r="S20" s="67">
        <v>2030</v>
      </c>
      <c r="T20" s="67">
        <v>2031</v>
      </c>
      <c r="U20" s="67">
        <v>2032</v>
      </c>
      <c r="V20" s="67">
        <v>2033</v>
      </c>
      <c r="W20" s="67">
        <v>2034</v>
      </c>
      <c r="X20" s="67">
        <v>2035</v>
      </c>
      <c r="Y20" s="67"/>
      <c r="AA20" s="52"/>
      <c r="AJ20"/>
      <c r="AK20"/>
      <c r="AL20"/>
      <c r="AM20"/>
      <c r="AN20"/>
      <c r="AO20"/>
      <c r="AP20"/>
      <c r="AQ20"/>
      <c r="AR20"/>
      <c r="AS20"/>
      <c r="AT20"/>
      <c r="AU20"/>
      <c r="AV20"/>
      <c r="AW20"/>
      <c r="AX20"/>
      <c r="AY20"/>
      <c r="AZ20"/>
      <c r="BA20"/>
      <c r="BB20"/>
      <c r="BC20"/>
      <c r="BD20"/>
      <c r="BE20"/>
      <c r="BF20"/>
      <c r="BG20"/>
      <c r="BH20"/>
      <c r="BI20"/>
      <c r="BJ20"/>
      <c r="BK20"/>
      <c r="BL20"/>
      <c r="BM20"/>
      <c r="BN20"/>
      <c r="BO20"/>
      <c r="BP20"/>
    </row>
    <row r="21" spans="1:68" ht="15">
      <c r="E21" s="69" t="str">
        <f>CONCATENATE("HOMES_",E20)</f>
        <v>HOMES_2016</v>
      </c>
      <c r="F21" s="70" t="str">
        <f t="shared" ref="F21:X21" si="2">CONCATENATE("HOMES_",F20)</f>
        <v>HOMES_2017</v>
      </c>
      <c r="G21" s="70" t="str">
        <f t="shared" si="2"/>
        <v>HOMES_2018</v>
      </c>
      <c r="H21" s="70" t="str">
        <f t="shared" si="2"/>
        <v>HOMES_2019</v>
      </c>
      <c r="I21" s="70" t="str">
        <f t="shared" si="2"/>
        <v>HOMES_2020</v>
      </c>
      <c r="J21" s="70" t="str">
        <f t="shared" si="2"/>
        <v>HOMES_2021</v>
      </c>
      <c r="K21" s="70" t="str">
        <f t="shared" si="2"/>
        <v>HOMES_2022</v>
      </c>
      <c r="L21" s="70" t="str">
        <f t="shared" si="2"/>
        <v>HOMES_2023</v>
      </c>
      <c r="M21" s="70" t="str">
        <f t="shared" si="2"/>
        <v>HOMES_2024</v>
      </c>
      <c r="N21" s="70" t="str">
        <f t="shared" si="2"/>
        <v>HOMES_2025</v>
      </c>
      <c r="O21" s="70" t="str">
        <f t="shared" si="2"/>
        <v>HOMES_2026</v>
      </c>
      <c r="P21" s="70" t="str">
        <f t="shared" si="2"/>
        <v>HOMES_2027</v>
      </c>
      <c r="Q21" s="70" t="str">
        <f t="shared" si="2"/>
        <v>HOMES_2028</v>
      </c>
      <c r="R21" s="70" t="str">
        <f t="shared" si="2"/>
        <v>HOMES_2029</v>
      </c>
      <c r="S21" s="70" t="str">
        <f t="shared" si="2"/>
        <v>HOMES_2030</v>
      </c>
      <c r="T21" s="70" t="str">
        <f t="shared" si="2"/>
        <v>HOMES_2031</v>
      </c>
      <c r="U21" s="70" t="str">
        <f t="shared" si="2"/>
        <v>HOMES_2032</v>
      </c>
      <c r="V21" s="70" t="str">
        <f t="shared" si="2"/>
        <v>HOMES_2033</v>
      </c>
      <c r="W21" s="70" t="str">
        <f t="shared" si="2"/>
        <v>HOMES_2034</v>
      </c>
      <c r="X21" s="70" t="str">
        <f t="shared" si="2"/>
        <v>HOMES_2035</v>
      </c>
      <c r="Y21" s="71"/>
      <c r="AA21" s="50"/>
    </row>
    <row r="22" spans="1:68">
      <c r="C22" s="9" t="s">
        <v>48</v>
      </c>
      <c r="E22" s="60">
        <f>+'SC-New'!D137</f>
        <v>0</v>
      </c>
      <c r="F22" s="60">
        <f>+'SC-New'!E137</f>
        <v>62592.908458437742</v>
      </c>
      <c r="G22" s="60">
        <f>+'SC-New'!F137</f>
        <v>59733.355088040633</v>
      </c>
      <c r="H22" s="60">
        <f>+'SC-New'!G137</f>
        <v>56352.846002006474</v>
      </c>
      <c r="I22" s="60">
        <f>+'SC-New'!H137</f>
        <v>54071.598693804212</v>
      </c>
      <c r="J22" s="60">
        <f>+'SC-New'!I137</f>
        <v>51940.150128605899</v>
      </c>
      <c r="K22" s="60">
        <f>+'SC-New'!J137</f>
        <v>48583.923461465114</v>
      </c>
      <c r="L22" s="60">
        <f>+'SC-New'!K137</f>
        <v>46110.903636063864</v>
      </c>
      <c r="M22" s="60">
        <f>+'SC-New'!L137</f>
        <v>44590.486841664584</v>
      </c>
      <c r="N22" s="60">
        <f>+'SC-New'!M137</f>
        <v>42745.244136018708</v>
      </c>
      <c r="O22" s="60">
        <f>+'SC-New'!N137</f>
        <v>42094.908832212546</v>
      </c>
      <c r="P22" s="60">
        <f>+'SC-New'!O137</f>
        <v>41063.679916800604</v>
      </c>
      <c r="Q22" s="60">
        <f>+'SC-New'!P137</f>
        <v>39391.829414377498</v>
      </c>
      <c r="R22" s="60">
        <f>+'SC-New'!Q137</f>
        <v>37430.58985418058</v>
      </c>
      <c r="S22" s="60">
        <f>+'SC-New'!R137</f>
        <v>36754.826481000389</v>
      </c>
      <c r="T22" s="60">
        <f>+'SC-New'!S137</f>
        <v>36651.056394193954</v>
      </c>
      <c r="U22" s="60">
        <f>+'SC-New'!T137</f>
        <v>36123.489968537098</v>
      </c>
      <c r="V22" s="60">
        <f>+'SC-New'!U137</f>
        <v>34689.194813385766</v>
      </c>
      <c r="W22" s="60">
        <f>+'SC-New'!V137</f>
        <v>34477.815211508059</v>
      </c>
      <c r="X22" s="60">
        <f>+'SC-New'!W137</f>
        <v>34472.607278704818</v>
      </c>
      <c r="Y22" s="60"/>
      <c r="AA22" s="54"/>
    </row>
    <row r="23" spans="1:68">
      <c r="C23" s="9" t="s">
        <v>49</v>
      </c>
      <c r="E23" s="60">
        <f>+'SC-New'!D138</f>
        <v>0</v>
      </c>
      <c r="F23" s="60">
        <f>+'SC-New'!E138</f>
        <v>23245.864103959815</v>
      </c>
      <c r="G23" s="60">
        <f>+'SC-New'!F138</f>
        <v>22929.732673182309</v>
      </c>
      <c r="H23" s="60">
        <f>+'SC-New'!G138</f>
        <v>22618.481736218651</v>
      </c>
      <c r="I23" s="60">
        <f>+'SC-New'!H138</f>
        <v>21718.95272218265</v>
      </c>
      <c r="J23" s="60">
        <f>+'SC-New'!I138</f>
        <v>20208.063967738479</v>
      </c>
      <c r="K23" s="60">
        <f>+'SC-New'!J138</f>
        <v>19126.200590543609</v>
      </c>
      <c r="L23" s="60">
        <f>+'SC-New'!K138</f>
        <v>18503.127323700744</v>
      </c>
      <c r="M23" s="60">
        <f>+'SC-New'!L138</f>
        <v>18313.316261114116</v>
      </c>
      <c r="N23" s="60">
        <f>+'SC-New'!M138</f>
        <v>18169.938676229875</v>
      </c>
      <c r="O23" s="60">
        <f>+'SC-New'!N138</f>
        <v>18058.901585692016</v>
      </c>
      <c r="P23" s="60">
        <f>+'SC-New'!O138</f>
        <v>17567.365352562825</v>
      </c>
      <c r="Q23" s="60">
        <f>+'SC-New'!P138</f>
        <v>17075.992953146364</v>
      </c>
      <c r="R23" s="60">
        <f>+'SC-New'!Q138</f>
        <v>16694.019700989134</v>
      </c>
      <c r="S23" s="60">
        <f>+'SC-New'!R138</f>
        <v>16197.388367125264</v>
      </c>
      <c r="T23" s="60">
        <f>+'SC-New'!S138</f>
        <v>15772.926353417299</v>
      </c>
      <c r="U23" s="60">
        <f>+'SC-New'!T138</f>
        <v>15293.043214638777</v>
      </c>
      <c r="V23" s="60">
        <f>+'SC-New'!U138</f>
        <v>14929.329320223958</v>
      </c>
      <c r="W23" s="60">
        <f>+'SC-New'!V138</f>
        <v>14675.352434118442</v>
      </c>
      <c r="X23" s="60">
        <f>+'SC-New'!W138</f>
        <v>14354.168973041549</v>
      </c>
      <c r="Y23" s="60"/>
      <c r="AA23" s="54"/>
    </row>
    <row r="24" spans="1:68">
      <c r="C24" s="9" t="s">
        <v>50</v>
      </c>
      <c r="E24" s="60">
        <f>+'SC-New'!D139</f>
        <v>0</v>
      </c>
      <c r="F24" s="60">
        <f>+'SC-New'!E139</f>
        <v>5218.4976033731518</v>
      </c>
      <c r="G24" s="60">
        <f>+'SC-New'!F139</f>
        <v>5219.9913944397449</v>
      </c>
      <c r="H24" s="60">
        <f>+'SC-New'!G139</f>
        <v>5226.633919990456</v>
      </c>
      <c r="I24" s="60">
        <f>+'SC-New'!H139</f>
        <v>4903.0417081624173</v>
      </c>
      <c r="J24" s="60">
        <f>+'SC-New'!I139</f>
        <v>4473.597819162841</v>
      </c>
      <c r="K24" s="60">
        <f>+'SC-New'!J139</f>
        <v>4297.5103552086957</v>
      </c>
      <c r="L24" s="60">
        <f>+'SC-New'!K139</f>
        <v>4169.7146976492686</v>
      </c>
      <c r="M24" s="60">
        <f>+'SC-New'!L139</f>
        <v>4178.2406647706966</v>
      </c>
      <c r="N24" s="60">
        <f>+'SC-New'!M139</f>
        <v>4116.3842107888304</v>
      </c>
      <c r="O24" s="60">
        <f>+'SC-New'!N139</f>
        <v>4090.8008073398532</v>
      </c>
      <c r="P24" s="60">
        <f>+'SC-New'!O139</f>
        <v>3931.5512939947794</v>
      </c>
      <c r="Q24" s="60">
        <f>+'SC-New'!P139</f>
        <v>3814.1895307216714</v>
      </c>
      <c r="R24" s="60">
        <f>+'SC-New'!Q139</f>
        <v>3696.703149794449</v>
      </c>
      <c r="S24" s="60">
        <f>+'SC-New'!R139</f>
        <v>3614.8297022495931</v>
      </c>
      <c r="T24" s="60">
        <f>+'SC-New'!S139</f>
        <v>3536.8700500576665</v>
      </c>
      <c r="U24" s="60">
        <f>+'SC-New'!T139</f>
        <v>3426.8339356415308</v>
      </c>
      <c r="V24" s="60">
        <f>+'SC-New'!U139</f>
        <v>3349.3474829428505</v>
      </c>
      <c r="W24" s="60">
        <f>+'SC-New'!V139</f>
        <v>3257.8408157459853</v>
      </c>
      <c r="X24" s="60">
        <f>+'SC-New'!W139</f>
        <v>3236.6965524192337</v>
      </c>
      <c r="Y24" s="60"/>
      <c r="AA24" s="54"/>
    </row>
    <row r="25" spans="1:68">
      <c r="C25" s="9" t="s">
        <v>51</v>
      </c>
      <c r="E25" s="60">
        <f>+'SC-New'!D140</f>
        <v>0</v>
      </c>
      <c r="F25" s="60">
        <f>+'SC-New'!E140</f>
        <v>1866.8061782119812</v>
      </c>
      <c r="G25" s="60">
        <f>+'SC-New'!F140</f>
        <v>1874.6275556117703</v>
      </c>
      <c r="H25" s="60">
        <f>+'SC-New'!G140</f>
        <v>1932.6323376414723</v>
      </c>
      <c r="I25" s="60">
        <f>+'SC-New'!H140</f>
        <v>1987.6136200167475</v>
      </c>
      <c r="J25" s="60">
        <f>+'SC-New'!I140</f>
        <v>1902.1089408953069</v>
      </c>
      <c r="K25" s="60">
        <f>+'SC-New'!J140</f>
        <v>1837.8588137944685</v>
      </c>
      <c r="L25" s="60">
        <f>+'SC-New'!K140</f>
        <v>1800.2409067217509</v>
      </c>
      <c r="M25" s="60">
        <f>+'SC-New'!L140</f>
        <v>1759.1037466518842</v>
      </c>
      <c r="N25" s="60">
        <f>+'SC-New'!M140</f>
        <v>1713.232737840857</v>
      </c>
      <c r="O25" s="60">
        <f>+'SC-New'!N140</f>
        <v>1658.7546752976746</v>
      </c>
      <c r="P25" s="60">
        <f>+'SC-New'!O140</f>
        <v>1598.2237925718205</v>
      </c>
      <c r="Q25" s="60">
        <f>+'SC-New'!P140</f>
        <v>1551.4602885802774</v>
      </c>
      <c r="R25" s="60">
        <f>+'SC-New'!Q140</f>
        <v>1516.4860130740776</v>
      </c>
      <c r="S25" s="60">
        <f>+'SC-New'!R140</f>
        <v>1489.2183875211369</v>
      </c>
      <c r="T25" s="60">
        <f>+'SC-New'!S140</f>
        <v>1468.4166433856899</v>
      </c>
      <c r="U25" s="60">
        <f>+'SC-New'!T140</f>
        <v>1452.7644674747669</v>
      </c>
      <c r="V25" s="60">
        <f>+'SC-New'!U140</f>
        <v>1441.8302700261245</v>
      </c>
      <c r="W25" s="60">
        <f>+'SC-New'!V140</f>
        <v>1435.6589488750917</v>
      </c>
      <c r="X25" s="60">
        <f>+'SC-New'!W140</f>
        <v>1432.2408038299291</v>
      </c>
      <c r="Y25" s="60"/>
      <c r="AA25" s="54"/>
    </row>
    <row r="26" spans="1:68">
      <c r="E26" s="42"/>
      <c r="F26" s="42"/>
      <c r="G26" s="42"/>
      <c r="H26" s="42"/>
      <c r="I26" s="42"/>
      <c r="J26" s="42"/>
      <c r="K26" s="42"/>
      <c r="L26" s="42"/>
      <c r="M26" s="42"/>
      <c r="N26" s="42"/>
      <c r="O26" s="42"/>
      <c r="P26" s="42"/>
      <c r="Q26" s="42"/>
      <c r="R26" s="42"/>
      <c r="S26" s="42"/>
      <c r="T26" s="42"/>
      <c r="U26" s="42"/>
      <c r="V26" s="42"/>
      <c r="W26" s="42"/>
      <c r="X26" s="42"/>
      <c r="Y26" s="42"/>
    </row>
    <row r="27" spans="1:68">
      <c r="B27" s="9" t="s">
        <v>67</v>
      </c>
      <c r="C27" s="9" t="s">
        <v>68</v>
      </c>
      <c r="E27" s="42">
        <f>E18+SUM(E22:E25)</f>
        <v>5912957.9357845243</v>
      </c>
      <c r="F27" s="42">
        <f t="shared" ref="F27:X27" si="3">F18+SUM(F22:F25)</f>
        <v>5987640.8136666007</v>
      </c>
      <c r="G27" s="42">
        <f t="shared" si="3"/>
        <v>5966326.1159019833</v>
      </c>
      <c r="H27" s="42">
        <f t="shared" si="3"/>
        <v>5944642.7846671948</v>
      </c>
      <c r="I27" s="42">
        <f t="shared" si="3"/>
        <v>5923228.5353946583</v>
      </c>
      <c r="J27" s="42">
        <f t="shared" si="3"/>
        <v>5901196.9983939333</v>
      </c>
      <c r="K27" s="42">
        <f t="shared" si="3"/>
        <v>5878734.1924069934</v>
      </c>
      <c r="L27" s="42">
        <f t="shared" si="3"/>
        <v>5857777.4493793072</v>
      </c>
      <c r="M27" s="42">
        <f t="shared" si="3"/>
        <v>5838427.7924468983</v>
      </c>
      <c r="N27" s="42">
        <f t="shared" si="3"/>
        <v>5818812.3290185994</v>
      </c>
      <c r="O27" s="42">
        <f t="shared" si="3"/>
        <v>5800538.7725456227</v>
      </c>
      <c r="P27" s="42">
        <f t="shared" si="3"/>
        <v>5781450.3953661369</v>
      </c>
      <c r="Q27" s="42">
        <f t="shared" si="3"/>
        <v>5761862.8114416786</v>
      </c>
      <c r="R27" s="42">
        <f t="shared" si="3"/>
        <v>5742191.8099116292</v>
      </c>
      <c r="S27" s="42">
        <f t="shared" si="3"/>
        <v>5723819.1724190181</v>
      </c>
      <c r="T27" s="42">
        <f t="shared" si="3"/>
        <v>5706184.6289813817</v>
      </c>
      <c r="U27" s="42">
        <f t="shared" si="3"/>
        <v>5688126.8250774126</v>
      </c>
      <c r="V27" s="42">
        <f t="shared" si="3"/>
        <v>5669397.9519666014</v>
      </c>
      <c r="W27" s="42">
        <f t="shared" si="3"/>
        <v>5652074.0420207614</v>
      </c>
      <c r="X27" s="42">
        <f t="shared" si="3"/>
        <v>5635043.1324821096</v>
      </c>
      <c r="Y27" s="42"/>
      <c r="AA27" s="54"/>
    </row>
    <row r="28" spans="1:68">
      <c r="D28" s="42"/>
      <c r="E28" s="42"/>
      <c r="F28" s="42"/>
      <c r="G28" s="42"/>
      <c r="H28" s="42"/>
      <c r="I28" s="42"/>
      <c r="J28" s="42"/>
      <c r="K28" s="42"/>
      <c r="L28" s="42"/>
      <c r="M28" s="42"/>
      <c r="N28" s="42"/>
      <c r="O28" s="42"/>
      <c r="P28" s="42"/>
      <c r="Q28" s="42"/>
      <c r="R28" s="42"/>
      <c r="S28" s="42"/>
      <c r="T28" s="42"/>
      <c r="U28" s="42"/>
      <c r="V28" s="42"/>
      <c r="W28" s="42"/>
      <c r="X28" s="42"/>
    </row>
    <row r="29" spans="1:68" ht="15">
      <c r="A29" s="63" t="str">
        <f>CONCATENATE("# HOMES APPLICABLE BY YEAR FOR MEASURE - ",C30)</f>
        <v># HOMES APPLICABLE BY YEAR FOR MEASURE - Aerator - Retro</v>
      </c>
      <c r="C29" s="9" t="s">
        <v>157</v>
      </c>
      <c r="D29" s="42"/>
      <c r="E29" s="42"/>
      <c r="F29" s="42"/>
      <c r="G29" s="42"/>
      <c r="H29" s="42"/>
      <c r="I29" s="42"/>
      <c r="J29" s="42"/>
      <c r="K29" s="42"/>
      <c r="L29" s="42"/>
      <c r="M29" s="42"/>
      <c r="N29" s="42"/>
      <c r="O29" s="42"/>
      <c r="P29" s="42"/>
      <c r="Q29" s="42"/>
      <c r="R29" s="42"/>
      <c r="S29" s="42"/>
      <c r="T29" s="42"/>
      <c r="U29" s="42"/>
      <c r="V29" s="42"/>
      <c r="W29" s="42"/>
      <c r="X29" s="42"/>
      <c r="AA29" s="52">
        <v>0.85</v>
      </c>
    </row>
    <row r="30" spans="1:68" ht="15">
      <c r="A30" s="72" t="s">
        <v>69</v>
      </c>
      <c r="B30" s="72" t="s">
        <v>155</v>
      </c>
      <c r="C30" s="72" t="str">
        <f>CONCATENATE(C8," - ",C7)</f>
        <v>Aerator - Retro</v>
      </c>
      <c r="D30" s="9">
        <v>2</v>
      </c>
      <c r="E30" s="9">
        <v>3</v>
      </c>
      <c r="F30" s="9">
        <v>4</v>
      </c>
      <c r="G30" s="9">
        <v>5</v>
      </c>
      <c r="H30" s="9">
        <v>6</v>
      </c>
      <c r="I30" s="9">
        <v>7</v>
      </c>
      <c r="J30" s="9">
        <v>8</v>
      </c>
      <c r="K30" s="9">
        <v>9</v>
      </c>
      <c r="L30" s="9">
        <v>10</v>
      </c>
      <c r="M30" s="9">
        <v>11</v>
      </c>
      <c r="N30" s="9">
        <v>12</v>
      </c>
      <c r="O30" s="9">
        <v>13</v>
      </c>
      <c r="P30" s="9">
        <v>14</v>
      </c>
      <c r="Q30" s="9">
        <v>15</v>
      </c>
      <c r="R30" s="9">
        <v>16</v>
      </c>
      <c r="S30" s="9">
        <v>17</v>
      </c>
      <c r="T30" s="9">
        <v>18</v>
      </c>
      <c r="U30" s="9">
        <v>19</v>
      </c>
      <c r="V30" s="9">
        <v>20</v>
      </c>
      <c r="W30" s="9">
        <v>21</v>
      </c>
      <c r="X30" s="9">
        <v>22</v>
      </c>
      <c r="AA30" s="50" t="s">
        <v>70</v>
      </c>
    </row>
    <row r="31" spans="1:68">
      <c r="A31" s="64">
        <f>INDEX([2]!ResApplic,MATCH($C$30,[2]APPLIC!$B$9:$B$120,0)+1,MATCH($C31,[2]APPLIC!$C$8:$F$8,0)+1)</f>
        <v>0.315</v>
      </c>
      <c r="B31" s="77">
        <f>VLOOKUP($C31,'Units Per Home'!$A$5:$B$8,2,FALSE)</f>
        <v>2.19</v>
      </c>
      <c r="C31" s="9" t="str">
        <f>C13</f>
        <v>Single Family</v>
      </c>
      <c r="E31" s="42">
        <f>E13*$A31*$B31</f>
        <v>2899803.9784392002</v>
      </c>
      <c r="F31" s="42">
        <f t="shared" ref="F31:W34" si="4">F13*$A31*$B31</f>
        <v>2893219.157786075</v>
      </c>
      <c r="G31" s="42">
        <f t="shared" si="4"/>
        <v>2886649.2898205658</v>
      </c>
      <c r="H31" s="42">
        <f t="shared" si="4"/>
        <v>2880094.3405883876</v>
      </c>
      <c r="I31" s="42">
        <f t="shared" si="4"/>
        <v>2873554.2762123607</v>
      </c>
      <c r="J31" s="42">
        <f t="shared" si="4"/>
        <v>2867029.0628922312</v>
      </c>
      <c r="K31" s="42">
        <f t="shared" si="4"/>
        <v>2860518.6669044984</v>
      </c>
      <c r="L31" s="42">
        <f t="shared" si="4"/>
        <v>2854023.0546022425</v>
      </c>
      <c r="M31" s="42">
        <f t="shared" si="4"/>
        <v>2847542.1924149459</v>
      </c>
      <c r="N31" s="42">
        <f t="shared" si="4"/>
        <v>2841076.0468483246</v>
      </c>
      <c r="O31" s="42">
        <f t="shared" si="4"/>
        <v>2834624.5844841502</v>
      </c>
      <c r="P31" s="42">
        <f t="shared" si="4"/>
        <v>2828187.7719800812</v>
      </c>
      <c r="Q31" s="42">
        <f t="shared" si="4"/>
        <v>2821765.5760694901</v>
      </c>
      <c r="R31" s="42">
        <f t="shared" si="4"/>
        <v>2815357.9635612885</v>
      </c>
      <c r="S31" s="42">
        <f t="shared" si="4"/>
        <v>2808964.901339761</v>
      </c>
      <c r="T31" s="42">
        <f t="shared" si="4"/>
        <v>2802586.3563643866</v>
      </c>
      <c r="U31" s="42">
        <f t="shared" si="4"/>
        <v>2796222.2956696753</v>
      </c>
      <c r="V31" s="42">
        <f t="shared" si="4"/>
        <v>2789872.6863649925</v>
      </c>
      <c r="W31" s="42">
        <f t="shared" si="4"/>
        <v>2783537.4956343928</v>
      </c>
      <c r="X31" s="42">
        <f>X13*$A31*$B31</f>
        <v>2777216.6907364475</v>
      </c>
      <c r="Y31" s="42"/>
      <c r="AA31" s="54">
        <f>(X31)*$AA$29</f>
        <v>2360634.1871259804</v>
      </c>
    </row>
    <row r="32" spans="1:68">
      <c r="A32" s="64">
        <f>INDEX([2]!ResApplic,MATCH($C$30,[2]APPLIC!$B$9:$B$120,0)+1,MATCH($C32,[2]APPLIC!$C$8:$F$8,0)+1)</f>
        <v>0.315</v>
      </c>
      <c r="B32" s="77">
        <f>VLOOKUP($C32,'Units Per Home'!$A$5:$B$8,2,FALSE)</f>
        <v>1.25</v>
      </c>
      <c r="C32" s="9" t="str">
        <f>C14</f>
        <v>Multifamily - Low Rise</v>
      </c>
      <c r="E32" s="42">
        <f t="shared" ref="E32:T34" si="5">E14*$A32*$B32</f>
        <v>364708.2820864697</v>
      </c>
      <c r="F32" s="42">
        <f t="shared" si="5"/>
        <v>363880.0960237644</v>
      </c>
      <c r="G32" s="42">
        <f t="shared" si="5"/>
        <v>363053.79062072083</v>
      </c>
      <c r="H32" s="42">
        <f t="shared" si="5"/>
        <v>362229.36160670372</v>
      </c>
      <c r="I32" s="42">
        <f t="shared" si="5"/>
        <v>361406.8047207754</v>
      </c>
      <c r="J32" s="42">
        <f t="shared" si="5"/>
        <v>360586.11571167398</v>
      </c>
      <c r="K32" s="42">
        <f t="shared" si="5"/>
        <v>359767.29033779172</v>
      </c>
      <c r="L32" s="42">
        <f t="shared" si="5"/>
        <v>358950.32436715212</v>
      </c>
      <c r="M32" s="42">
        <f t="shared" si="5"/>
        <v>358135.2135773896</v>
      </c>
      <c r="N32" s="42">
        <f t="shared" si="5"/>
        <v>357321.95375572622</v>
      </c>
      <c r="O32" s="42">
        <f t="shared" si="5"/>
        <v>356510.5406989507</v>
      </c>
      <c r="P32" s="42">
        <f t="shared" si="5"/>
        <v>355700.97021339647</v>
      </c>
      <c r="Q32" s="42">
        <f t="shared" si="5"/>
        <v>354893.2381149198</v>
      </c>
      <c r="R32" s="42">
        <f t="shared" si="5"/>
        <v>354087.34022887883</v>
      </c>
      <c r="S32" s="42">
        <f t="shared" si="5"/>
        <v>353283.27239011112</v>
      </c>
      <c r="T32" s="42">
        <f t="shared" si="5"/>
        <v>352481.03044291271</v>
      </c>
      <c r="U32" s="42">
        <f t="shared" si="4"/>
        <v>351680.61024101661</v>
      </c>
      <c r="V32" s="42">
        <f t="shared" si="4"/>
        <v>350882.00764757115</v>
      </c>
      <c r="W32" s="42">
        <f t="shared" si="4"/>
        <v>350085.21853511856</v>
      </c>
      <c r="X32" s="42">
        <f t="shared" ref="X32" si="6">X14*$A32*$B32</f>
        <v>349290.23878557398</v>
      </c>
      <c r="Y32" s="42"/>
      <c r="AA32" s="54">
        <f>(X32)*$AA$29</f>
        <v>296896.70296773786</v>
      </c>
    </row>
    <row r="33" spans="1:71">
      <c r="A33" s="64">
        <f>INDEX([2]!ResApplic,MATCH($C$30,[2]APPLIC!$B$9:$B$120,0)+1,MATCH($C33,[2]APPLIC!$C$8:$F$8,0)+1)</f>
        <v>0.315</v>
      </c>
      <c r="B33" s="77">
        <f>VLOOKUP($C33,'Units Per Home'!$A$5:$B$8,2,FALSE)</f>
        <v>1.25</v>
      </c>
      <c r="C33" s="9" t="str">
        <f>C15</f>
        <v>Multifamily - High Rise</v>
      </c>
      <c r="E33" s="42">
        <f t="shared" si="5"/>
        <v>83152.156443400425</v>
      </c>
      <c r="F33" s="42">
        <f t="shared" si="4"/>
        <v>82963.333045542982</v>
      </c>
      <c r="G33" s="42">
        <f t="shared" si="4"/>
        <v>82774.938431220493</v>
      </c>
      <c r="H33" s="42">
        <f t="shared" si="4"/>
        <v>82586.971626743674</v>
      </c>
      <c r="I33" s="42">
        <f t="shared" si="4"/>
        <v>82399.431660634276</v>
      </c>
      <c r="J33" s="42">
        <f t="shared" si="4"/>
        <v>82212.317563620149</v>
      </c>
      <c r="K33" s="42">
        <f t="shared" si="4"/>
        <v>82025.628368630205</v>
      </c>
      <c r="L33" s="42">
        <f t="shared" si="4"/>
        <v>81839.363110789287</v>
      </c>
      <c r="M33" s="42">
        <f t="shared" si="4"/>
        <v>81653.520827413435</v>
      </c>
      <c r="N33" s="42">
        <f t="shared" si="4"/>
        <v>81468.100558004648</v>
      </c>
      <c r="O33" s="42">
        <f t="shared" si="4"/>
        <v>81283.101344246126</v>
      </c>
      <c r="P33" s="42">
        <f t="shared" si="4"/>
        <v>81098.522229997208</v>
      </c>
      <c r="Q33" s="42">
        <f t="shared" si="4"/>
        <v>80914.362261288406</v>
      </c>
      <c r="R33" s="42">
        <f t="shared" si="4"/>
        <v>80730.620486316591</v>
      </c>
      <c r="S33" s="42">
        <f t="shared" si="4"/>
        <v>80547.295955439971</v>
      </c>
      <c r="T33" s="42">
        <f t="shared" si="4"/>
        <v>80364.387721173232</v>
      </c>
      <c r="U33" s="42">
        <f t="shared" si="4"/>
        <v>80181.894838182576</v>
      </c>
      <c r="V33" s="42">
        <f t="shared" si="4"/>
        <v>79999.816363280974</v>
      </c>
      <c r="W33" s="42">
        <f t="shared" si="4"/>
        <v>79818.15135542315</v>
      </c>
      <c r="X33" s="42">
        <f t="shared" ref="X33" si="7">X15*$A33*$B33</f>
        <v>79636.898875700732</v>
      </c>
      <c r="Y33" s="42"/>
      <c r="AA33" s="54">
        <f>(X33)*$AA$29</f>
        <v>67691.364044345624</v>
      </c>
    </row>
    <row r="34" spans="1:71">
      <c r="A34" s="64">
        <f>INDEX([2]!ResApplic,MATCH($C$30,[2]APPLIC!$B$9:$B$120,0)+1,MATCH($C34,[2]APPLIC!$C$8:$F$8,0)+1)</f>
        <v>0.315</v>
      </c>
      <c r="B34" s="77">
        <f>VLOOKUP($C34,'Units Per Home'!$A$5:$B$8,2,FALSE)</f>
        <v>1.81</v>
      </c>
      <c r="C34" s="9" t="str">
        <f>C16</f>
        <v>Manufactured</v>
      </c>
      <c r="E34" s="42">
        <f t="shared" si="5"/>
        <v>326129.40781549481</v>
      </c>
      <c r="F34" s="42">
        <f t="shared" si="4"/>
        <v>322644.06724428193</v>
      </c>
      <c r="G34" s="42">
        <f t="shared" si="4"/>
        <v>319195.97446062288</v>
      </c>
      <c r="H34" s="42">
        <f t="shared" si="4"/>
        <v>315784.73139791563</v>
      </c>
      <c r="I34" s="42">
        <f t="shared" si="4"/>
        <v>312409.9442436907</v>
      </c>
      <c r="J34" s="42">
        <f t="shared" si="4"/>
        <v>309071.22339414712</v>
      </c>
      <c r="K34" s="42">
        <f t="shared" si="4"/>
        <v>305768.18340917455</v>
      </c>
      <c r="L34" s="42">
        <f t="shared" si="4"/>
        <v>302500.44296785584</v>
      </c>
      <c r="M34" s="42">
        <f t="shared" si="4"/>
        <v>299267.62482444511</v>
      </c>
      <c r="N34" s="42">
        <f t="shared" si="4"/>
        <v>296069.35576481692</v>
      </c>
      <c r="O34" s="42">
        <f t="shared" si="4"/>
        <v>292905.2665633802</v>
      </c>
      <c r="P34" s="42">
        <f t="shared" si="4"/>
        <v>289774.9919404526</v>
      </c>
      <c r="Q34" s="42">
        <f t="shared" si="4"/>
        <v>286678.17052009079</v>
      </c>
      <c r="R34" s="42">
        <f t="shared" si="4"/>
        <v>283614.44478837139</v>
      </c>
      <c r="S34" s="42">
        <f t="shared" si="4"/>
        <v>280583.46105211735</v>
      </c>
      <c r="T34" s="42">
        <f t="shared" si="4"/>
        <v>277584.86939806596</v>
      </c>
      <c r="U34" s="42">
        <f t="shared" si="4"/>
        <v>274618.32365247275</v>
      </c>
      <c r="V34" s="42">
        <f t="shared" si="4"/>
        <v>271683.48134114727</v>
      </c>
      <c r="W34" s="42">
        <f t="shared" si="4"/>
        <v>268780.00364991638</v>
      </c>
      <c r="X34" s="42">
        <f t="shared" ref="X34" si="8">X16*$A34*$B34</f>
        <v>265907.5553855091</v>
      </c>
      <c r="Y34" s="42"/>
      <c r="AA34" s="54">
        <f>(X34)*$AA$29</f>
        <v>226021.42207768271</v>
      </c>
    </row>
    <row r="35" spans="1:71">
      <c r="E35" s="42"/>
      <c r="F35" s="42"/>
      <c r="G35" s="42"/>
      <c r="H35" s="42"/>
      <c r="I35" s="42"/>
      <c r="J35" s="42"/>
      <c r="K35" s="42"/>
      <c r="L35" s="42"/>
      <c r="M35" s="42"/>
      <c r="N35" s="42"/>
      <c r="O35" s="42"/>
      <c r="P35" s="42"/>
      <c r="Q35" s="42"/>
      <c r="R35" s="42"/>
      <c r="S35" s="42"/>
      <c r="T35" s="42"/>
      <c r="U35" s="42"/>
      <c r="V35" s="42"/>
      <c r="W35" s="42"/>
      <c r="X35" s="42"/>
      <c r="Y35" s="42"/>
    </row>
    <row r="36" spans="1:71">
      <c r="E36" s="42">
        <f t="shared" ref="E36:X36" si="9">SUM(E31:E34)</f>
        <v>3673793.8247845648</v>
      </c>
      <c r="F36" s="42">
        <f t="shared" si="9"/>
        <v>3662706.6540996647</v>
      </c>
      <c r="G36" s="42">
        <f t="shared" si="9"/>
        <v>3651673.9933331301</v>
      </c>
      <c r="H36" s="42">
        <f t="shared" si="9"/>
        <v>3640695.4052197505</v>
      </c>
      <c r="I36" s="42">
        <f t="shared" si="9"/>
        <v>3629770.4568374613</v>
      </c>
      <c r="J36" s="42">
        <f t="shared" si="9"/>
        <v>3618898.7195616723</v>
      </c>
      <c r="K36" s="42">
        <f t="shared" si="9"/>
        <v>3608079.7690200945</v>
      </c>
      <c r="L36" s="42">
        <f t="shared" si="9"/>
        <v>3597313.1850480395</v>
      </c>
      <c r="M36" s="42">
        <f t="shared" si="9"/>
        <v>3586598.5516441944</v>
      </c>
      <c r="N36" s="42">
        <f t="shared" si="9"/>
        <v>3575935.4569268725</v>
      </c>
      <c r="O36" s="42">
        <f t="shared" si="9"/>
        <v>3565323.4930907269</v>
      </c>
      <c r="P36" s="42">
        <f t="shared" si="9"/>
        <v>3554762.2563639274</v>
      </c>
      <c r="Q36" s="42">
        <f t="shared" si="9"/>
        <v>3544251.3469657893</v>
      </c>
      <c r="R36" s="42">
        <f t="shared" si="9"/>
        <v>3533790.3690648554</v>
      </c>
      <c r="S36" s="42">
        <f t="shared" si="9"/>
        <v>3523378.9307374298</v>
      </c>
      <c r="T36" s="42">
        <f t="shared" si="9"/>
        <v>3513016.6439265385</v>
      </c>
      <c r="U36" s="42">
        <f t="shared" si="9"/>
        <v>3502703.1244013477</v>
      </c>
      <c r="V36" s="42">
        <f t="shared" si="9"/>
        <v>3492437.9917169921</v>
      </c>
      <c r="W36" s="42">
        <f t="shared" si="9"/>
        <v>3482220.8691748511</v>
      </c>
      <c r="X36" s="42">
        <f t="shared" si="9"/>
        <v>3472051.3837832315</v>
      </c>
      <c r="Y36" s="42"/>
      <c r="AA36" s="54">
        <f>SUM(AA31:AA34)</f>
        <v>2951243.6762157464</v>
      </c>
    </row>
    <row r="37" spans="1:71">
      <c r="D37" s="42"/>
      <c r="E37" s="42"/>
      <c r="F37" s="42"/>
      <c r="G37" s="42"/>
      <c r="H37" s="42"/>
      <c r="I37" s="42"/>
      <c r="J37" s="42"/>
      <c r="K37" s="42"/>
      <c r="L37" s="42"/>
      <c r="M37" s="42"/>
      <c r="N37" s="42"/>
      <c r="O37" s="42"/>
      <c r="P37" s="42"/>
      <c r="Q37" s="42"/>
      <c r="R37" s="42"/>
      <c r="S37" s="42"/>
      <c r="T37" s="42"/>
      <c r="U37" s="42"/>
      <c r="V37" s="42"/>
      <c r="W37" s="42"/>
      <c r="X37" s="42"/>
    </row>
    <row r="38" spans="1:71" ht="15">
      <c r="A38" s="63" t="str">
        <f>CONCATENATE("# HOMES APPLICABLE BY YEAR FOR MEASURE - ",C30)</f>
        <v># HOMES APPLICABLE BY YEAR FOR MEASURE - Aerator - Retro</v>
      </c>
      <c r="C38" s="9" t="s">
        <v>158</v>
      </c>
      <c r="D38" s="42"/>
      <c r="E38" s="42"/>
      <c r="F38" s="42"/>
      <c r="G38" s="42"/>
      <c r="H38" s="42"/>
      <c r="I38" s="42"/>
      <c r="J38" s="42"/>
      <c r="K38" s="42"/>
      <c r="L38" s="42"/>
      <c r="M38" s="42"/>
      <c r="N38" s="42"/>
      <c r="O38" s="42"/>
      <c r="P38" s="42"/>
      <c r="Q38" s="42"/>
      <c r="R38" s="42"/>
      <c r="S38" s="42"/>
      <c r="T38" s="42"/>
      <c r="U38" s="42"/>
      <c r="V38" s="42"/>
      <c r="W38" s="42"/>
      <c r="X38" s="42"/>
      <c r="AA38" s="52">
        <v>0.85</v>
      </c>
    </row>
    <row r="39" spans="1:71" ht="15">
      <c r="A39" s="72" t="s">
        <v>69</v>
      </c>
      <c r="B39" s="72" t="s">
        <v>155</v>
      </c>
      <c r="C39" s="72" t="str">
        <f>CONCATENATE(C8," - ","NEW")</f>
        <v>Aerator - NEW</v>
      </c>
      <c r="D39" s="9">
        <v>2</v>
      </c>
      <c r="E39" s="9">
        <v>3</v>
      </c>
      <c r="F39" s="9">
        <v>4</v>
      </c>
      <c r="G39" s="9">
        <v>5</v>
      </c>
      <c r="H39" s="9">
        <v>6</v>
      </c>
      <c r="I39" s="9">
        <v>7</v>
      </c>
      <c r="J39" s="9">
        <v>8</v>
      </c>
      <c r="K39" s="9">
        <v>9</v>
      </c>
      <c r="L39" s="9">
        <v>10</v>
      </c>
      <c r="M39" s="9">
        <v>11</v>
      </c>
      <c r="N39" s="9">
        <v>12</v>
      </c>
      <c r="O39" s="9">
        <v>13</v>
      </c>
      <c r="P39" s="9">
        <v>14</v>
      </c>
      <c r="Q39" s="9">
        <v>15</v>
      </c>
      <c r="R39" s="9">
        <v>16</v>
      </c>
      <c r="S39" s="9">
        <v>17</v>
      </c>
      <c r="T39" s="9">
        <v>18</v>
      </c>
      <c r="U39" s="9">
        <v>19</v>
      </c>
      <c r="V39" s="9">
        <v>20</v>
      </c>
      <c r="W39" s="9">
        <v>21</v>
      </c>
      <c r="X39" s="9">
        <v>22</v>
      </c>
      <c r="AA39" s="50" t="s">
        <v>70</v>
      </c>
    </row>
    <row r="40" spans="1:71">
      <c r="A40" s="64">
        <f>INDEX([2]!ResApplic,MATCH($C$39,[2]APPLIC!$B$9:$B$120,0)+1,MATCH($C40,[2]APPLIC!$C$8:$F$8,0)+1)</f>
        <v>0.315</v>
      </c>
      <c r="B40" s="77">
        <f>VLOOKUP($C40,'Units Per Home'!$A$5:$B$8,2,FALSE)</f>
        <v>2.19</v>
      </c>
      <c r="C40" s="9" t="str">
        <f>C22</f>
        <v>Single Family</v>
      </c>
      <c r="E40" s="42">
        <f>E22*$A40*$B40</f>
        <v>0</v>
      </c>
      <c r="F40" s="42">
        <f t="shared" ref="F40:F43" si="10">F22*$A40*$B40</f>
        <v>43179.717900053271</v>
      </c>
      <c r="G40" s="42">
        <f>G22*$A40*$B40+F40</f>
        <v>84386.772907538107</v>
      </c>
      <c r="H40" s="42">
        <f t="shared" ref="H40:X43" si="11">H22*$A40*$B40+G40</f>
        <v>123261.78372202227</v>
      </c>
      <c r="I40" s="42">
        <f t="shared" si="11"/>
        <v>160563.07608094311</v>
      </c>
      <c r="J40" s="42">
        <f t="shared" si="11"/>
        <v>196393.9886471619</v>
      </c>
      <c r="K40" s="42">
        <f t="shared" si="11"/>
        <v>229909.60824705361</v>
      </c>
      <c r="L40" s="42">
        <f t="shared" si="11"/>
        <v>261719.21512039227</v>
      </c>
      <c r="M40" s="42">
        <f t="shared" si="11"/>
        <v>292479.96246811457</v>
      </c>
      <c r="N40" s="42">
        <f t="shared" si="11"/>
        <v>321967.7691353471</v>
      </c>
      <c r="O40" s="42">
        <f t="shared" si="11"/>
        <v>351006.94199324894</v>
      </c>
      <c r="P40" s="42">
        <f t="shared" si="11"/>
        <v>379334.72158385382</v>
      </c>
      <c r="Q40" s="42">
        <f t="shared" si="11"/>
        <v>406509.17510536214</v>
      </c>
      <c r="R40" s="42">
        <f t="shared" si="11"/>
        <v>432330.66751626862</v>
      </c>
      <c r="S40" s="42">
        <f t="shared" si="11"/>
        <v>457685.98456418671</v>
      </c>
      <c r="T40" s="42">
        <f t="shared" si="11"/>
        <v>482969.71581772144</v>
      </c>
      <c r="U40" s="42">
        <f t="shared" si="11"/>
        <v>507889.50537251675</v>
      </c>
      <c r="V40" s="42">
        <f t="shared" si="11"/>
        <v>531819.84641453088</v>
      </c>
      <c r="W40" s="42">
        <f t="shared" si="11"/>
        <v>555604.36723818968</v>
      </c>
      <c r="X40" s="42">
        <f t="shared" si="11"/>
        <v>579385.29536940414</v>
      </c>
      <c r="Y40" s="42"/>
      <c r="AA40" s="54">
        <f t="shared" ref="AA40:AA43" si="12">(X40)*$AA$29</f>
        <v>492477.50106399349</v>
      </c>
    </row>
    <row r="41" spans="1:71">
      <c r="A41" s="64">
        <f>INDEX([2]!ResApplic,MATCH($C$39,[2]APPLIC!$B$9:$B$120,0)+1,MATCH($C41,[2]APPLIC!$C$8:$F$8,0)+1)</f>
        <v>0.315</v>
      </c>
      <c r="B41" s="77">
        <f>VLOOKUP($C41,'Units Per Home'!$A$5:$B$8,2,FALSE)</f>
        <v>1.25</v>
      </c>
      <c r="C41" s="9" t="str">
        <f>C23</f>
        <v>Multifamily - Low Rise</v>
      </c>
      <c r="E41" s="42">
        <f t="shared" ref="E41:F43" si="13">E23*$A41*$B41</f>
        <v>0</v>
      </c>
      <c r="F41" s="42">
        <f t="shared" si="13"/>
        <v>9153.0589909341761</v>
      </c>
      <c r="G41" s="42">
        <f t="shared" ref="G41:V43" si="14">G23*$A41*$B41+F41</f>
        <v>18181.64123099971</v>
      </c>
      <c r="H41" s="42">
        <f t="shared" si="14"/>
        <v>27087.668414635802</v>
      </c>
      <c r="I41" s="42">
        <f t="shared" si="14"/>
        <v>35639.506048995223</v>
      </c>
      <c r="J41" s="42">
        <f t="shared" si="14"/>
        <v>43596.43123629225</v>
      </c>
      <c r="K41" s="42">
        <f t="shared" si="14"/>
        <v>51127.372718818799</v>
      </c>
      <c r="L41" s="42">
        <f t="shared" si="14"/>
        <v>58412.979102525969</v>
      </c>
      <c r="M41" s="42">
        <f t="shared" si="14"/>
        <v>65623.847380339648</v>
      </c>
      <c r="N41" s="42">
        <f t="shared" si="14"/>
        <v>72778.260734105163</v>
      </c>
      <c r="O41" s="42">
        <f t="shared" si="14"/>
        <v>79888.953233471388</v>
      </c>
      <c r="P41" s="42">
        <f t="shared" si="14"/>
        <v>86806.103341042995</v>
      </c>
      <c r="Q41" s="42">
        <f t="shared" si="14"/>
        <v>93529.775566344382</v>
      </c>
      <c r="R41" s="42">
        <f t="shared" si="14"/>
        <v>100103.04582360886</v>
      </c>
      <c r="S41" s="42">
        <f t="shared" si="14"/>
        <v>106480.76749316443</v>
      </c>
      <c r="T41" s="42">
        <f t="shared" si="14"/>
        <v>112691.35724482249</v>
      </c>
      <c r="U41" s="42">
        <f t="shared" si="14"/>
        <v>118712.99301058651</v>
      </c>
      <c r="V41" s="42">
        <f t="shared" si="14"/>
        <v>124591.4164304247</v>
      </c>
      <c r="W41" s="42">
        <f t="shared" si="11"/>
        <v>130369.83645135883</v>
      </c>
      <c r="X41" s="42">
        <f t="shared" si="11"/>
        <v>136021.79048449395</v>
      </c>
      <c r="Y41" s="42"/>
      <c r="AA41" s="54">
        <f t="shared" si="12"/>
        <v>115618.52191181986</v>
      </c>
    </row>
    <row r="42" spans="1:71">
      <c r="A42" s="64">
        <f>INDEX([2]!ResApplic,MATCH($C$39,[2]APPLIC!$B$9:$B$120,0)+1,MATCH($C42,[2]APPLIC!$C$8:$F$8,0)+1)</f>
        <v>0.315</v>
      </c>
      <c r="B42" s="77">
        <f>VLOOKUP($C42,'Units Per Home'!$A$5:$B$8,2,FALSE)</f>
        <v>1.25</v>
      </c>
      <c r="C42" s="9" t="str">
        <f>C24</f>
        <v>Multifamily - High Rise</v>
      </c>
      <c r="E42" s="42">
        <f t="shared" si="13"/>
        <v>0</v>
      </c>
      <c r="F42" s="42">
        <f t="shared" si="10"/>
        <v>2054.7834313281787</v>
      </c>
      <c r="G42" s="42">
        <f t="shared" si="14"/>
        <v>4110.1550428888286</v>
      </c>
      <c r="H42" s="42">
        <f t="shared" si="11"/>
        <v>6168.1421488850701</v>
      </c>
      <c r="I42" s="42">
        <f t="shared" si="11"/>
        <v>8098.7148214740218</v>
      </c>
      <c r="J42" s="42">
        <f t="shared" si="11"/>
        <v>9860.1939627693901</v>
      </c>
      <c r="K42" s="42">
        <f t="shared" si="11"/>
        <v>11552.338665132815</v>
      </c>
      <c r="L42" s="42">
        <f t="shared" si="11"/>
        <v>13194.163827332213</v>
      </c>
      <c r="M42" s="42">
        <f t="shared" si="11"/>
        <v>14839.346089085675</v>
      </c>
      <c r="N42" s="42">
        <f t="shared" si="11"/>
        <v>16460.172372083776</v>
      </c>
      <c r="O42" s="42">
        <f t="shared" si="11"/>
        <v>18070.925189973845</v>
      </c>
      <c r="P42" s="42">
        <f t="shared" si="11"/>
        <v>19618.973511984288</v>
      </c>
      <c r="Q42" s="42">
        <f t="shared" si="11"/>
        <v>21120.810639705946</v>
      </c>
      <c r="R42" s="42">
        <f t="shared" si="11"/>
        <v>22576.387504937509</v>
      </c>
      <c r="S42" s="42">
        <f t="shared" si="11"/>
        <v>23999.726700198287</v>
      </c>
      <c r="T42" s="42">
        <f t="shared" si="11"/>
        <v>25392.369282408494</v>
      </c>
      <c r="U42" s="42">
        <f t="shared" si="11"/>
        <v>26741.685144567346</v>
      </c>
      <c r="V42" s="42">
        <f t="shared" si="11"/>
        <v>28060.490715976091</v>
      </c>
      <c r="W42" s="42">
        <f t="shared" si="11"/>
        <v>29343.265537176074</v>
      </c>
      <c r="X42" s="42">
        <f t="shared" si="11"/>
        <v>30617.714804691146</v>
      </c>
      <c r="Y42" s="42"/>
      <c r="AA42" s="54">
        <f t="shared" si="12"/>
        <v>26025.057583987473</v>
      </c>
    </row>
    <row r="43" spans="1:71">
      <c r="A43" s="64">
        <f>INDEX([2]!ResApplic,MATCH($C$39,[2]APPLIC!$B$9:$B$120,0)+1,MATCH($C43,[2]APPLIC!$C$8:$F$8,0)+1)</f>
        <v>0.315</v>
      </c>
      <c r="B43" s="77">
        <f>VLOOKUP($C43,'Units Per Home'!$A$5:$B$8,2,FALSE)</f>
        <v>1.81</v>
      </c>
      <c r="C43" s="9" t="str">
        <f>C25</f>
        <v>Manufactured</v>
      </c>
      <c r="E43" s="42">
        <f t="shared" si="13"/>
        <v>0</v>
      </c>
      <c r="F43" s="42">
        <f t="shared" si="10"/>
        <v>1064.3595425075612</v>
      </c>
      <c r="G43" s="42">
        <f t="shared" si="14"/>
        <v>2133.1784433396124</v>
      </c>
      <c r="H43" s="42">
        <f t="shared" si="11"/>
        <v>3235.0687706458975</v>
      </c>
      <c r="I43" s="42">
        <f t="shared" si="11"/>
        <v>4368.3066760984457</v>
      </c>
      <c r="J43" s="42">
        <f t="shared" si="11"/>
        <v>5452.7940887499044</v>
      </c>
      <c r="K43" s="42">
        <f t="shared" si="11"/>
        <v>6500.649291434821</v>
      </c>
      <c r="L43" s="42">
        <f t="shared" si="11"/>
        <v>7527.056644402227</v>
      </c>
      <c r="M43" s="42">
        <f t="shared" si="11"/>
        <v>8530.0096455557996</v>
      </c>
      <c r="N43" s="42">
        <f t="shared" si="11"/>
        <v>9506.8092910357645</v>
      </c>
      <c r="O43" s="42">
        <f t="shared" si="11"/>
        <v>10452.548269156734</v>
      </c>
      <c r="P43" s="42">
        <f t="shared" si="11"/>
        <v>11363.775564491558</v>
      </c>
      <c r="Q43" s="42">
        <f t="shared" si="11"/>
        <v>12248.340648025604</v>
      </c>
      <c r="R43" s="42">
        <f t="shared" si="11"/>
        <v>13112.96514837979</v>
      </c>
      <c r="S43" s="42">
        <f t="shared" si="11"/>
        <v>13962.043012024966</v>
      </c>
      <c r="T43" s="42">
        <f t="shared" si="11"/>
        <v>14799.260761251317</v>
      </c>
      <c r="U43" s="42">
        <f t="shared" si="11"/>
        <v>15627.554422382054</v>
      </c>
      <c r="V43" s="42">
        <f t="shared" si="11"/>
        <v>16449.613950837451</v>
      </c>
      <c r="W43" s="42">
        <f t="shared" si="11"/>
        <v>17268.154900538586</v>
      </c>
      <c r="X43" s="42">
        <f t="shared" si="11"/>
        <v>18084.746994842219</v>
      </c>
      <c r="Y43" s="42"/>
      <c r="AA43" s="54">
        <f t="shared" si="12"/>
        <v>15372.034945615886</v>
      </c>
    </row>
    <row r="44" spans="1:71">
      <c r="E44" s="42"/>
      <c r="F44" s="42"/>
      <c r="G44" s="42"/>
      <c r="H44" s="42"/>
      <c r="I44" s="42"/>
      <c r="J44" s="42"/>
      <c r="K44" s="42"/>
      <c r="L44" s="42"/>
      <c r="M44" s="42"/>
      <c r="N44" s="42"/>
      <c r="O44" s="42"/>
      <c r="P44" s="42"/>
      <c r="Q44" s="42"/>
      <c r="R44" s="42"/>
      <c r="S44" s="42"/>
      <c r="T44" s="42"/>
      <c r="U44" s="42"/>
      <c r="V44" s="42"/>
      <c r="W44" s="42"/>
      <c r="X44" s="42"/>
      <c r="Y44" s="42"/>
    </row>
    <row r="45" spans="1:71">
      <c r="E45" s="42">
        <f t="shared" ref="E45:X45" si="15">SUM(E40:E43)</f>
        <v>0</v>
      </c>
      <c r="F45" s="42">
        <f t="shared" si="15"/>
        <v>55451.919864823183</v>
      </c>
      <c r="G45" s="42">
        <f t="shared" si="15"/>
        <v>108811.74762476626</v>
      </c>
      <c r="H45" s="42">
        <f t="shared" si="15"/>
        <v>159752.66305618902</v>
      </c>
      <c r="I45" s="42">
        <f t="shared" si="15"/>
        <v>208669.60362751078</v>
      </c>
      <c r="J45" s="42">
        <f t="shared" si="15"/>
        <v>255303.40793497345</v>
      </c>
      <c r="K45" s="42">
        <f t="shared" si="15"/>
        <v>299089.96892244008</v>
      </c>
      <c r="L45" s="42">
        <f t="shared" si="15"/>
        <v>340853.41469465266</v>
      </c>
      <c r="M45" s="42">
        <f t="shared" si="15"/>
        <v>381473.16558309569</v>
      </c>
      <c r="N45" s="42">
        <f t="shared" si="15"/>
        <v>420713.01153257175</v>
      </c>
      <c r="O45" s="42">
        <f t="shared" si="15"/>
        <v>459419.36868585087</v>
      </c>
      <c r="P45" s="42">
        <f t="shared" si="15"/>
        <v>497123.57400137268</v>
      </c>
      <c r="Q45" s="42">
        <f t="shared" si="15"/>
        <v>533408.10195943806</v>
      </c>
      <c r="R45" s="42">
        <f t="shared" si="15"/>
        <v>568123.0659931947</v>
      </c>
      <c r="S45" s="42">
        <f t="shared" si="15"/>
        <v>602128.52176957438</v>
      </c>
      <c r="T45" s="42">
        <f t="shared" si="15"/>
        <v>635852.70310620381</v>
      </c>
      <c r="U45" s="42">
        <f t="shared" si="15"/>
        <v>668971.73795005272</v>
      </c>
      <c r="V45" s="42">
        <f t="shared" si="15"/>
        <v>700921.36751176906</v>
      </c>
      <c r="W45" s="42">
        <f t="shared" si="15"/>
        <v>732585.6241272632</v>
      </c>
      <c r="X45" s="42">
        <f t="shared" si="15"/>
        <v>764109.54765343142</v>
      </c>
      <c r="Y45" s="42"/>
      <c r="AA45" s="54">
        <f>SUM(AA40:AA43)</f>
        <v>649493.11550541676</v>
      </c>
    </row>
    <row r="47" spans="1:71" ht="15">
      <c r="A47" s="63" t="str">
        <f>CONCATENATE("# UNITS ACHIEVABLE BY YEAR FOR MEASURE - ",C48)</f>
        <v># UNITS ACHIEVABLE BY YEAR FOR MEASURE - Aerator - Retro</v>
      </c>
      <c r="E47" s="72" t="s">
        <v>71</v>
      </c>
      <c r="F47"/>
    </row>
    <row r="48" spans="1:71" ht="15">
      <c r="C48" s="72" t="str">
        <f>C30</f>
        <v>Aerator - Retro</v>
      </c>
      <c r="E48" s="76">
        <f>VLOOKUP($C$48,[2]ACHIEV!$B$10:$X$100,MATCH(E$11,$E$11:$Y$11,0)+2,FALSE)</f>
        <v>5.5320496977002724E-3</v>
      </c>
      <c r="F48" s="76">
        <f>VLOOKUP($C$48,[2]ACHIEV!$B$10:$X$100,MATCH(F$11,$E$11:$Y$11,0)+2,FALSE)</f>
        <v>8.6958686465615706E-3</v>
      </c>
      <c r="G48" s="76">
        <f>VLOOKUP($C$48,[2]ACHIEV!$B$10:$X$100,MATCH(G$11,$E$11:$Y$11,0)+2,FALSE)</f>
        <v>1.7391737293123145E-2</v>
      </c>
      <c r="H48" s="76">
        <f>VLOOKUP($C$48,[2]ACHIEV!$B$10:$X$100,MATCH(H$11,$E$11:$Y$11,0)+2,FALSE)</f>
        <v>3.0435540262965514E-2</v>
      </c>
      <c r="I48" s="76">
        <f>VLOOKUP($C$48,[2]ACHIEV!$B$10:$X$100,MATCH(I$11,$E$11:$Y$11,0)+2,FALSE)</f>
        <v>4.7344173742390784E-2</v>
      </c>
      <c r="J48" s="76">
        <f>VLOOKUP($C$48,[2]ACHIEV!$B$10:$X$100,MATCH(J$11,$E$11:$Y$11,0)+2,FALSE)</f>
        <v>6.6281843239347063E-2</v>
      </c>
      <c r="K48" s="76">
        <f>VLOOKUP($C$48,[2]ACHIEV!$B$10:$X$100,MATCH(K$11,$E$11:$Y$11,0)+2,FALSE)</f>
        <v>8.4358709577350838E-2</v>
      </c>
      <c r="L48" s="76">
        <f>VLOOKUP($C$48,[2]ACHIEV!$B$10:$X$100,MATCH(L$11,$E$11:$Y$11,0)+2,FALSE)</f>
        <v>9.8418494506909315E-2</v>
      </c>
      <c r="M48" s="76">
        <f>VLOOKUP($C$48,[2]ACHIEV!$B$10:$X$100,MATCH(M$11,$E$11:$Y$11,0)+2,FALSE)</f>
        <v>0.10598914793051767</v>
      </c>
      <c r="N48" s="76">
        <f>VLOOKUP($C$48,[2]ACHIEV!$B$10:$X$100,MATCH(N$11,$E$11:$Y$11,0)+2,FALSE)</f>
        <v>0.10598914793051767</v>
      </c>
      <c r="O48" s="76">
        <f>VLOOKUP($C$48,[2]ACHIEV!$B$10:$X$100,MATCH(O$11,$E$11:$Y$11,0)+2,FALSE)</f>
        <v>9.8923204735149928E-2</v>
      </c>
      <c r="P48" s="76">
        <f>VLOOKUP($C$48,[2]ACHIEV!$B$10:$X$100,MATCH(P$11,$E$11:$Y$11,0)+2,FALSE)</f>
        <v>8.655780414325609E-2</v>
      </c>
      <c r="Q48" s="76">
        <f>VLOOKUP($C$48,[2]ACHIEV!$B$10:$X$100,MATCH(Q$11,$E$11:$Y$11,0)+2,FALSE)</f>
        <v>7.1282897529740263E-2</v>
      </c>
      <c r="R48" s="76">
        <f>VLOOKUP($C$48,[2]ACHIEV!$B$10:$X$100,MATCH(R$11,$E$11:$Y$11,0)+2,FALSE)</f>
        <v>5.5442253634242489E-2</v>
      </c>
      <c r="S48" s="76">
        <f>VLOOKUP($C$48,[2]ACHIEV!$B$10:$X$100,MATCH(S$11,$E$11:$Y$11,0)+2,FALSE)</f>
        <v>4.0852186888389319E-2</v>
      </c>
      <c r="T48" s="76">
        <f>VLOOKUP($C$48,[2]ACHIEV!$B$10:$X$100,MATCH(T$11,$E$11:$Y$11,0)+2,FALSE)</f>
        <v>2.8596530821872412E-2</v>
      </c>
      <c r="U48" s="76">
        <f>VLOOKUP($C$48,[2]ACHIEV!$B$10:$X$100,MATCH(U$11,$E$11:$Y$11,0)+2,FALSE)</f>
        <v>1.9064353881248275E-2</v>
      </c>
      <c r="V48" s="76">
        <f>VLOOKUP($C$48,[2]ACHIEV!$B$10:$X$100,MATCH(V$11,$E$11:$Y$11,0)+2,FALSE)</f>
        <v>1.2131861560794377E-2</v>
      </c>
      <c r="W48" s="76">
        <f>VLOOKUP($C$48,[2]ACHIEV!$B$10:$X$100,MATCH(W$11,$E$11:$Y$11,0)+2,FALSE)</f>
        <v>7.3846113848314854E-3</v>
      </c>
      <c r="X48" s="76">
        <f>VLOOKUP($C$48,[2]ACHIEV!$B$10:$X$100,MATCH(X$11,$E$11:$Y$11,0)+2,FALSE)</f>
        <v>4.3076899744848296E-3</v>
      </c>
      <c r="Y48" s="76"/>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row>
    <row r="49" spans="1:80">
      <c r="C49" s="9" t="str">
        <f>C13</f>
        <v>Single Family</v>
      </c>
      <c r="E49" s="42">
        <f>(E31+E40)*E$48*$AA$29</f>
        <v>13635.580763967431</v>
      </c>
      <c r="F49" s="42">
        <f t="shared" ref="F49:X49" si="16">(F31+F40)*F$48*$AA$29</f>
        <v>21704.358079346002</v>
      </c>
      <c r="G49" s="42">
        <f t="shared" si="16"/>
        <v>43920.756887657801</v>
      </c>
      <c r="H49" s="42">
        <f t="shared" si="16"/>
        <v>77697.451308652511</v>
      </c>
      <c r="I49" s="42">
        <f t="shared" si="16"/>
        <v>122100.61221951035</v>
      </c>
      <c r="J49" s="42">
        <f t="shared" si="16"/>
        <v>172591.92750624582</v>
      </c>
      <c r="K49" s="42">
        <f t="shared" si="16"/>
        <v>221598.86013317161</v>
      </c>
      <c r="L49" s="42">
        <f t="shared" si="16"/>
        <v>260649.66393899595</v>
      </c>
      <c r="M49" s="42">
        <f t="shared" si="16"/>
        <v>282887.03177715302</v>
      </c>
      <c r="N49" s="42">
        <f t="shared" si="16"/>
        <v>284961.0710845521</v>
      </c>
      <c r="O49" s="42">
        <f t="shared" si="16"/>
        <v>267862.94774880115</v>
      </c>
      <c r="P49" s="42">
        <f t="shared" si="16"/>
        <v>235990.68821554616</v>
      </c>
      <c r="Q49" s="42">
        <f t="shared" si="16"/>
        <v>195602.66154296804</v>
      </c>
      <c r="R49" s="42">
        <f t="shared" si="16"/>
        <v>153050.30028786056</v>
      </c>
      <c r="S49" s="42">
        <f t="shared" si="16"/>
        <v>113432.35761656001</v>
      </c>
      <c r="T49" s="42">
        <f t="shared" si="16"/>
        <v>79862.179662373848</v>
      </c>
      <c r="U49" s="42">
        <f t="shared" si="16"/>
        <v>53542.143142535402</v>
      </c>
      <c r="V49" s="42">
        <f t="shared" si="16"/>
        <v>34253.566861924774</v>
      </c>
      <c r="W49" s="42">
        <f t="shared" si="16"/>
        <v>20959.525263715845</v>
      </c>
      <c r="X49" s="42">
        <f t="shared" si="16"/>
        <v>12290.320615301438</v>
      </c>
      <c r="Y49" s="42"/>
      <c r="AA49" s="42">
        <f>SUM(E49:Y49)</f>
        <v>2668594.0046568397</v>
      </c>
      <c r="AB49" s="9">
        <f>AA49/(AA40+AA31)</f>
        <v>0.93532756383252802</v>
      </c>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row>
    <row r="50" spans="1:80">
      <c r="C50" s="9" t="str">
        <f>C14</f>
        <v>Multifamily - Low Rise</v>
      </c>
      <c r="E50" s="42">
        <f>(E32+E41)*E$48*$AA$29</f>
        <v>1714.9466904154542</v>
      </c>
      <c r="F50" s="42">
        <f t="shared" ref="F50:X52" si="17">(F32+F41)*F$48*$AA$29</f>
        <v>2757.2702192972206</v>
      </c>
      <c r="G50" s="42">
        <f t="shared" si="17"/>
        <v>5635.7945059561534</v>
      </c>
      <c r="H50" s="42">
        <f t="shared" si="17"/>
        <v>10071.713020931738</v>
      </c>
      <c r="I50" s="42">
        <f t="shared" si="17"/>
        <v>15978.155092730411</v>
      </c>
      <c r="J50" s="42">
        <f t="shared" si="17"/>
        <v>22771.469584352362</v>
      </c>
      <c r="K50" s="42">
        <f t="shared" si="17"/>
        <v>29463.162015524627</v>
      </c>
      <c r="L50" s="42">
        <f t="shared" si="17"/>
        <v>34914.82779142863</v>
      </c>
      <c r="M50" s="42">
        <f t="shared" si="17"/>
        <v>38176.782528934113</v>
      </c>
      <c r="N50" s="42">
        <f t="shared" si="17"/>
        <v>38748.061969733593</v>
      </c>
      <c r="O50" s="42">
        <f t="shared" si="17"/>
        <v>36694.531011903884</v>
      </c>
      <c r="P50" s="42">
        <f t="shared" si="17"/>
        <v>32557.074514020998</v>
      </c>
      <c r="Q50" s="42">
        <f t="shared" si="17"/>
        <v>27170.15797408604</v>
      </c>
      <c r="R50" s="42">
        <f t="shared" si="17"/>
        <v>21404.137794493054</v>
      </c>
      <c r="S50" s="42">
        <f t="shared" si="17"/>
        <v>15965.011509591584</v>
      </c>
      <c r="T50" s="42">
        <f t="shared" si="17"/>
        <v>11306.969043696858</v>
      </c>
      <c r="U50" s="42">
        <f t="shared" si="17"/>
        <v>7622.5875984844515</v>
      </c>
      <c r="V50" s="42">
        <f t="shared" si="17"/>
        <v>4903.121093238452</v>
      </c>
      <c r="W50" s="42">
        <f t="shared" si="17"/>
        <v>3015.7777886100312</v>
      </c>
      <c r="X50" s="42">
        <f t="shared" si="17"/>
        <v>1776.9876985360258</v>
      </c>
      <c r="Y50" s="42"/>
      <c r="AA50" s="42">
        <f t="shared" ref="AA50:AA54" si="18">SUM(E50:Y50)</f>
        <v>362648.53944596578</v>
      </c>
      <c r="AB50" s="9">
        <f t="shared" ref="AB50:AB52" si="19">AA50/(AA41+AA32)</f>
        <v>0.87911552731623044</v>
      </c>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row>
    <row r="51" spans="1:80">
      <c r="C51" s="9" t="str">
        <f>C15</f>
        <v>Multifamily - High Rise</v>
      </c>
      <c r="E51" s="42">
        <f t="shared" ref="E51:T52" si="20">(E33+E42)*E$48*$AA$29</f>
        <v>391.00158262846321</v>
      </c>
      <c r="F51" s="42">
        <f t="shared" si="20"/>
        <v>628.41041744180211</v>
      </c>
      <c r="G51" s="42">
        <f t="shared" si="20"/>
        <v>1284.4203123316338</v>
      </c>
      <c r="H51" s="42">
        <f t="shared" si="20"/>
        <v>2296.1133630328986</v>
      </c>
      <c r="I51" s="42">
        <f t="shared" si="20"/>
        <v>3641.8759748512762</v>
      </c>
      <c r="J51" s="42">
        <f t="shared" si="20"/>
        <v>5187.325409298358</v>
      </c>
      <c r="K51" s="42">
        <f t="shared" si="20"/>
        <v>6709.9990622641071</v>
      </c>
      <c r="L51" s="42">
        <f t="shared" si="20"/>
        <v>7950.0981515919702</v>
      </c>
      <c r="M51" s="42">
        <f t="shared" si="20"/>
        <v>8693.1172339746918</v>
      </c>
      <c r="N51" s="42">
        <f t="shared" si="20"/>
        <v>8822.4340752421631</v>
      </c>
      <c r="O51" s="42">
        <f t="shared" si="20"/>
        <v>8354.1559018902371</v>
      </c>
      <c r="P51" s="42">
        <f t="shared" si="20"/>
        <v>7410.2024796986134</v>
      </c>
      <c r="Q51" s="42">
        <f t="shared" si="20"/>
        <v>6182.3583581812736</v>
      </c>
      <c r="R51" s="42">
        <f t="shared" si="20"/>
        <v>4868.4373383589509</v>
      </c>
      <c r="S51" s="42">
        <f t="shared" si="20"/>
        <v>3630.3283319298853</v>
      </c>
      <c r="T51" s="42">
        <f t="shared" si="20"/>
        <v>2570.6349070830665</v>
      </c>
      <c r="U51" s="42">
        <f t="shared" si="17"/>
        <v>1732.664621984934</v>
      </c>
      <c r="V51" s="42">
        <f t="shared" si="17"/>
        <v>1114.3267828471039</v>
      </c>
      <c r="W51" s="42">
        <f t="shared" si="17"/>
        <v>685.19744567401062</v>
      </c>
      <c r="X51" s="42">
        <f t="shared" si="17"/>
        <v>403.7012898929637</v>
      </c>
      <c r="Y51" s="42"/>
      <c r="AA51" s="42">
        <f t="shared" si="18"/>
        <v>82556.803040198414</v>
      </c>
      <c r="AB51" s="9">
        <f t="shared" si="19"/>
        <v>0.88092141810117064</v>
      </c>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row>
    <row r="52" spans="1:80">
      <c r="C52" s="9" t="str">
        <f>C16</f>
        <v>Manufactured</v>
      </c>
      <c r="E52" s="42">
        <f t="shared" si="20"/>
        <v>1533.5394781293453</v>
      </c>
      <c r="F52" s="42">
        <f t="shared" si="17"/>
        <v>2392.6870652545622</v>
      </c>
      <c r="G52" s="42">
        <f t="shared" si="17"/>
        <v>4750.2013801383855</v>
      </c>
      <c r="H52" s="42">
        <f t="shared" si="17"/>
        <v>8253.1089768064467</v>
      </c>
      <c r="I52" s="42">
        <f t="shared" si="17"/>
        <v>12747.963866953585</v>
      </c>
      <c r="J52" s="42">
        <f t="shared" si="17"/>
        <v>17720.146878539381</v>
      </c>
      <c r="K52" s="42">
        <f t="shared" si="17"/>
        <v>22391.206402671705</v>
      </c>
      <c r="L52" s="42">
        <f t="shared" si="17"/>
        <v>25935.573802442872</v>
      </c>
      <c r="M52" s="42">
        <f t="shared" si="17"/>
        <v>27729.727660628683</v>
      </c>
      <c r="N52" s="42">
        <f t="shared" si="17"/>
        <v>27529.593757823295</v>
      </c>
      <c r="O52" s="42">
        <f t="shared" si="17"/>
        <v>25507.75814098374</v>
      </c>
      <c r="P52" s="42">
        <f t="shared" si="17"/>
        <v>22156.023888989315</v>
      </c>
      <c r="Q52" s="42">
        <f t="shared" si="17"/>
        <v>18112.095684841661</v>
      </c>
      <c r="R52" s="42">
        <f t="shared" si="17"/>
        <v>13983.550873653425</v>
      </c>
      <c r="S52" s="42">
        <f t="shared" si="17"/>
        <v>10227.9037822887</v>
      </c>
      <c r="T52" s="42">
        <f t="shared" si="17"/>
        <v>7106.9960214381808</v>
      </c>
      <c r="U52" s="42">
        <f t="shared" si="17"/>
        <v>4703.3476123637711</v>
      </c>
      <c r="V52" s="42">
        <f t="shared" si="17"/>
        <v>2971.252199690703</v>
      </c>
      <c r="W52" s="42">
        <f t="shared" si="17"/>
        <v>1795.5013150055056</v>
      </c>
      <c r="X52" s="42">
        <f t="shared" si="17"/>
        <v>1039.848174725498</v>
      </c>
      <c r="Y52" s="42"/>
      <c r="AA52" s="42">
        <f t="shared" si="18"/>
        <v>258588.02696336873</v>
      </c>
      <c r="AB52" s="9">
        <f t="shared" si="19"/>
        <v>1.0712304722427111</v>
      </c>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row>
    <row r="53" spans="1:80">
      <c r="E53" s="42"/>
      <c r="F53" s="42"/>
      <c r="G53" s="42"/>
      <c r="H53" s="42"/>
      <c r="I53" s="42"/>
      <c r="J53" s="42"/>
      <c r="K53" s="42"/>
      <c r="L53" s="42"/>
      <c r="M53" s="42"/>
      <c r="N53" s="42"/>
      <c r="O53" s="42"/>
      <c r="P53" s="42"/>
      <c r="Q53" s="42"/>
      <c r="R53" s="42"/>
      <c r="S53" s="42"/>
      <c r="T53" s="42"/>
      <c r="U53" s="42"/>
      <c r="V53" s="42"/>
      <c r="W53" s="42"/>
      <c r="X53" s="42"/>
      <c r="Y53" s="42"/>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row>
    <row r="54" spans="1:80">
      <c r="C54" s="9" t="s">
        <v>72</v>
      </c>
      <c r="E54" s="42">
        <f t="shared" ref="E54:X54" si="21">SUM(E49:E52)</f>
        <v>17275.068515140694</v>
      </c>
      <c r="F54" s="42">
        <f t="shared" si="21"/>
        <v>27482.725781339588</v>
      </c>
      <c r="G54" s="42">
        <f t="shared" si="21"/>
        <v>55591.173086083974</v>
      </c>
      <c r="H54" s="42">
        <f t="shared" si="21"/>
        <v>98318.386669423591</v>
      </c>
      <c r="I54" s="42">
        <f t="shared" si="21"/>
        <v>154468.60715404563</v>
      </c>
      <c r="J54" s="42">
        <f t="shared" si="21"/>
        <v>218270.86937843592</v>
      </c>
      <c r="K54" s="42">
        <f t="shared" si="21"/>
        <v>280163.22761363204</v>
      </c>
      <c r="L54" s="42">
        <f t="shared" si="21"/>
        <v>329450.1636844594</v>
      </c>
      <c r="M54" s="42">
        <f t="shared" si="21"/>
        <v>357486.65920069051</v>
      </c>
      <c r="N54" s="42">
        <f t="shared" si="21"/>
        <v>360061.16088735108</v>
      </c>
      <c r="O54" s="42">
        <f t="shared" si="21"/>
        <v>338419.39280357904</v>
      </c>
      <c r="P54" s="42">
        <f t="shared" si="21"/>
        <v>298113.98909825512</v>
      </c>
      <c r="Q54" s="42">
        <f t="shared" si="21"/>
        <v>247067.27356007701</v>
      </c>
      <c r="R54" s="42">
        <f t="shared" si="21"/>
        <v>193306.42629436601</v>
      </c>
      <c r="S54" s="42">
        <f t="shared" si="21"/>
        <v>143255.60124037016</v>
      </c>
      <c r="T54" s="42">
        <f t="shared" si="21"/>
        <v>100846.77963459195</v>
      </c>
      <c r="U54" s="42">
        <f t="shared" si="21"/>
        <v>67600.742975368557</v>
      </c>
      <c r="V54" s="42">
        <f t="shared" si="21"/>
        <v>43242.266937701032</v>
      </c>
      <c r="W54" s="42">
        <f t="shared" si="21"/>
        <v>26456.00181300539</v>
      </c>
      <c r="X54" s="42">
        <f t="shared" si="21"/>
        <v>15510.857778455926</v>
      </c>
      <c r="Y54" s="42"/>
      <c r="AA54" s="42">
        <f t="shared" si="18"/>
        <v>3372387.3741063722</v>
      </c>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row>
    <row r="55" spans="1:80">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row>
    <row r="56" spans="1:80">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row>
    <row r="57" spans="1:80">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row>
    <row r="58" spans="1:80" ht="15">
      <c r="A58" s="63" t="s">
        <v>73</v>
      </c>
      <c r="C58" s="72" t="str">
        <f>C8</f>
        <v>Aerator</v>
      </c>
      <c r="D58" s="72"/>
      <c r="E58" s="9" t="s">
        <v>277</v>
      </c>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ht="15">
      <c r="A59" s="72" t="s">
        <v>74</v>
      </c>
      <c r="B59" s="72" t="s">
        <v>280</v>
      </c>
      <c r="C59" s="72">
        <v>1</v>
      </c>
      <c r="D59" s="72"/>
      <c r="E59" s="66">
        <f t="shared" ref="E59:X59" si="22">E11</f>
        <v>2016</v>
      </c>
      <c r="F59" s="67">
        <f t="shared" si="22"/>
        <v>2017</v>
      </c>
      <c r="G59" s="67">
        <f t="shared" si="22"/>
        <v>2018</v>
      </c>
      <c r="H59" s="67">
        <f t="shared" si="22"/>
        <v>2019</v>
      </c>
      <c r="I59" s="67">
        <f t="shared" si="22"/>
        <v>2020</v>
      </c>
      <c r="J59" s="67">
        <f t="shared" si="22"/>
        <v>2021</v>
      </c>
      <c r="K59" s="67">
        <f t="shared" si="22"/>
        <v>2022</v>
      </c>
      <c r="L59" s="67">
        <f t="shared" si="22"/>
        <v>2023</v>
      </c>
      <c r="M59" s="67">
        <f t="shared" si="22"/>
        <v>2024</v>
      </c>
      <c r="N59" s="67">
        <f t="shared" si="22"/>
        <v>2025</v>
      </c>
      <c r="O59" s="67">
        <f t="shared" si="22"/>
        <v>2026</v>
      </c>
      <c r="P59" s="67">
        <f t="shared" si="22"/>
        <v>2027</v>
      </c>
      <c r="Q59" s="67">
        <f t="shared" si="22"/>
        <v>2028</v>
      </c>
      <c r="R59" s="67">
        <f t="shared" si="22"/>
        <v>2029</v>
      </c>
      <c r="S59" s="67">
        <f t="shared" si="22"/>
        <v>2030</v>
      </c>
      <c r="T59" s="67">
        <f t="shared" si="22"/>
        <v>2031</v>
      </c>
      <c r="U59" s="67">
        <f t="shared" si="22"/>
        <v>2032</v>
      </c>
      <c r="V59" s="67">
        <f t="shared" si="22"/>
        <v>2033</v>
      </c>
      <c r="W59" s="67">
        <f t="shared" si="22"/>
        <v>2034</v>
      </c>
      <c r="X59" s="67">
        <f t="shared" si="22"/>
        <v>2035</v>
      </c>
      <c r="Y59" s="68" t="s">
        <v>70</v>
      </c>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ht="15">
      <c r="A60" s="72" t="s">
        <v>46</v>
      </c>
      <c r="B60" s="72" t="s">
        <v>75</v>
      </c>
      <c r="C60" s="72" t="s">
        <v>76</v>
      </c>
      <c r="D60" s="72" t="s">
        <v>77</v>
      </c>
      <c r="E60" s="69" t="str">
        <f>CONCATENATE("aMW_",E$11)</f>
        <v>aMW_2016</v>
      </c>
      <c r="F60" s="70" t="str">
        <f t="shared" ref="F60:X60" si="23">CONCATENATE("aMW_",F$11)</f>
        <v>aMW_2017</v>
      </c>
      <c r="G60" s="70" t="str">
        <f t="shared" si="23"/>
        <v>aMW_2018</v>
      </c>
      <c r="H60" s="70" t="str">
        <f t="shared" si="23"/>
        <v>aMW_2019</v>
      </c>
      <c r="I60" s="70" t="str">
        <f t="shared" si="23"/>
        <v>aMW_2020</v>
      </c>
      <c r="J60" s="70" t="str">
        <f t="shared" si="23"/>
        <v>aMW_2021</v>
      </c>
      <c r="K60" s="70" t="str">
        <f t="shared" si="23"/>
        <v>aMW_2022</v>
      </c>
      <c r="L60" s="70" t="str">
        <f t="shared" si="23"/>
        <v>aMW_2023</v>
      </c>
      <c r="M60" s="70" t="str">
        <f t="shared" si="23"/>
        <v>aMW_2024</v>
      </c>
      <c r="N60" s="70" t="str">
        <f t="shared" si="23"/>
        <v>aMW_2025</v>
      </c>
      <c r="O60" s="70" t="str">
        <f t="shared" si="23"/>
        <v>aMW_2026</v>
      </c>
      <c r="P60" s="70" t="str">
        <f t="shared" si="23"/>
        <v>aMW_2027</v>
      </c>
      <c r="Q60" s="70" t="str">
        <f t="shared" si="23"/>
        <v>aMW_2028</v>
      </c>
      <c r="R60" s="70" t="str">
        <f t="shared" si="23"/>
        <v>aMW_2029</v>
      </c>
      <c r="S60" s="70" t="str">
        <f t="shared" si="23"/>
        <v>aMW_2030</v>
      </c>
      <c r="T60" s="70" t="str">
        <f t="shared" si="23"/>
        <v>aMW_2031</v>
      </c>
      <c r="U60" s="70" t="str">
        <f t="shared" si="23"/>
        <v>aMW_2032</v>
      </c>
      <c r="V60" s="70" t="str">
        <f t="shared" si="23"/>
        <v>aMW_2033</v>
      </c>
      <c r="W60" s="70" t="str">
        <f t="shared" si="23"/>
        <v>aMW_2034</v>
      </c>
      <c r="X60" s="70" t="str">
        <f t="shared" si="23"/>
        <v>aMW_2035</v>
      </c>
      <c r="Y60" s="71" t="s">
        <v>70</v>
      </c>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77">
        <f>VLOOKUP(CONCATENATE($C61," ",$D61),MeasureOutput,3,FALSE)</f>
        <v>72.337106520484056</v>
      </c>
      <c r="B61" s="77">
        <f>VLOOKUP(CONCATENATE($C61," ",$D61),MeasureOutput,11,FALSE)</f>
        <v>-310.57246291587876</v>
      </c>
      <c r="C61" s="9" t="str">
        <f>C13</f>
        <v>Single Family</v>
      </c>
      <c r="D61" s="9" t="s">
        <v>339</v>
      </c>
      <c r="E61" s="55">
        <f>VLOOKUP($C61,$C$49:$Y$52,E$30,FALSE)*$C$59*$A61/8760/1000*VLOOKUP(RIGHT($D61,4),'Units Per Home'!$A$15:$B$16,2,FALSE)</f>
        <v>9.9086237809219463E-2</v>
      </c>
      <c r="F61" s="55">
        <f>VLOOKUP($C61,$C$49:$Y$52,F$30,FALSE)*$C$59*$A61/8760/1000*VLOOKUP(RIGHT($D61,4),'Units Per Home'!$A$15:$B$16,2,FALSE)</f>
        <v>0.15771995512135331</v>
      </c>
      <c r="G61" s="55">
        <f>VLOOKUP($C61,$C$49:$Y$52,G$30,FALSE)*$C$59*$A61/8760/1000*VLOOKUP(RIGHT($D61,4),'Units Per Home'!$A$15:$B$16,2,FALSE)</f>
        <v>0.31916077775224333</v>
      </c>
      <c r="H61" s="55">
        <f>VLOOKUP($C61,$C$49:$Y$52,H$30,FALSE)*$C$59*$A61/8760/1000*VLOOKUP(RIGHT($D61,4),'Units Per Home'!$A$15:$B$16,2,FALSE)</f>
        <v>0.56460727788607612</v>
      </c>
      <c r="I61" s="55">
        <f>VLOOKUP($C61,$C$49:$Y$52,I$30,FALSE)*$C$59*$A61/8760/1000*VLOOKUP(RIGHT($D61,4),'Units Per Home'!$A$15:$B$16,2,FALSE)</f>
        <v>0.88727356087424125</v>
      </c>
      <c r="J61" s="55">
        <f>VLOOKUP($C61,$C$49:$Y$52,J$30,FALSE)*$C$59*$A61/8760/1000*VLOOKUP(RIGHT($D61,4),'Units Per Home'!$A$15:$B$16,2,FALSE)</f>
        <v>1.2541808866716404</v>
      </c>
      <c r="K61" s="55">
        <f>VLOOKUP($C61,$C$49:$Y$52,K$30,FALSE)*$C$59*$A61/8760/1000*VLOOKUP(RIGHT($D61,4),'Units Per Home'!$A$15:$B$16,2,FALSE)</f>
        <v>1.6103015876984648</v>
      </c>
      <c r="L61" s="55">
        <f>VLOOKUP($C61,$C$49:$Y$52,L$30,FALSE)*$C$59*$A61/8760/1000*VLOOKUP(RIGHT($D61,4),'Units Per Home'!$A$15:$B$16,2,FALSE)</f>
        <v>1.8940736762896688</v>
      </c>
      <c r="M61" s="55">
        <f>VLOOKUP($C61,$C$49:$Y$52,M$30,FALSE)*$C$59*$A61/8760/1000*VLOOKUP(RIGHT($D61,4),'Units Per Home'!$A$15:$B$16,2,FALSE)</f>
        <v>2.0556668754356369</v>
      </c>
      <c r="N61" s="55">
        <f>VLOOKUP($C61,$C$49:$Y$52,N$30,FALSE)*$C$59*$A61/8760/1000*VLOOKUP(RIGHT($D61,4),'Units Per Home'!$A$15:$B$16,2,FALSE)</f>
        <v>2.0707383825167054</v>
      </c>
      <c r="O61" s="55">
        <f>VLOOKUP($C61,$C$49:$Y$52,O$30,FALSE)*$C$59*$A61/8760/1000*VLOOKUP(RIGHT($D61,4),'Units Per Home'!$A$15:$B$16,2,FALSE)</f>
        <v>1.9464907436178511</v>
      </c>
      <c r="P61" s="55">
        <f>VLOOKUP($C61,$C$49:$Y$52,P$30,FALSE)*$C$59*$A61/8760/1000*VLOOKUP(RIGHT($D61,4),'Units Per Home'!$A$15:$B$16,2,FALSE)</f>
        <v>1.7148832791250535</v>
      </c>
      <c r="Q61" s="55">
        <f>VLOOKUP($C61,$C$49:$Y$52,Q$30,FALSE)*$C$59*$A61/8760/1000*VLOOKUP(RIGHT($D61,4),'Units Per Home'!$A$15:$B$16,2,FALSE)</f>
        <v>1.421393937908334</v>
      </c>
      <c r="R61" s="55">
        <f>VLOOKUP($C61,$C$49:$Y$52,R$30,FALSE)*$C$59*$A61/8760/1000*VLOOKUP(RIGHT($D61,4),'Units Per Home'!$A$15:$B$16,2,FALSE)</f>
        <v>1.112176937206077</v>
      </c>
      <c r="S61" s="55">
        <f>VLOOKUP($C61,$C$49:$Y$52,S$30,FALSE)*$C$59*$A61/8760/1000*VLOOKUP(RIGHT($D61,4),'Units Per Home'!$A$15:$B$16,2,FALSE)</f>
        <v>0.82428359720151756</v>
      </c>
      <c r="T61" s="55">
        <f>VLOOKUP($C61,$C$49:$Y$52,T$30,FALSE)*$C$59*$A61/8760/1000*VLOOKUP(RIGHT($D61,4),'Units Per Home'!$A$15:$B$16,2,FALSE)</f>
        <v>0.58033779880499448</v>
      </c>
      <c r="U61" s="55">
        <f>VLOOKUP($C61,$C$49:$Y$52,U$30,FALSE)*$C$59*$A61/8760/1000*VLOOKUP(RIGHT($D61,4),'Units Per Home'!$A$15:$B$16,2,FALSE)</f>
        <v>0.38907690255892663</v>
      </c>
      <c r="V61" s="55">
        <f>VLOOKUP($C61,$C$49:$Y$52,V$30,FALSE)*$C$59*$A61/8760/1000*VLOOKUP(RIGHT($D61,4),'Units Per Home'!$A$15:$B$16,2,FALSE)</f>
        <v>0.24891180879245048</v>
      </c>
      <c r="W61" s="55">
        <f>VLOOKUP($C61,$C$49:$Y$52,W$30,FALSE)*$C$59*$A61/8760/1000*VLOOKUP(RIGHT($D61,4),'Units Per Home'!$A$15:$B$16,2,FALSE)</f>
        <v>0.15230744774266744</v>
      </c>
      <c r="X61" s="55">
        <f>VLOOKUP($C61,$C$49:$Y$52,X$30,FALSE)*$C$59*$A61/8760/1000*VLOOKUP(RIGHT($D61,4),'Units Per Home'!$A$15:$B$16,2,FALSE)</f>
        <v>8.9310580335338577E-2</v>
      </c>
      <c r="Y61" s="55">
        <f>(VLOOKUP($C61,$C$31:$AA$34,X$30+3,FALSE)+VLOOKUP($C61,$C$40:$AA$43,$X$39+3,FALSE))*$C$59*$A61/8760/1000*VLOOKUP(RIGHT($D61,4),'Units Per Home'!$A$15:$B$16,2,FALSE)</f>
        <v>20.732824521806378</v>
      </c>
      <c r="AA61" s="36">
        <f>SUM(E61:X61)</f>
        <v>19.391982251348463</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77">
        <f>VLOOKUP(CONCATENATE($C62," ",$D62),MeasureOutput,3,FALSE)</f>
        <v>87.60005099091866</v>
      </c>
      <c r="B62" s="77">
        <f>VLOOKUP(CONCATENATE($C62," ",$D62),MeasureOutput,11,FALSE)</f>
        <v>-175.02096174204908</v>
      </c>
      <c r="C62" s="9" t="str">
        <f t="shared" ref="C62:C64" si="24">C14</f>
        <v>Multifamily - Low Rise</v>
      </c>
      <c r="D62" s="9" t="s">
        <v>339</v>
      </c>
      <c r="E62" s="36">
        <f t="shared" ref="E62:T64" si="25">VLOOKUP($C62,$C$49:$Y$52,E$30,FALSE)*$C$59*$A62/8760/1000</f>
        <v>1.7149476886655361E-2</v>
      </c>
      <c r="F62" s="36">
        <f t="shared" si="25"/>
        <v>2.7572718242714383E-2</v>
      </c>
      <c r="G62" s="36">
        <f t="shared" si="25"/>
        <v>5.6357977864851402E-2</v>
      </c>
      <c r="H62" s="36">
        <f t="shared" si="25"/>
        <v>0.10071718883556162</v>
      </c>
      <c r="I62" s="36">
        <f t="shared" si="25"/>
        <v>0.15978164393424552</v>
      </c>
      <c r="J62" s="36">
        <f t="shared" si="25"/>
        <v>0.22771482839354115</v>
      </c>
      <c r="K62" s="36">
        <f t="shared" si="25"/>
        <v>0.29463179165680997</v>
      </c>
      <c r="L62" s="36">
        <f t="shared" si="25"/>
        <v>0.34914848114934838</v>
      </c>
      <c r="M62" s="36">
        <f t="shared" si="25"/>
        <v>0.381768047511854</v>
      </c>
      <c r="N62" s="36">
        <f t="shared" si="25"/>
        <v>0.38748084524519849</v>
      </c>
      <c r="O62" s="36">
        <f t="shared" si="25"/>
        <v>0.36694552371354183</v>
      </c>
      <c r="P62" s="36">
        <f t="shared" si="25"/>
        <v>0.32557093465107056</v>
      </c>
      <c r="Q62" s="36">
        <f>VLOOKUP($C62,$C$49:$Y$52,Q$30,FALSE)*$C$59*$A62/8760/1000</f>
        <v>0.27170173789512014</v>
      </c>
      <c r="R62" s="36">
        <f t="shared" si="25"/>
        <v>0.2140415025358722</v>
      </c>
      <c r="S62" s="36">
        <f t="shared" si="25"/>
        <v>0.15965020802635002</v>
      </c>
      <c r="T62" s="36">
        <f t="shared" si="25"/>
        <v>0.11306975625349126</v>
      </c>
      <c r="U62" s="36">
        <f t="shared" ref="U62:X64" si="26">VLOOKUP($C62,$C$49:$Y$52,U$30,FALSE)*$C$59*$A62/8760/1000</f>
        <v>7.6225920355020793E-2</v>
      </c>
      <c r="V62" s="36">
        <f t="shared" si="26"/>
        <v>4.9031239472869546E-2</v>
      </c>
      <c r="W62" s="36">
        <f t="shared" si="26"/>
        <v>3.0157795440584324E-2</v>
      </c>
      <c r="X62" s="36">
        <f t="shared" si="26"/>
        <v>1.7769887328994413E-2</v>
      </c>
      <c r="Y62" s="55">
        <f>(VLOOKUP($C62,$C$31:$AA$34,X$30+3,FALSE)+VLOOKUP($C62,$C$40:$AA$43,$X$39+3,FALSE))*$C$59*$A62/8760/1000</f>
        <v>4.1251546499976639</v>
      </c>
      <c r="AA62" s="36">
        <f t="shared" ref="AA62:AA65" si="27">SUM(E62:X62)</f>
        <v>3.6264875053936954</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77">
        <f>VLOOKUP(CONCATENATE($C63," ",$D63),MeasureOutput,3,FALSE)</f>
        <v>87.60005099091866</v>
      </c>
      <c r="B63" s="77">
        <f>VLOOKUP(CONCATENATE($C63," ",$D63),MeasureOutput,11,FALSE)</f>
        <v>-175.02096174204908</v>
      </c>
      <c r="C63" s="9" t="str">
        <f t="shared" si="24"/>
        <v>Multifamily - High Rise</v>
      </c>
      <c r="D63" s="9" t="s">
        <v>339</v>
      </c>
      <c r="E63" s="36">
        <f t="shared" si="25"/>
        <v>3.9100181022583645E-3</v>
      </c>
      <c r="F63" s="36">
        <f t="shared" si="25"/>
        <v>6.284107832320359E-3</v>
      </c>
      <c r="G63" s="36">
        <f t="shared" si="25"/>
        <v>1.2844210599774291E-2</v>
      </c>
      <c r="H63" s="36">
        <f t="shared" si="25"/>
        <v>2.2961146995731922E-2</v>
      </c>
      <c r="I63" s="36">
        <f t="shared" si="25"/>
        <v>3.6418780947439881E-2</v>
      </c>
      <c r="J63" s="36">
        <f t="shared" si="25"/>
        <v>5.1873284287788146E-2</v>
      </c>
      <c r="K63" s="36">
        <f t="shared" si="25"/>
        <v>6.7100029680747963E-2</v>
      </c>
      <c r="L63" s="36">
        <f t="shared" si="25"/>
        <v>7.9501027792495974E-2</v>
      </c>
      <c r="M63" s="36">
        <f t="shared" si="25"/>
        <v>8.6931222941348946E-2</v>
      </c>
      <c r="N63" s="36">
        <f t="shared" si="25"/>
        <v>8.8224392106761612E-2</v>
      </c>
      <c r="O63" s="36">
        <f t="shared" si="25"/>
        <v>8.3541607647450791E-2</v>
      </c>
      <c r="P63" s="36">
        <f t="shared" si="25"/>
        <v>7.4102067930893897E-2</v>
      </c>
      <c r="Q63" s="36">
        <f t="shared" si="25"/>
        <v>6.1823619568585814E-2</v>
      </c>
      <c r="R63" s="36">
        <f t="shared" si="25"/>
        <v>4.8684401722184523E-2</v>
      </c>
      <c r="S63" s="36">
        <f t="shared" si="25"/>
        <v>3.6303304451008517E-2</v>
      </c>
      <c r="T63" s="36">
        <f t="shared" si="25"/>
        <v>2.5706364034190878E-2</v>
      </c>
      <c r="U63" s="36">
        <f t="shared" si="26"/>
        <v>1.7326656305484137E-2</v>
      </c>
      <c r="V63" s="36">
        <f t="shared" si="26"/>
        <v>1.1143274314834776E-2</v>
      </c>
      <c r="W63" s="36">
        <f t="shared" si="26"/>
        <v>6.8519784451929848E-3</v>
      </c>
      <c r="X63" s="36">
        <f t="shared" si="26"/>
        <v>4.0370152488268555E-3</v>
      </c>
      <c r="Y63" s="55">
        <f t="shared" ref="Y63:Y64" si="28">(VLOOKUP($C63,$C$31:$AA$34,X$30+3,FALSE)+VLOOKUP($C63,$C$40:$AA$43,$X$39+3,FALSE))*$C$59*$A63/8760/1000</f>
        <v>0.93716476179548092</v>
      </c>
      <c r="AA63" s="36">
        <f t="shared" si="27"/>
        <v>0.82556851095532069</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64" s="77">
        <f>VLOOKUP(CONCATENATE($C64," ",$D64),MeasureOutput,3,FALSE)</f>
        <v>107.50499261958046</v>
      </c>
      <c r="B64" s="77">
        <f>VLOOKUP(CONCATENATE($C64," ",$D64),MeasureOutput,11,FALSE)</f>
        <v>-188.61824926443111</v>
      </c>
      <c r="C64" s="9" t="str">
        <f t="shared" si="24"/>
        <v>Manufactured</v>
      </c>
      <c r="D64" s="9" t="s">
        <v>339</v>
      </c>
      <c r="E64" s="36">
        <f t="shared" si="25"/>
        <v>1.8819994323987503E-2</v>
      </c>
      <c r="F64" s="36">
        <f t="shared" si="25"/>
        <v>2.9363676403100149E-2</v>
      </c>
      <c r="G64" s="36">
        <f t="shared" si="25"/>
        <v>5.8295703688732659E-2</v>
      </c>
      <c r="H64" s="36">
        <f t="shared" si="25"/>
        <v>0.1012842944794715</v>
      </c>
      <c r="I64" s="36">
        <f t="shared" si="25"/>
        <v>0.15644631979811913</v>
      </c>
      <c r="J64" s="36">
        <f t="shared" si="25"/>
        <v>0.21746623965699291</v>
      </c>
      <c r="K64" s="36">
        <f t="shared" si="25"/>
        <v>0.27479069395693201</v>
      </c>
      <c r="L64" s="36">
        <f t="shared" si="25"/>
        <v>0.3182880902073294</v>
      </c>
      <c r="M64" s="36">
        <f t="shared" si="25"/>
        <v>0.34030641181493865</v>
      </c>
      <c r="N64" s="36">
        <f t="shared" si="25"/>
        <v>0.33785031663868059</v>
      </c>
      <c r="O64" s="36">
        <f t="shared" si="25"/>
        <v>0.31303782542106168</v>
      </c>
      <c r="P64" s="36">
        <f t="shared" si="25"/>
        <v>0.2719044731352791</v>
      </c>
      <c r="Q64" s="36">
        <f t="shared" si="25"/>
        <v>0.22227633709178513</v>
      </c>
      <c r="R64" s="36">
        <f t="shared" si="25"/>
        <v>0.17160976409447939</v>
      </c>
      <c r="S64" s="36">
        <f t="shared" si="25"/>
        <v>0.12551948865624724</v>
      </c>
      <c r="T64" s="36">
        <f t="shared" si="25"/>
        <v>8.7218898953436E-2</v>
      </c>
      <c r="U64" s="36">
        <f t="shared" si="26"/>
        <v>5.7720702095261249E-2</v>
      </c>
      <c r="V64" s="36">
        <f t="shared" si="26"/>
        <v>3.6463977830897408E-2</v>
      </c>
      <c r="W64" s="36">
        <f t="shared" si="26"/>
        <v>2.2034857947273275E-2</v>
      </c>
      <c r="X64" s="36">
        <f t="shared" si="26"/>
        <v>1.2761286569560375E-2</v>
      </c>
      <c r="Y64" s="55">
        <f t="shared" si="28"/>
        <v>2.9624431296466587</v>
      </c>
      <c r="AA64" s="36">
        <f t="shared" si="27"/>
        <v>3.1734593527635653</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A65" s="77">
        <f>VLOOKUP(CONCATENATE($C65," ",$D65),MeasureOutput,3,FALSE)</f>
        <v>68.226290676354807</v>
      </c>
      <c r="B65" s="77">
        <f>VLOOKUP(CONCATENATE($C65," ",$D65),MeasureOutput,11,FALSE)</f>
        <v>-311.43735778033295</v>
      </c>
      <c r="C65" s="9" t="s">
        <v>48</v>
      </c>
      <c r="D65" s="9" t="s">
        <v>285</v>
      </c>
      <c r="E65" s="55">
        <f>VLOOKUP($C65,$C$49:$Y$52,E$30,FALSE)*$C$59*$A65/8760/1000*VLOOKUP(RIGHT($D65,4),'Units Per Home'!$A$15:$B$16,2,FALSE)</f>
        <v>1.2743905434840467E-2</v>
      </c>
      <c r="F65" s="55">
        <f>VLOOKUP($C65,$C$49:$Y$52,F$30,FALSE)*$C$59*$A65/8760/1000*VLOOKUP(RIGHT($D65,4),'Units Per Home'!$A$15:$B$16,2,FALSE)</f>
        <v>2.0285038948837677E-2</v>
      </c>
      <c r="G65" s="55">
        <f>VLOOKUP($C65,$C$49:$Y$52,G$30,FALSE)*$C$59*$A65/8760/1000*VLOOKUP(RIGHT($D65,4),'Units Per Home'!$A$15:$B$16,2,FALSE)</f>
        <v>4.104863460469662E-2</v>
      </c>
      <c r="H65" s="55">
        <f>VLOOKUP($C65,$C$49:$Y$52,H$30,FALSE)*$C$59*$A65/8760/1000*VLOOKUP(RIGHT($D65,4),'Units Per Home'!$A$15:$B$16,2,FALSE)</f>
        <v>7.2616560243781519E-2</v>
      </c>
      <c r="I65" s="55">
        <f>VLOOKUP($C65,$C$49:$Y$52,I$30,FALSE)*$C$59*$A65/8760/1000*VLOOKUP(RIGHT($D65,4),'Units Per Home'!$A$15:$B$16,2,FALSE)</f>
        <v>0.11411605289108484</v>
      </c>
      <c r="J65" s="55">
        <f>VLOOKUP($C65,$C$49:$Y$52,J$30,FALSE)*$C$59*$A65/8760/1000*VLOOKUP(RIGHT($D65,4),'Units Per Home'!$A$15:$B$16,2,FALSE)</f>
        <v>0.16130557554018468</v>
      </c>
      <c r="K65" s="55">
        <f>VLOOKUP($C65,$C$49:$Y$52,K$30,FALSE)*$C$59*$A65/8760/1000*VLOOKUP(RIGHT($D65,4),'Units Per Home'!$A$15:$B$16,2,FALSE)</f>
        <v>0.20710778417800901</v>
      </c>
      <c r="L65" s="55">
        <f>VLOOKUP($C65,$C$49:$Y$52,L$30,FALSE)*$C$59*$A65/8760/1000*VLOOKUP(RIGHT($D65,4),'Units Per Home'!$A$15:$B$16,2,FALSE)</f>
        <v>0.24360492789857716</v>
      </c>
      <c r="M65" s="55">
        <f>VLOOKUP($C65,$C$49:$Y$52,M$30,FALSE)*$C$59*$A65/8760/1000*VLOOKUP(RIGHT($D65,4),'Units Per Home'!$A$15:$B$16,2,FALSE)</f>
        <v>0.2643881213506748</v>
      </c>
      <c r="N65" s="55">
        <f>VLOOKUP($C65,$C$49:$Y$52,N$30,FALSE)*$C$59*$A65/8760/1000*VLOOKUP(RIGHT($D65,4),'Units Per Home'!$A$15:$B$16,2,FALSE)</f>
        <v>0.26632653242821996</v>
      </c>
      <c r="O65" s="55">
        <f>VLOOKUP($C65,$C$49:$Y$52,O$30,FALSE)*$C$59*$A65/8760/1000*VLOOKUP(RIGHT($D65,4),'Units Per Home'!$A$15:$B$16,2,FALSE)</f>
        <v>0.25034651143198555</v>
      </c>
      <c r="P65" s="55">
        <f>VLOOKUP($C65,$C$49:$Y$52,P$30,FALSE)*$C$59*$A65/8760/1000*VLOOKUP(RIGHT($D65,4),'Units Per Home'!$A$15:$B$16,2,FALSE)</f>
        <v>0.22055848343982015</v>
      </c>
      <c r="Q65" s="55">
        <f>VLOOKUP($C65,$C$49:$Y$52,Q$30,FALSE)*$C$59*$A65/8760/1000*VLOOKUP(RIGHT($D65,4),'Units Per Home'!$A$15:$B$16,2,FALSE)</f>
        <v>0.18281156223971487</v>
      </c>
      <c r="R65" s="55">
        <f>VLOOKUP($C65,$C$49:$Y$52,R$30,FALSE)*$C$59*$A65/8760/1000*VLOOKUP(RIGHT($D65,4),'Units Per Home'!$A$15:$B$16,2,FALSE)</f>
        <v>0.14304183939099954</v>
      </c>
      <c r="S65" s="55">
        <f>VLOOKUP($C65,$C$49:$Y$52,S$30,FALSE)*$C$59*$A65/8760/1000*VLOOKUP(RIGHT($D65,4),'Units Per Home'!$A$15:$B$16,2,FALSE)</f>
        <v>0.10601464387468017</v>
      </c>
      <c r="T65" s="55">
        <f>VLOOKUP($C65,$C$49:$Y$52,T$30,FALSE)*$C$59*$A65/8760/1000*VLOOKUP(RIGHT($D65,4),'Units Per Home'!$A$15:$B$16,2,FALSE)</f>
        <v>7.4639729913594369E-2</v>
      </c>
      <c r="U65" s="55">
        <f>VLOOKUP($C65,$C$49:$Y$52,U$30,FALSE)*$C$59*$A65/8760/1000*VLOOKUP(RIGHT($D65,4),'Units Per Home'!$A$15:$B$16,2,FALSE)</f>
        <v>5.0040846869556406E-2</v>
      </c>
      <c r="V65" s="55">
        <f>VLOOKUP($C65,$C$49:$Y$52,V$30,FALSE)*$C$59*$A65/8760/1000*VLOOKUP(RIGHT($D65,4),'Units Per Home'!$A$15:$B$16,2,FALSE)</f>
        <v>3.2013613827721013E-2</v>
      </c>
      <c r="W65" s="55">
        <f>VLOOKUP($C65,$C$49:$Y$52,W$30,FALSE)*$C$59*$A65/8760/1000*VLOOKUP(RIGHT($D65,4),'Units Per Home'!$A$15:$B$16,2,FALSE)</f>
        <v>1.9588913192886016E-2</v>
      </c>
      <c r="X65" s="55">
        <f>VLOOKUP($C65,$C$49:$Y$52,X$30,FALSE)*$C$59*$A65/8760/1000*VLOOKUP(RIGHT($D65,4),'Units Per Home'!$A$15:$B$16,2,FALSE)</f>
        <v>1.1486616257604818E-2</v>
      </c>
      <c r="Y65" s="55">
        <f>(VLOOKUP($C65,$C$31:$AA$34,X$30+3,FALSE)+VLOOKUP($C65,$C$40:$AA$43,$X$39+3,FALSE))*$C$59*$A65/8760/1000*VLOOKUP(RIGHT($D65,4),'Units Per Home'!$A$15:$B$16,2,FALSE)</f>
        <v>2.6665373612404735</v>
      </c>
      <c r="AA65" s="36">
        <f t="shared" si="27"/>
        <v>2.4940858939574699</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AA66" s="42"/>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B67" s="75">
        <f>SUMPRODUCT(B61:B64,AA61:AA64)/SUM(AA61:AA64)</f>
        <v>-273.91105073916145</v>
      </c>
      <c r="E67" s="36">
        <f>SUM(E61:E65)</f>
        <v>0.15170963255696115</v>
      </c>
      <c r="F67" s="36">
        <f t="shared" ref="F67:X67" si="29">SUM(F61:F65)</f>
        <v>0.24122549654832587</v>
      </c>
      <c r="G67" s="36">
        <f t="shared" si="29"/>
        <v>0.48770730451029831</v>
      </c>
      <c r="H67" s="36">
        <f t="shared" si="29"/>
        <v>0.86218646844062263</v>
      </c>
      <c r="I67" s="36">
        <f t="shared" si="29"/>
        <v>1.3540363584451307</v>
      </c>
      <c r="J67" s="36">
        <f t="shared" si="29"/>
        <v>1.912540814550147</v>
      </c>
      <c r="K67" s="36">
        <f t="shared" si="29"/>
        <v>2.4539318871709637</v>
      </c>
      <c r="L67" s="36">
        <f t="shared" si="29"/>
        <v>2.8846162033374196</v>
      </c>
      <c r="M67" s="36">
        <f t="shared" si="29"/>
        <v>3.1290606790544531</v>
      </c>
      <c r="N67" s="36">
        <f t="shared" si="29"/>
        <v>3.1506204689355659</v>
      </c>
      <c r="O67" s="36">
        <f t="shared" si="29"/>
        <v>2.9603622118318911</v>
      </c>
      <c r="P67" s="36">
        <f t="shared" si="29"/>
        <v>2.6070192382821169</v>
      </c>
      <c r="Q67" s="36">
        <f t="shared" si="29"/>
        <v>2.1600071947035397</v>
      </c>
      <c r="R67" s="36">
        <f t="shared" si="29"/>
        <v>1.6895544449496127</v>
      </c>
      <c r="S67" s="36">
        <f t="shared" si="29"/>
        <v>1.2517712422098033</v>
      </c>
      <c r="T67" s="36">
        <f t="shared" si="29"/>
        <v>0.88097254795970703</v>
      </c>
      <c r="U67" s="36">
        <f t="shared" si="29"/>
        <v>0.59039102818424927</v>
      </c>
      <c r="V67" s="36">
        <f t="shared" si="29"/>
        <v>0.37756391423877317</v>
      </c>
      <c r="W67" s="36">
        <f t="shared" si="29"/>
        <v>0.23094099276860405</v>
      </c>
      <c r="X67" s="36">
        <f t="shared" si="29"/>
        <v>0.13536538574032503</v>
      </c>
      <c r="Y67" s="36">
        <f>SUM(Y61:Y65)</f>
        <v>31.424124424486653</v>
      </c>
      <c r="Z67" s="164"/>
      <c r="AA67" s="42">
        <f>SUM(E67:X67)</f>
        <v>29.511583514418515</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D68" s="36"/>
      <c r="E68" s="36">
        <f t="shared" ref="E68" si="30">SUM(E61:E64)</f>
        <v>0.13896572712212069</v>
      </c>
      <c r="F68" s="36">
        <f t="shared" ref="F68:X68" si="31">E68+F67</f>
        <v>0.38019122367044655</v>
      </c>
      <c r="G68" s="36">
        <f t="shared" si="31"/>
        <v>0.86789852818074487</v>
      </c>
      <c r="H68" s="36">
        <f t="shared" si="31"/>
        <v>1.7300849966213674</v>
      </c>
      <c r="I68" s="36">
        <f t="shared" si="31"/>
        <v>3.0841213550664981</v>
      </c>
      <c r="J68" s="36">
        <f t="shared" si="31"/>
        <v>4.9966621696166449</v>
      </c>
      <c r="K68" s="36">
        <f t="shared" si="31"/>
        <v>7.4505940567876081</v>
      </c>
      <c r="L68" s="36">
        <f t="shared" si="31"/>
        <v>10.335210260125027</v>
      </c>
      <c r="M68" s="36">
        <f t="shared" si="31"/>
        <v>13.46427093917948</v>
      </c>
      <c r="N68" s="36">
        <f t="shared" si="31"/>
        <v>16.614891408115046</v>
      </c>
      <c r="O68" s="36">
        <f t="shared" si="31"/>
        <v>19.575253619946938</v>
      </c>
      <c r="P68" s="36">
        <f t="shared" si="31"/>
        <v>22.182272858229055</v>
      </c>
      <c r="Q68" s="36">
        <f t="shared" si="31"/>
        <v>24.342280052932594</v>
      </c>
      <c r="R68" s="36">
        <f t="shared" si="31"/>
        <v>26.031834497882208</v>
      </c>
      <c r="S68" s="36">
        <f t="shared" si="31"/>
        <v>27.28360574009201</v>
      </c>
      <c r="T68" s="36">
        <f t="shared" si="31"/>
        <v>28.164578288051718</v>
      </c>
      <c r="U68" s="36">
        <f t="shared" si="31"/>
        <v>28.754969316235968</v>
      </c>
      <c r="V68" s="36">
        <f t="shared" si="31"/>
        <v>29.132533230474742</v>
      </c>
      <c r="W68" s="36">
        <f t="shared" si="31"/>
        <v>29.363474223243347</v>
      </c>
      <c r="X68" s="36">
        <f t="shared" si="31"/>
        <v>29.498839608983673</v>
      </c>
      <c r="Y68" s="36"/>
      <c r="AA68" s="36">
        <f>SUM(AA61:AA64)</f>
        <v>27.017497620461043</v>
      </c>
      <c r="AB68" s="56"/>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row>
    <row r="69" spans="1:80">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row>
    <row r="70" spans="1:8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row>
    <row r="71" spans="1:80" ht="15">
      <c r="A71" s="63" t="s">
        <v>78</v>
      </c>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row>
    <row r="72" spans="1:80" ht="15">
      <c r="E72" s="66">
        <f t="shared" ref="E72:X72" si="32">E11</f>
        <v>2016</v>
      </c>
      <c r="F72" s="67">
        <f t="shared" si="32"/>
        <v>2017</v>
      </c>
      <c r="G72" s="67">
        <f t="shared" si="32"/>
        <v>2018</v>
      </c>
      <c r="H72" s="67">
        <f t="shared" si="32"/>
        <v>2019</v>
      </c>
      <c r="I72" s="67">
        <f t="shared" si="32"/>
        <v>2020</v>
      </c>
      <c r="J72" s="67">
        <f t="shared" si="32"/>
        <v>2021</v>
      </c>
      <c r="K72" s="67">
        <f t="shared" si="32"/>
        <v>2022</v>
      </c>
      <c r="L72" s="67">
        <f t="shared" si="32"/>
        <v>2023</v>
      </c>
      <c r="M72" s="67">
        <f t="shared" si="32"/>
        <v>2024</v>
      </c>
      <c r="N72" s="67">
        <f t="shared" si="32"/>
        <v>2025</v>
      </c>
      <c r="O72" s="67">
        <f t="shared" si="32"/>
        <v>2026</v>
      </c>
      <c r="P72" s="67">
        <f t="shared" si="32"/>
        <v>2027</v>
      </c>
      <c r="Q72" s="67">
        <f t="shared" si="32"/>
        <v>2028</v>
      </c>
      <c r="R72" s="67">
        <f t="shared" si="32"/>
        <v>2029</v>
      </c>
      <c r="S72" s="67">
        <f t="shared" si="32"/>
        <v>2030</v>
      </c>
      <c r="T72" s="67">
        <f t="shared" si="32"/>
        <v>2031</v>
      </c>
      <c r="U72" s="67">
        <f t="shared" si="32"/>
        <v>2032</v>
      </c>
      <c r="V72" s="67">
        <f t="shared" si="32"/>
        <v>2033</v>
      </c>
      <c r="W72" s="67">
        <f t="shared" si="32"/>
        <v>2034</v>
      </c>
      <c r="X72" s="67">
        <f t="shared" si="32"/>
        <v>2035</v>
      </c>
      <c r="Y72" s="68" t="s">
        <v>70</v>
      </c>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row>
    <row r="73" spans="1:80" ht="15">
      <c r="C73" s="57" t="s">
        <v>75</v>
      </c>
      <c r="D73" s="57" t="s">
        <v>75</v>
      </c>
      <c r="E73" s="69" t="str">
        <f>CONCATENATE("aMW_",E$11)</f>
        <v>aMW_2016</v>
      </c>
      <c r="F73" s="70" t="str">
        <f t="shared" ref="F73:X73" si="33">CONCATENATE("aMW_",F$11)</f>
        <v>aMW_2017</v>
      </c>
      <c r="G73" s="70" t="str">
        <f t="shared" si="33"/>
        <v>aMW_2018</v>
      </c>
      <c r="H73" s="70" t="str">
        <f t="shared" si="33"/>
        <v>aMW_2019</v>
      </c>
      <c r="I73" s="70" t="str">
        <f t="shared" si="33"/>
        <v>aMW_2020</v>
      </c>
      <c r="J73" s="70" t="str">
        <f t="shared" si="33"/>
        <v>aMW_2021</v>
      </c>
      <c r="K73" s="70" t="str">
        <f t="shared" si="33"/>
        <v>aMW_2022</v>
      </c>
      <c r="L73" s="70" t="str">
        <f t="shared" si="33"/>
        <v>aMW_2023</v>
      </c>
      <c r="M73" s="70" t="str">
        <f t="shared" si="33"/>
        <v>aMW_2024</v>
      </c>
      <c r="N73" s="70" t="str">
        <f t="shared" si="33"/>
        <v>aMW_2025</v>
      </c>
      <c r="O73" s="70" t="str">
        <f t="shared" si="33"/>
        <v>aMW_2026</v>
      </c>
      <c r="P73" s="70" t="str">
        <f t="shared" si="33"/>
        <v>aMW_2027</v>
      </c>
      <c r="Q73" s="70" t="str">
        <f t="shared" si="33"/>
        <v>aMW_2028</v>
      </c>
      <c r="R73" s="70" t="str">
        <f t="shared" si="33"/>
        <v>aMW_2029</v>
      </c>
      <c r="S73" s="70" t="str">
        <f t="shared" si="33"/>
        <v>aMW_2030</v>
      </c>
      <c r="T73" s="70" t="str">
        <f t="shared" si="33"/>
        <v>aMW_2031</v>
      </c>
      <c r="U73" s="70" t="str">
        <f t="shared" si="33"/>
        <v>aMW_2032</v>
      </c>
      <c r="V73" s="70" t="str">
        <f t="shared" si="33"/>
        <v>aMW_2033</v>
      </c>
      <c r="W73" s="70" t="str">
        <f t="shared" si="33"/>
        <v>aMW_2034</v>
      </c>
      <c r="X73" s="70" t="str">
        <f t="shared" si="33"/>
        <v>aMW_2035</v>
      </c>
      <c r="Y73" s="71" t="s">
        <v>70</v>
      </c>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row>
    <row r="74" spans="1:80">
      <c r="B74" s="9" t="s">
        <v>79</v>
      </c>
      <c r="C74" s="58" t="s">
        <v>80</v>
      </c>
      <c r="D74" s="58" t="s">
        <v>81</v>
      </c>
      <c r="E74" s="55">
        <f>DSUM($B$60:$Y$65,E$60,$C$73:$D74)</f>
        <v>0.15170963255696115</v>
      </c>
      <c r="F74" s="55">
        <f>DSUM($B$60:$Y$65,F$60,$C$73:$D74)</f>
        <v>0.24122549654832587</v>
      </c>
      <c r="G74" s="55">
        <f>DSUM($B$60:$Y$65,G$60,$C$73:$D74)</f>
        <v>0.48770730451029831</v>
      </c>
      <c r="H74" s="55">
        <f>DSUM($B$60:$Y$65,H$60,$C$73:$D74)</f>
        <v>0.86218646844062263</v>
      </c>
      <c r="I74" s="55">
        <f>DSUM($B$60:$Y$65,I$60,$C$73:$D74)</f>
        <v>1.3540363584451307</v>
      </c>
      <c r="J74" s="55">
        <f>DSUM($B$60:$Y$65,J$60,$C$73:$D74)</f>
        <v>1.912540814550147</v>
      </c>
      <c r="K74" s="55">
        <f>DSUM($B$60:$Y$65,K$60,$C$73:$D74)</f>
        <v>2.4539318871709637</v>
      </c>
      <c r="L74" s="55">
        <f>DSUM($B$60:$Y$65,L$60,$C$73:$D74)</f>
        <v>2.8846162033374196</v>
      </c>
      <c r="M74" s="55">
        <f>DSUM($B$60:$Y$65,M$60,$C$73:$D74)</f>
        <v>3.1290606790544531</v>
      </c>
      <c r="N74" s="55">
        <f>DSUM($B$60:$Y$65,N$60,$C$73:$D74)</f>
        <v>3.1506204689355659</v>
      </c>
      <c r="O74" s="55">
        <f>DSUM($B$60:$Y$65,O$60,$C$73:$D74)</f>
        <v>2.9603622118318911</v>
      </c>
      <c r="P74" s="55">
        <f>DSUM($B$60:$Y$65,P$60,$C$73:$D74)</f>
        <v>2.6070192382821169</v>
      </c>
      <c r="Q74" s="55">
        <f>DSUM($B$60:$Y$65,Q$60,$C$73:$D74)</f>
        <v>2.1600071947035397</v>
      </c>
      <c r="R74" s="55">
        <f>DSUM($B$60:$Y$65,R$60,$C$73:$D74)</f>
        <v>1.6895544449496127</v>
      </c>
      <c r="S74" s="55">
        <f>DSUM($B$60:$Y$65,S$60,$C$73:$D74)</f>
        <v>1.2517712422098033</v>
      </c>
      <c r="T74" s="55">
        <f>DSUM($B$60:$Y$65,T$60,$C$73:$D74)</f>
        <v>0.88097254795970703</v>
      </c>
      <c r="U74" s="55">
        <f>DSUM($B$60:$Y$65,U$60,$C$73:$D74)</f>
        <v>0.59039102818424927</v>
      </c>
      <c r="V74" s="55">
        <f>DSUM($B$60:$Y$65,V$60,$C$73:$D74)</f>
        <v>0.37756391423877317</v>
      </c>
      <c r="W74" s="55">
        <f>DSUM($B$60:$Y$65,W$60,$C$73:$D74)</f>
        <v>0.23094099276860405</v>
      </c>
      <c r="X74" s="55">
        <f>DSUM($B$60:$Y$65,X$60,$C$73:$D74)</f>
        <v>0.13536538574032503</v>
      </c>
      <c r="Y74" s="55">
        <f>DSUM($B$60:$Y$65,Y$60,$C$73:$D74)</f>
        <v>31.424124424486653</v>
      </c>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row>
    <row r="75" spans="1:80">
      <c r="B75" s="9" t="s">
        <v>327</v>
      </c>
      <c r="C75" s="58" t="s">
        <v>82</v>
      </c>
      <c r="D75" s="58" t="s">
        <v>83</v>
      </c>
      <c r="E75" s="55">
        <f>DSUM($B$60:$Y$65,E$60,$C$73:$D75)</f>
        <v>0.15170963255696115</v>
      </c>
      <c r="F75" s="55">
        <f>DSUM($B$60:$Y$65,F$60,$C$73:$D75)</f>
        <v>0.24122549654832587</v>
      </c>
      <c r="G75" s="55">
        <f>DSUM($B$60:$Y$65,G$60,$C$73:$D75)</f>
        <v>0.48770730451029831</v>
      </c>
      <c r="H75" s="55">
        <f>DSUM($B$60:$Y$65,H$60,$C$73:$D75)</f>
        <v>0.86218646844062263</v>
      </c>
      <c r="I75" s="55">
        <f>DSUM($B$60:$Y$65,I$60,$C$73:$D75)</f>
        <v>1.3540363584451307</v>
      </c>
      <c r="J75" s="55">
        <f>DSUM($B$60:$Y$65,J$60,$C$73:$D75)</f>
        <v>1.912540814550147</v>
      </c>
      <c r="K75" s="55">
        <f>DSUM($B$60:$Y$65,K$60,$C$73:$D75)</f>
        <v>2.4539318871709637</v>
      </c>
      <c r="L75" s="55">
        <f>DSUM($B$60:$Y$65,L$60,$C$73:$D75)</f>
        <v>2.8846162033374196</v>
      </c>
      <c r="M75" s="55">
        <f>DSUM($B$60:$Y$65,M$60,$C$73:$D75)</f>
        <v>3.1290606790544531</v>
      </c>
      <c r="N75" s="55">
        <f>DSUM($B$60:$Y$65,N$60,$C$73:$D75)</f>
        <v>3.1506204689355659</v>
      </c>
      <c r="O75" s="55">
        <f>DSUM($B$60:$Y$65,O$60,$C$73:$D75)</f>
        <v>2.9603622118318911</v>
      </c>
      <c r="P75" s="55">
        <f>DSUM($B$60:$Y$65,P$60,$C$73:$D75)</f>
        <v>2.6070192382821169</v>
      </c>
      <c r="Q75" s="55">
        <f>DSUM($B$60:$Y$65,Q$60,$C$73:$D75)</f>
        <v>2.1600071947035397</v>
      </c>
      <c r="R75" s="55">
        <f>DSUM($B$60:$Y$65,R$60,$C$73:$D75)</f>
        <v>1.6895544449496127</v>
      </c>
      <c r="S75" s="55">
        <f>DSUM($B$60:$Y$65,S$60,$C$73:$D75)</f>
        <v>1.2517712422098033</v>
      </c>
      <c r="T75" s="55">
        <f>DSUM($B$60:$Y$65,T$60,$C$73:$D75)</f>
        <v>0.88097254795970703</v>
      </c>
      <c r="U75" s="55">
        <f>DSUM($B$60:$Y$65,U$60,$C$73:$D75)</f>
        <v>0.59039102818424927</v>
      </c>
      <c r="V75" s="55">
        <f>DSUM($B$60:$Y$65,V$60,$C$73:$D75)</f>
        <v>0.37756391423877317</v>
      </c>
      <c r="W75" s="55">
        <f>DSUM($B$60:$Y$65,W$60,$C$73:$D75)</f>
        <v>0.23094099276860405</v>
      </c>
      <c r="X75" s="55">
        <f>DSUM($B$60:$Y$65,X$60,$C$73:$D75)</f>
        <v>0.13536538574032503</v>
      </c>
      <c r="Y75" s="55">
        <f>DSUM($B$60:$Y$65,Y$60,$C$73:$D75)</f>
        <v>31.424124424486653</v>
      </c>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row>
    <row r="76" spans="1:80">
      <c r="B76" s="9" t="s">
        <v>84</v>
      </c>
      <c r="C76" s="58" t="s">
        <v>85</v>
      </c>
      <c r="D76" s="58" t="s">
        <v>86</v>
      </c>
      <c r="E76" s="55">
        <f>DSUM($B$60:$Y$65,E$60,$C$73:$D76)</f>
        <v>0.15170963255696115</v>
      </c>
      <c r="F76" s="55">
        <f>DSUM($B$60:$Y$65,F$60,$C$73:$D76)</f>
        <v>0.24122549654832587</v>
      </c>
      <c r="G76" s="55">
        <f>DSUM($B$60:$Y$65,G$60,$C$73:$D76)</f>
        <v>0.48770730451029831</v>
      </c>
      <c r="H76" s="55">
        <f>DSUM($B$60:$Y$65,H$60,$C$73:$D76)</f>
        <v>0.86218646844062263</v>
      </c>
      <c r="I76" s="55">
        <f>DSUM($B$60:$Y$65,I$60,$C$73:$D76)</f>
        <v>1.3540363584451307</v>
      </c>
      <c r="J76" s="55">
        <f>DSUM($B$60:$Y$65,J$60,$C$73:$D76)</f>
        <v>1.912540814550147</v>
      </c>
      <c r="K76" s="55">
        <f>DSUM($B$60:$Y$65,K$60,$C$73:$D76)</f>
        <v>2.4539318871709637</v>
      </c>
      <c r="L76" s="55">
        <f>DSUM($B$60:$Y$65,L$60,$C$73:$D76)</f>
        <v>2.8846162033374196</v>
      </c>
      <c r="M76" s="55">
        <f>DSUM($B$60:$Y$65,M$60,$C$73:$D76)</f>
        <v>3.1290606790544531</v>
      </c>
      <c r="N76" s="55">
        <f>DSUM($B$60:$Y$65,N$60,$C$73:$D76)</f>
        <v>3.1506204689355659</v>
      </c>
      <c r="O76" s="55">
        <f>DSUM($B$60:$Y$65,O$60,$C$73:$D76)</f>
        <v>2.9603622118318911</v>
      </c>
      <c r="P76" s="55">
        <f>DSUM($B$60:$Y$65,P$60,$C$73:$D76)</f>
        <v>2.6070192382821169</v>
      </c>
      <c r="Q76" s="55">
        <f>DSUM($B$60:$Y$65,Q$60,$C$73:$D76)</f>
        <v>2.1600071947035397</v>
      </c>
      <c r="R76" s="55">
        <f>DSUM($B$60:$Y$65,R$60,$C$73:$D76)</f>
        <v>1.6895544449496127</v>
      </c>
      <c r="S76" s="55">
        <f>DSUM($B$60:$Y$65,S$60,$C$73:$D76)</f>
        <v>1.2517712422098033</v>
      </c>
      <c r="T76" s="55">
        <f>DSUM($B$60:$Y$65,T$60,$C$73:$D76)</f>
        <v>0.88097254795970703</v>
      </c>
      <c r="U76" s="55">
        <f>DSUM($B$60:$Y$65,U$60,$C$73:$D76)</f>
        <v>0.59039102818424927</v>
      </c>
      <c r="V76" s="55">
        <f>DSUM($B$60:$Y$65,V$60,$C$73:$D76)</f>
        <v>0.37756391423877317</v>
      </c>
      <c r="W76" s="55">
        <f>DSUM($B$60:$Y$65,W$60,$C$73:$D76)</f>
        <v>0.23094099276860405</v>
      </c>
      <c r="X76" s="55">
        <f>DSUM($B$60:$Y$65,X$60,$C$73:$D76)</f>
        <v>0.13536538574032503</v>
      </c>
      <c r="Y76" s="55">
        <f>DSUM($B$60:$Y$65,Y$60,$C$73:$D76)</f>
        <v>31.424124424486653</v>
      </c>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row>
    <row r="77" spans="1:80">
      <c r="B77" s="9" t="s">
        <v>87</v>
      </c>
      <c r="C77" s="58" t="s">
        <v>88</v>
      </c>
      <c r="D77" s="58" t="s">
        <v>89</v>
      </c>
      <c r="E77" s="55">
        <f>DSUM($B$60:$Y$65,E$60,$C$73:$D77)</f>
        <v>0.15170963255696115</v>
      </c>
      <c r="F77" s="55">
        <f>DSUM($B$60:$Y$65,F$60,$C$73:$D77)</f>
        <v>0.24122549654832587</v>
      </c>
      <c r="G77" s="55">
        <f>DSUM($B$60:$Y$65,G$60,$C$73:$D77)</f>
        <v>0.48770730451029831</v>
      </c>
      <c r="H77" s="55">
        <f>DSUM($B$60:$Y$65,H$60,$C$73:$D77)</f>
        <v>0.86218646844062263</v>
      </c>
      <c r="I77" s="55">
        <f>DSUM($B$60:$Y$65,I$60,$C$73:$D77)</f>
        <v>1.3540363584451307</v>
      </c>
      <c r="J77" s="55">
        <f>DSUM($B$60:$Y$65,J$60,$C$73:$D77)</f>
        <v>1.912540814550147</v>
      </c>
      <c r="K77" s="55">
        <f>DSUM($B$60:$Y$65,K$60,$C$73:$D77)</f>
        <v>2.4539318871709637</v>
      </c>
      <c r="L77" s="55">
        <f>DSUM($B$60:$Y$65,L$60,$C$73:$D77)</f>
        <v>2.8846162033374196</v>
      </c>
      <c r="M77" s="55">
        <f>DSUM($B$60:$Y$65,M$60,$C$73:$D77)</f>
        <v>3.1290606790544531</v>
      </c>
      <c r="N77" s="55">
        <f>DSUM($B$60:$Y$65,N$60,$C$73:$D77)</f>
        <v>3.1506204689355659</v>
      </c>
      <c r="O77" s="55">
        <f>DSUM($B$60:$Y$65,O$60,$C$73:$D77)</f>
        <v>2.9603622118318911</v>
      </c>
      <c r="P77" s="55">
        <f>DSUM($B$60:$Y$65,P$60,$C$73:$D77)</f>
        <v>2.6070192382821169</v>
      </c>
      <c r="Q77" s="55">
        <f>DSUM($B$60:$Y$65,Q$60,$C$73:$D77)</f>
        <v>2.1600071947035397</v>
      </c>
      <c r="R77" s="55">
        <f>DSUM($B$60:$Y$65,R$60,$C$73:$D77)</f>
        <v>1.6895544449496127</v>
      </c>
      <c r="S77" s="55">
        <f>DSUM($B$60:$Y$65,S$60,$C$73:$D77)</f>
        <v>1.2517712422098033</v>
      </c>
      <c r="T77" s="55">
        <f>DSUM($B$60:$Y$65,T$60,$C$73:$D77)</f>
        <v>0.88097254795970703</v>
      </c>
      <c r="U77" s="55">
        <f>DSUM($B$60:$Y$65,U$60,$C$73:$D77)</f>
        <v>0.59039102818424927</v>
      </c>
      <c r="V77" s="55">
        <f>DSUM($B$60:$Y$65,V$60,$C$73:$D77)</f>
        <v>0.37756391423877317</v>
      </c>
      <c r="W77" s="55">
        <f>DSUM($B$60:$Y$65,W$60,$C$73:$D77)</f>
        <v>0.23094099276860405</v>
      </c>
      <c r="X77" s="55">
        <f>DSUM($B$60:$Y$65,X$60,$C$73:$D77)</f>
        <v>0.13536538574032503</v>
      </c>
      <c r="Y77" s="55">
        <f>DSUM($B$60:$Y$65,Y$60,$C$73:$D77)</f>
        <v>31.424124424486653</v>
      </c>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row>
    <row r="78" spans="1:80">
      <c r="B78" s="9" t="s">
        <v>90</v>
      </c>
      <c r="C78" s="58" t="s">
        <v>91</v>
      </c>
      <c r="D78" s="58" t="s">
        <v>92</v>
      </c>
      <c r="E78" s="55">
        <f>DSUM($B$60:$Y$65,E$60,$C$73:$D78)</f>
        <v>0.15170963255696115</v>
      </c>
      <c r="F78" s="55">
        <f>DSUM($B$60:$Y$65,F$60,$C$73:$D78)</f>
        <v>0.24122549654832587</v>
      </c>
      <c r="G78" s="55">
        <f>DSUM($B$60:$Y$65,G$60,$C$73:$D78)</f>
        <v>0.48770730451029831</v>
      </c>
      <c r="H78" s="55">
        <f>DSUM($B$60:$Y$65,H$60,$C$73:$D78)</f>
        <v>0.86218646844062263</v>
      </c>
      <c r="I78" s="55">
        <f>DSUM($B$60:$Y$65,I$60,$C$73:$D78)</f>
        <v>1.3540363584451307</v>
      </c>
      <c r="J78" s="55">
        <f>DSUM($B$60:$Y$65,J$60,$C$73:$D78)</f>
        <v>1.912540814550147</v>
      </c>
      <c r="K78" s="55">
        <f>DSUM($B$60:$Y$65,K$60,$C$73:$D78)</f>
        <v>2.4539318871709637</v>
      </c>
      <c r="L78" s="55">
        <f>DSUM($B$60:$Y$65,L$60,$C$73:$D78)</f>
        <v>2.8846162033374196</v>
      </c>
      <c r="M78" s="55">
        <f>DSUM($B$60:$Y$65,M$60,$C$73:$D78)</f>
        <v>3.1290606790544531</v>
      </c>
      <c r="N78" s="55">
        <f>DSUM($B$60:$Y$65,N$60,$C$73:$D78)</f>
        <v>3.1506204689355659</v>
      </c>
      <c r="O78" s="55">
        <f>DSUM($B$60:$Y$65,O$60,$C$73:$D78)</f>
        <v>2.9603622118318911</v>
      </c>
      <c r="P78" s="55">
        <f>DSUM($B$60:$Y$65,P$60,$C$73:$D78)</f>
        <v>2.6070192382821169</v>
      </c>
      <c r="Q78" s="55">
        <f>DSUM($B$60:$Y$65,Q$60,$C$73:$D78)</f>
        <v>2.1600071947035397</v>
      </c>
      <c r="R78" s="55">
        <f>DSUM($B$60:$Y$65,R$60,$C$73:$D78)</f>
        <v>1.6895544449496127</v>
      </c>
      <c r="S78" s="55">
        <f>DSUM($B$60:$Y$65,S$60,$C$73:$D78)</f>
        <v>1.2517712422098033</v>
      </c>
      <c r="T78" s="55">
        <f>DSUM($B$60:$Y$65,T$60,$C$73:$D78)</f>
        <v>0.88097254795970703</v>
      </c>
      <c r="U78" s="55">
        <f>DSUM($B$60:$Y$65,U$60,$C$73:$D78)</f>
        <v>0.59039102818424927</v>
      </c>
      <c r="V78" s="55">
        <f>DSUM($B$60:$Y$65,V$60,$C$73:$D78)</f>
        <v>0.37756391423877317</v>
      </c>
      <c r="W78" s="55">
        <f>DSUM($B$60:$Y$65,W$60,$C$73:$D78)</f>
        <v>0.23094099276860405</v>
      </c>
      <c r="X78" s="55">
        <f>DSUM($B$60:$Y$65,X$60,$C$73:$D78)</f>
        <v>0.13536538574032503</v>
      </c>
      <c r="Y78" s="55">
        <f>DSUM($B$60:$Y$65,Y$60,$C$73:$D78)</f>
        <v>31.424124424486653</v>
      </c>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row>
    <row r="79" spans="1:80">
      <c r="B79" s="9" t="s">
        <v>93</v>
      </c>
      <c r="C79" s="58" t="s">
        <v>94</v>
      </c>
      <c r="D79" s="58" t="s">
        <v>95</v>
      </c>
      <c r="E79" s="55">
        <f>DSUM($B$60:$Y$65,E$60,$C$73:$D79)</f>
        <v>0.15170963255696115</v>
      </c>
      <c r="F79" s="55">
        <f>DSUM($B$60:$Y$65,F$60,$C$73:$D79)</f>
        <v>0.24122549654832587</v>
      </c>
      <c r="G79" s="55">
        <f>DSUM($B$60:$Y$65,G$60,$C$73:$D79)</f>
        <v>0.48770730451029831</v>
      </c>
      <c r="H79" s="55">
        <f>DSUM($B$60:$Y$65,H$60,$C$73:$D79)</f>
        <v>0.86218646844062263</v>
      </c>
      <c r="I79" s="55">
        <f>DSUM($B$60:$Y$65,I$60,$C$73:$D79)</f>
        <v>1.3540363584451307</v>
      </c>
      <c r="J79" s="55">
        <f>DSUM($B$60:$Y$65,J$60,$C$73:$D79)</f>
        <v>1.912540814550147</v>
      </c>
      <c r="K79" s="55">
        <f>DSUM($B$60:$Y$65,K$60,$C$73:$D79)</f>
        <v>2.4539318871709637</v>
      </c>
      <c r="L79" s="55">
        <f>DSUM($B$60:$Y$65,L$60,$C$73:$D79)</f>
        <v>2.8846162033374196</v>
      </c>
      <c r="M79" s="55">
        <f>DSUM($B$60:$Y$65,M$60,$C$73:$D79)</f>
        <v>3.1290606790544531</v>
      </c>
      <c r="N79" s="55">
        <f>DSUM($B$60:$Y$65,N$60,$C$73:$D79)</f>
        <v>3.1506204689355659</v>
      </c>
      <c r="O79" s="55">
        <f>DSUM($B$60:$Y$65,O$60,$C$73:$D79)</f>
        <v>2.9603622118318911</v>
      </c>
      <c r="P79" s="55">
        <f>DSUM($B$60:$Y$65,P$60,$C$73:$D79)</f>
        <v>2.6070192382821169</v>
      </c>
      <c r="Q79" s="55">
        <f>DSUM($B$60:$Y$65,Q$60,$C$73:$D79)</f>
        <v>2.1600071947035397</v>
      </c>
      <c r="R79" s="55">
        <f>DSUM($B$60:$Y$65,R$60,$C$73:$D79)</f>
        <v>1.6895544449496127</v>
      </c>
      <c r="S79" s="55">
        <f>DSUM($B$60:$Y$65,S$60,$C$73:$D79)</f>
        <v>1.2517712422098033</v>
      </c>
      <c r="T79" s="55">
        <f>DSUM($B$60:$Y$65,T$60,$C$73:$D79)</f>
        <v>0.88097254795970703</v>
      </c>
      <c r="U79" s="55">
        <f>DSUM($B$60:$Y$65,U$60,$C$73:$D79)</f>
        <v>0.59039102818424927</v>
      </c>
      <c r="V79" s="55">
        <f>DSUM($B$60:$Y$65,V$60,$C$73:$D79)</f>
        <v>0.37756391423877317</v>
      </c>
      <c r="W79" s="55">
        <f>DSUM($B$60:$Y$65,W$60,$C$73:$D79)</f>
        <v>0.23094099276860405</v>
      </c>
      <c r="X79" s="55">
        <f>DSUM($B$60:$Y$65,X$60,$C$73:$D79)</f>
        <v>0.13536538574032503</v>
      </c>
      <c r="Y79" s="55">
        <f>DSUM($B$60:$Y$65,Y$60,$C$73:$D79)</f>
        <v>31.424124424486653</v>
      </c>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row>
    <row r="80" spans="1:80">
      <c r="B80" s="9" t="s">
        <v>96</v>
      </c>
      <c r="C80" s="58" t="s">
        <v>97</v>
      </c>
      <c r="D80" s="58" t="s">
        <v>98</v>
      </c>
      <c r="E80" s="55">
        <f>DSUM($B$60:$Y$65,E$60,$C$73:$D80)</f>
        <v>0.15170963255696115</v>
      </c>
      <c r="F80" s="55">
        <f>DSUM($B$60:$Y$65,F$60,$C$73:$D80)</f>
        <v>0.24122549654832587</v>
      </c>
      <c r="G80" s="55">
        <f>DSUM($B$60:$Y$65,G$60,$C$73:$D80)</f>
        <v>0.48770730451029831</v>
      </c>
      <c r="H80" s="55">
        <f>DSUM($B$60:$Y$65,H$60,$C$73:$D80)</f>
        <v>0.86218646844062263</v>
      </c>
      <c r="I80" s="55">
        <f>DSUM($B$60:$Y$65,I$60,$C$73:$D80)</f>
        <v>1.3540363584451307</v>
      </c>
      <c r="J80" s="55">
        <f>DSUM($B$60:$Y$65,J$60,$C$73:$D80)</f>
        <v>1.912540814550147</v>
      </c>
      <c r="K80" s="55">
        <f>DSUM($B$60:$Y$65,K$60,$C$73:$D80)</f>
        <v>2.4539318871709637</v>
      </c>
      <c r="L80" s="55">
        <f>DSUM($B$60:$Y$65,L$60,$C$73:$D80)</f>
        <v>2.8846162033374196</v>
      </c>
      <c r="M80" s="55">
        <f>DSUM($B$60:$Y$65,M$60,$C$73:$D80)</f>
        <v>3.1290606790544531</v>
      </c>
      <c r="N80" s="55">
        <f>DSUM($B$60:$Y$65,N$60,$C$73:$D80)</f>
        <v>3.1506204689355659</v>
      </c>
      <c r="O80" s="55">
        <f>DSUM($B$60:$Y$65,O$60,$C$73:$D80)</f>
        <v>2.9603622118318911</v>
      </c>
      <c r="P80" s="55">
        <f>DSUM($B$60:$Y$65,P$60,$C$73:$D80)</f>
        <v>2.6070192382821169</v>
      </c>
      <c r="Q80" s="55">
        <f>DSUM($B$60:$Y$65,Q$60,$C$73:$D80)</f>
        <v>2.1600071947035397</v>
      </c>
      <c r="R80" s="55">
        <f>DSUM($B$60:$Y$65,R$60,$C$73:$D80)</f>
        <v>1.6895544449496127</v>
      </c>
      <c r="S80" s="55">
        <f>DSUM($B$60:$Y$65,S$60,$C$73:$D80)</f>
        <v>1.2517712422098033</v>
      </c>
      <c r="T80" s="55">
        <f>DSUM($B$60:$Y$65,T$60,$C$73:$D80)</f>
        <v>0.88097254795970703</v>
      </c>
      <c r="U80" s="55">
        <f>DSUM($B$60:$Y$65,U$60,$C$73:$D80)</f>
        <v>0.59039102818424927</v>
      </c>
      <c r="V80" s="55">
        <f>DSUM($B$60:$Y$65,V$60,$C$73:$D80)</f>
        <v>0.37756391423877317</v>
      </c>
      <c r="W80" s="55">
        <f>DSUM($B$60:$Y$65,W$60,$C$73:$D80)</f>
        <v>0.23094099276860405</v>
      </c>
      <c r="X80" s="55">
        <f>DSUM($B$60:$Y$65,X$60,$C$73:$D80)</f>
        <v>0.13536538574032503</v>
      </c>
      <c r="Y80" s="55">
        <f>DSUM($B$60:$Y$65,Y$60,$C$73:$D80)</f>
        <v>31.424124424486653</v>
      </c>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row>
    <row r="81" spans="2:79">
      <c r="B81" s="9" t="s">
        <v>99</v>
      </c>
      <c r="C81" s="58" t="s">
        <v>100</v>
      </c>
      <c r="D81" s="58" t="s">
        <v>101</v>
      </c>
      <c r="E81" s="55">
        <f>DSUM($B$60:$Y$65,E$60,$C$73:$D81)</f>
        <v>0.15170963255696115</v>
      </c>
      <c r="F81" s="55">
        <f>DSUM($B$60:$Y$65,F$60,$C$73:$D81)</f>
        <v>0.24122549654832587</v>
      </c>
      <c r="G81" s="55">
        <f>DSUM($B$60:$Y$65,G$60,$C$73:$D81)</f>
        <v>0.48770730451029831</v>
      </c>
      <c r="H81" s="55">
        <f>DSUM($B$60:$Y$65,H$60,$C$73:$D81)</f>
        <v>0.86218646844062263</v>
      </c>
      <c r="I81" s="55">
        <f>DSUM($B$60:$Y$65,I$60,$C$73:$D81)</f>
        <v>1.3540363584451307</v>
      </c>
      <c r="J81" s="55">
        <f>DSUM($B$60:$Y$65,J$60,$C$73:$D81)</f>
        <v>1.912540814550147</v>
      </c>
      <c r="K81" s="55">
        <f>DSUM($B$60:$Y$65,K$60,$C$73:$D81)</f>
        <v>2.4539318871709637</v>
      </c>
      <c r="L81" s="55">
        <f>DSUM($B$60:$Y$65,L$60,$C$73:$D81)</f>
        <v>2.8846162033374196</v>
      </c>
      <c r="M81" s="55">
        <f>DSUM($B$60:$Y$65,M$60,$C$73:$D81)</f>
        <v>3.1290606790544531</v>
      </c>
      <c r="N81" s="55">
        <f>DSUM($B$60:$Y$65,N$60,$C$73:$D81)</f>
        <v>3.1506204689355659</v>
      </c>
      <c r="O81" s="55">
        <f>DSUM($B$60:$Y$65,O$60,$C$73:$D81)</f>
        <v>2.9603622118318911</v>
      </c>
      <c r="P81" s="55">
        <f>DSUM($B$60:$Y$65,P$60,$C$73:$D81)</f>
        <v>2.6070192382821169</v>
      </c>
      <c r="Q81" s="55">
        <f>DSUM($B$60:$Y$65,Q$60,$C$73:$D81)</f>
        <v>2.1600071947035397</v>
      </c>
      <c r="R81" s="55">
        <f>DSUM($B$60:$Y$65,R$60,$C$73:$D81)</f>
        <v>1.6895544449496127</v>
      </c>
      <c r="S81" s="55">
        <f>DSUM($B$60:$Y$65,S$60,$C$73:$D81)</f>
        <v>1.2517712422098033</v>
      </c>
      <c r="T81" s="55">
        <f>DSUM($B$60:$Y$65,T$60,$C$73:$D81)</f>
        <v>0.88097254795970703</v>
      </c>
      <c r="U81" s="55">
        <f>DSUM($B$60:$Y$65,U$60,$C$73:$D81)</f>
        <v>0.59039102818424927</v>
      </c>
      <c r="V81" s="55">
        <f>DSUM($B$60:$Y$65,V$60,$C$73:$D81)</f>
        <v>0.37756391423877317</v>
      </c>
      <c r="W81" s="55">
        <f>DSUM($B$60:$Y$65,W$60,$C$73:$D81)</f>
        <v>0.23094099276860405</v>
      </c>
      <c r="X81" s="55">
        <f>DSUM($B$60:$Y$65,X$60,$C$73:$D81)</f>
        <v>0.13536538574032503</v>
      </c>
      <c r="Y81" s="55">
        <f>DSUM($B$60:$Y$65,Y$60,$C$73:$D81)</f>
        <v>31.424124424486653</v>
      </c>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row>
    <row r="82" spans="2:79">
      <c r="B82" s="9" t="s">
        <v>102</v>
      </c>
      <c r="C82" s="58" t="s">
        <v>103</v>
      </c>
      <c r="D82" s="58" t="s">
        <v>104</v>
      </c>
      <c r="E82" s="55">
        <f>DSUM($B$60:$Y$65,E$60,$C$73:$D82)</f>
        <v>0.15170963255696115</v>
      </c>
      <c r="F82" s="55">
        <f>DSUM($B$60:$Y$65,F$60,$C$73:$D82)</f>
        <v>0.24122549654832587</v>
      </c>
      <c r="G82" s="55">
        <f>DSUM($B$60:$Y$65,G$60,$C$73:$D82)</f>
        <v>0.48770730451029831</v>
      </c>
      <c r="H82" s="55">
        <f>DSUM($B$60:$Y$65,H$60,$C$73:$D82)</f>
        <v>0.86218646844062263</v>
      </c>
      <c r="I82" s="55">
        <f>DSUM($B$60:$Y$65,I$60,$C$73:$D82)</f>
        <v>1.3540363584451307</v>
      </c>
      <c r="J82" s="55">
        <f>DSUM($B$60:$Y$65,J$60,$C$73:$D82)</f>
        <v>1.912540814550147</v>
      </c>
      <c r="K82" s="55">
        <f>DSUM($B$60:$Y$65,K$60,$C$73:$D82)</f>
        <v>2.4539318871709637</v>
      </c>
      <c r="L82" s="55">
        <f>DSUM($B$60:$Y$65,L$60,$C$73:$D82)</f>
        <v>2.8846162033374196</v>
      </c>
      <c r="M82" s="55">
        <f>DSUM($B$60:$Y$65,M$60,$C$73:$D82)</f>
        <v>3.1290606790544531</v>
      </c>
      <c r="N82" s="55">
        <f>DSUM($B$60:$Y$65,N$60,$C$73:$D82)</f>
        <v>3.1506204689355659</v>
      </c>
      <c r="O82" s="55">
        <f>DSUM($B$60:$Y$65,O$60,$C$73:$D82)</f>
        <v>2.9603622118318911</v>
      </c>
      <c r="P82" s="55">
        <f>DSUM($B$60:$Y$65,P$60,$C$73:$D82)</f>
        <v>2.6070192382821169</v>
      </c>
      <c r="Q82" s="55">
        <f>DSUM($B$60:$Y$65,Q$60,$C$73:$D82)</f>
        <v>2.1600071947035397</v>
      </c>
      <c r="R82" s="55">
        <f>DSUM($B$60:$Y$65,R$60,$C$73:$D82)</f>
        <v>1.6895544449496127</v>
      </c>
      <c r="S82" s="55">
        <f>DSUM($B$60:$Y$65,S$60,$C$73:$D82)</f>
        <v>1.2517712422098033</v>
      </c>
      <c r="T82" s="55">
        <f>DSUM($B$60:$Y$65,T$60,$C$73:$D82)</f>
        <v>0.88097254795970703</v>
      </c>
      <c r="U82" s="55">
        <f>DSUM($B$60:$Y$65,U$60,$C$73:$D82)</f>
        <v>0.59039102818424927</v>
      </c>
      <c r="V82" s="55">
        <f>DSUM($B$60:$Y$65,V$60,$C$73:$D82)</f>
        <v>0.37756391423877317</v>
      </c>
      <c r="W82" s="55">
        <f>DSUM($B$60:$Y$65,W$60,$C$73:$D82)</f>
        <v>0.23094099276860405</v>
      </c>
      <c r="X82" s="55">
        <f>DSUM($B$60:$Y$65,X$60,$C$73:$D82)</f>
        <v>0.13536538574032503</v>
      </c>
      <c r="Y82" s="55">
        <f>DSUM($B$60:$Y$65,Y$60,$C$73:$D82)</f>
        <v>31.424124424486653</v>
      </c>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row>
    <row r="83" spans="2:79">
      <c r="B83" s="9" t="s">
        <v>105</v>
      </c>
      <c r="C83" s="58" t="s">
        <v>106</v>
      </c>
      <c r="D83" s="58" t="s">
        <v>107</v>
      </c>
      <c r="E83" s="55">
        <f>DSUM($B$60:$Y$65,E$60,$C$73:$D83)</f>
        <v>0.15170963255696115</v>
      </c>
      <c r="F83" s="55">
        <f>DSUM($B$60:$Y$65,F$60,$C$73:$D83)</f>
        <v>0.24122549654832587</v>
      </c>
      <c r="G83" s="55">
        <f>DSUM($B$60:$Y$65,G$60,$C$73:$D83)</f>
        <v>0.48770730451029831</v>
      </c>
      <c r="H83" s="55">
        <f>DSUM($B$60:$Y$65,H$60,$C$73:$D83)</f>
        <v>0.86218646844062263</v>
      </c>
      <c r="I83" s="55">
        <f>DSUM($B$60:$Y$65,I$60,$C$73:$D83)</f>
        <v>1.3540363584451307</v>
      </c>
      <c r="J83" s="55">
        <f>DSUM($B$60:$Y$65,J$60,$C$73:$D83)</f>
        <v>1.912540814550147</v>
      </c>
      <c r="K83" s="55">
        <f>DSUM($B$60:$Y$65,K$60,$C$73:$D83)</f>
        <v>2.4539318871709637</v>
      </c>
      <c r="L83" s="55">
        <f>DSUM($B$60:$Y$65,L$60,$C$73:$D83)</f>
        <v>2.8846162033374196</v>
      </c>
      <c r="M83" s="55">
        <f>DSUM($B$60:$Y$65,M$60,$C$73:$D83)</f>
        <v>3.1290606790544531</v>
      </c>
      <c r="N83" s="55">
        <f>DSUM($B$60:$Y$65,N$60,$C$73:$D83)</f>
        <v>3.1506204689355659</v>
      </c>
      <c r="O83" s="55">
        <f>DSUM($B$60:$Y$65,O$60,$C$73:$D83)</f>
        <v>2.9603622118318911</v>
      </c>
      <c r="P83" s="55">
        <f>DSUM($B$60:$Y$65,P$60,$C$73:$D83)</f>
        <v>2.6070192382821169</v>
      </c>
      <c r="Q83" s="55">
        <f>DSUM($B$60:$Y$65,Q$60,$C$73:$D83)</f>
        <v>2.1600071947035397</v>
      </c>
      <c r="R83" s="55">
        <f>DSUM($B$60:$Y$65,R$60,$C$73:$D83)</f>
        <v>1.6895544449496127</v>
      </c>
      <c r="S83" s="55">
        <f>DSUM($B$60:$Y$65,S$60,$C$73:$D83)</f>
        <v>1.2517712422098033</v>
      </c>
      <c r="T83" s="55">
        <f>DSUM($B$60:$Y$65,T$60,$C$73:$D83)</f>
        <v>0.88097254795970703</v>
      </c>
      <c r="U83" s="55">
        <f>DSUM($B$60:$Y$65,U$60,$C$73:$D83)</f>
        <v>0.59039102818424927</v>
      </c>
      <c r="V83" s="55">
        <f>DSUM($B$60:$Y$65,V$60,$C$73:$D83)</f>
        <v>0.37756391423877317</v>
      </c>
      <c r="W83" s="55">
        <f>DSUM($B$60:$Y$65,W$60,$C$73:$D83)</f>
        <v>0.23094099276860405</v>
      </c>
      <c r="X83" s="55">
        <f>DSUM($B$60:$Y$65,X$60,$C$73:$D83)</f>
        <v>0.13536538574032503</v>
      </c>
      <c r="Y83" s="55">
        <f>DSUM($B$60:$Y$65,Y$60,$C$73:$D83)</f>
        <v>31.424124424486653</v>
      </c>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row>
    <row r="84" spans="2:79">
      <c r="B84" s="9" t="s">
        <v>108</v>
      </c>
      <c r="C84" s="58" t="s">
        <v>109</v>
      </c>
      <c r="D84" s="58" t="s">
        <v>110</v>
      </c>
      <c r="E84" s="55">
        <f>DSUM($B$60:$Y$65,E$60,$C$73:$D84)</f>
        <v>0.15170963255696115</v>
      </c>
      <c r="F84" s="55">
        <f>DSUM($B$60:$Y$65,F$60,$C$73:$D84)</f>
        <v>0.24122549654832587</v>
      </c>
      <c r="G84" s="55">
        <f>DSUM($B$60:$Y$65,G$60,$C$73:$D84)</f>
        <v>0.48770730451029831</v>
      </c>
      <c r="H84" s="55">
        <f>DSUM($B$60:$Y$65,H$60,$C$73:$D84)</f>
        <v>0.86218646844062263</v>
      </c>
      <c r="I84" s="55">
        <f>DSUM($B$60:$Y$65,I$60,$C$73:$D84)</f>
        <v>1.3540363584451307</v>
      </c>
      <c r="J84" s="55">
        <f>DSUM($B$60:$Y$65,J$60,$C$73:$D84)</f>
        <v>1.912540814550147</v>
      </c>
      <c r="K84" s="55">
        <f>DSUM($B$60:$Y$65,K$60,$C$73:$D84)</f>
        <v>2.4539318871709637</v>
      </c>
      <c r="L84" s="55">
        <f>DSUM($B$60:$Y$65,L$60,$C$73:$D84)</f>
        <v>2.8846162033374196</v>
      </c>
      <c r="M84" s="55">
        <f>DSUM($B$60:$Y$65,M$60,$C$73:$D84)</f>
        <v>3.1290606790544531</v>
      </c>
      <c r="N84" s="55">
        <f>DSUM($B$60:$Y$65,N$60,$C$73:$D84)</f>
        <v>3.1506204689355659</v>
      </c>
      <c r="O84" s="55">
        <f>DSUM($B$60:$Y$65,O$60,$C$73:$D84)</f>
        <v>2.9603622118318911</v>
      </c>
      <c r="P84" s="55">
        <f>DSUM($B$60:$Y$65,P$60,$C$73:$D84)</f>
        <v>2.6070192382821169</v>
      </c>
      <c r="Q84" s="55">
        <f>DSUM($B$60:$Y$65,Q$60,$C$73:$D84)</f>
        <v>2.1600071947035397</v>
      </c>
      <c r="R84" s="55">
        <f>DSUM($B$60:$Y$65,R$60,$C$73:$D84)</f>
        <v>1.6895544449496127</v>
      </c>
      <c r="S84" s="55">
        <f>DSUM($B$60:$Y$65,S$60,$C$73:$D84)</f>
        <v>1.2517712422098033</v>
      </c>
      <c r="T84" s="55">
        <f>DSUM($B$60:$Y$65,T$60,$C$73:$D84)</f>
        <v>0.88097254795970703</v>
      </c>
      <c r="U84" s="55">
        <f>DSUM($B$60:$Y$65,U$60,$C$73:$D84)</f>
        <v>0.59039102818424927</v>
      </c>
      <c r="V84" s="55">
        <f>DSUM($B$60:$Y$65,V$60,$C$73:$D84)</f>
        <v>0.37756391423877317</v>
      </c>
      <c r="W84" s="55">
        <f>DSUM($B$60:$Y$65,W$60,$C$73:$D84)</f>
        <v>0.23094099276860405</v>
      </c>
      <c r="X84" s="55">
        <f>DSUM($B$60:$Y$65,X$60,$C$73:$D84)</f>
        <v>0.13536538574032503</v>
      </c>
      <c r="Y84" s="55">
        <f>DSUM($B$60:$Y$65,Y$60,$C$73:$D84)</f>
        <v>31.424124424486653</v>
      </c>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row>
    <row r="85" spans="2:79">
      <c r="B85" s="9" t="s">
        <v>111</v>
      </c>
      <c r="C85" s="58" t="s">
        <v>112</v>
      </c>
      <c r="D85" s="58" t="s">
        <v>113</v>
      </c>
      <c r="E85" s="55">
        <f>DSUM($B$60:$Y$65,E$60,$C$73:$D85)</f>
        <v>0.15170963255696115</v>
      </c>
      <c r="F85" s="55">
        <f>DSUM($B$60:$Y$65,F$60,$C$73:$D85)</f>
        <v>0.24122549654832587</v>
      </c>
      <c r="G85" s="55">
        <f>DSUM($B$60:$Y$65,G$60,$C$73:$D85)</f>
        <v>0.48770730451029831</v>
      </c>
      <c r="H85" s="55">
        <f>DSUM($B$60:$Y$65,H$60,$C$73:$D85)</f>
        <v>0.86218646844062263</v>
      </c>
      <c r="I85" s="55">
        <f>DSUM($B$60:$Y$65,I$60,$C$73:$D85)</f>
        <v>1.3540363584451307</v>
      </c>
      <c r="J85" s="55">
        <f>DSUM($B$60:$Y$65,J$60,$C$73:$D85)</f>
        <v>1.912540814550147</v>
      </c>
      <c r="K85" s="55">
        <f>DSUM($B$60:$Y$65,K$60,$C$73:$D85)</f>
        <v>2.4539318871709637</v>
      </c>
      <c r="L85" s="55">
        <f>DSUM($B$60:$Y$65,L$60,$C$73:$D85)</f>
        <v>2.8846162033374196</v>
      </c>
      <c r="M85" s="55">
        <f>DSUM($B$60:$Y$65,M$60,$C$73:$D85)</f>
        <v>3.1290606790544531</v>
      </c>
      <c r="N85" s="55">
        <f>DSUM($B$60:$Y$65,N$60,$C$73:$D85)</f>
        <v>3.1506204689355659</v>
      </c>
      <c r="O85" s="55">
        <f>DSUM($B$60:$Y$65,O$60,$C$73:$D85)</f>
        <v>2.9603622118318911</v>
      </c>
      <c r="P85" s="55">
        <f>DSUM($B$60:$Y$65,P$60,$C$73:$D85)</f>
        <v>2.6070192382821169</v>
      </c>
      <c r="Q85" s="55">
        <f>DSUM($B$60:$Y$65,Q$60,$C$73:$D85)</f>
        <v>2.1600071947035397</v>
      </c>
      <c r="R85" s="55">
        <f>DSUM($B$60:$Y$65,R$60,$C$73:$D85)</f>
        <v>1.6895544449496127</v>
      </c>
      <c r="S85" s="55">
        <f>DSUM($B$60:$Y$65,S$60,$C$73:$D85)</f>
        <v>1.2517712422098033</v>
      </c>
      <c r="T85" s="55">
        <f>DSUM($B$60:$Y$65,T$60,$C$73:$D85)</f>
        <v>0.88097254795970703</v>
      </c>
      <c r="U85" s="55">
        <f>DSUM($B$60:$Y$65,U$60,$C$73:$D85)</f>
        <v>0.59039102818424927</v>
      </c>
      <c r="V85" s="55">
        <f>DSUM($B$60:$Y$65,V$60,$C$73:$D85)</f>
        <v>0.37756391423877317</v>
      </c>
      <c r="W85" s="55">
        <f>DSUM($B$60:$Y$65,W$60,$C$73:$D85)</f>
        <v>0.23094099276860405</v>
      </c>
      <c r="X85" s="55">
        <f>DSUM($B$60:$Y$65,X$60,$C$73:$D85)</f>
        <v>0.13536538574032503</v>
      </c>
      <c r="Y85" s="55">
        <f>DSUM($B$60:$Y$65,Y$60,$C$73:$D85)</f>
        <v>31.424124424486653</v>
      </c>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row>
    <row r="86" spans="2:79">
      <c r="B86" s="9" t="s">
        <v>114</v>
      </c>
      <c r="C86" s="58" t="s">
        <v>115</v>
      </c>
      <c r="D86" s="58" t="s">
        <v>116</v>
      </c>
      <c r="E86" s="55">
        <f>DSUM($B$60:$Y$65,E$60,$C$73:$D86)</f>
        <v>0.15170963255696115</v>
      </c>
      <c r="F86" s="55">
        <f>DSUM($B$60:$Y$65,F$60,$C$73:$D86)</f>
        <v>0.24122549654832587</v>
      </c>
      <c r="G86" s="55">
        <f>DSUM($B$60:$Y$65,G$60,$C$73:$D86)</f>
        <v>0.48770730451029831</v>
      </c>
      <c r="H86" s="55">
        <f>DSUM($B$60:$Y$65,H$60,$C$73:$D86)</f>
        <v>0.86218646844062263</v>
      </c>
      <c r="I86" s="55">
        <f>DSUM($B$60:$Y$65,I$60,$C$73:$D86)</f>
        <v>1.3540363584451307</v>
      </c>
      <c r="J86" s="55">
        <f>DSUM($B$60:$Y$65,J$60,$C$73:$D86)</f>
        <v>1.912540814550147</v>
      </c>
      <c r="K86" s="55">
        <f>DSUM($B$60:$Y$65,K$60,$C$73:$D86)</f>
        <v>2.4539318871709637</v>
      </c>
      <c r="L86" s="55">
        <f>DSUM($B$60:$Y$65,L$60,$C$73:$D86)</f>
        <v>2.8846162033374196</v>
      </c>
      <c r="M86" s="55">
        <f>DSUM($B$60:$Y$65,M$60,$C$73:$D86)</f>
        <v>3.1290606790544531</v>
      </c>
      <c r="N86" s="55">
        <f>DSUM($B$60:$Y$65,N$60,$C$73:$D86)</f>
        <v>3.1506204689355659</v>
      </c>
      <c r="O86" s="55">
        <f>DSUM($B$60:$Y$65,O$60,$C$73:$D86)</f>
        <v>2.9603622118318911</v>
      </c>
      <c r="P86" s="55">
        <f>DSUM($B$60:$Y$65,P$60,$C$73:$D86)</f>
        <v>2.6070192382821169</v>
      </c>
      <c r="Q86" s="55">
        <f>DSUM($B$60:$Y$65,Q$60,$C$73:$D86)</f>
        <v>2.1600071947035397</v>
      </c>
      <c r="R86" s="55">
        <f>DSUM($B$60:$Y$65,R$60,$C$73:$D86)</f>
        <v>1.6895544449496127</v>
      </c>
      <c r="S86" s="55">
        <f>DSUM($B$60:$Y$65,S$60,$C$73:$D86)</f>
        <v>1.2517712422098033</v>
      </c>
      <c r="T86" s="55">
        <f>DSUM($B$60:$Y$65,T$60,$C$73:$D86)</f>
        <v>0.88097254795970703</v>
      </c>
      <c r="U86" s="55">
        <f>DSUM($B$60:$Y$65,U$60,$C$73:$D86)</f>
        <v>0.59039102818424927</v>
      </c>
      <c r="V86" s="55">
        <f>DSUM($B$60:$Y$65,V$60,$C$73:$D86)</f>
        <v>0.37756391423877317</v>
      </c>
      <c r="W86" s="55">
        <f>DSUM($B$60:$Y$65,W$60,$C$73:$D86)</f>
        <v>0.23094099276860405</v>
      </c>
      <c r="X86" s="55">
        <f>DSUM($B$60:$Y$65,X$60,$C$73:$D86)</f>
        <v>0.13536538574032503</v>
      </c>
      <c r="Y86" s="55">
        <f>DSUM($B$60:$Y$65,Y$60,$C$73:$D86)</f>
        <v>31.424124424486653</v>
      </c>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row>
    <row r="87" spans="2:79">
      <c r="B87" s="9" t="s">
        <v>117</v>
      </c>
      <c r="C87" s="58" t="s">
        <v>118</v>
      </c>
      <c r="D87" s="58" t="s">
        <v>119</v>
      </c>
      <c r="E87" s="55">
        <f>DSUM($B$60:$Y$65,E$60,$C$73:$D87)</f>
        <v>0.15170963255696115</v>
      </c>
      <c r="F87" s="55">
        <f>DSUM($B$60:$Y$65,F$60,$C$73:$D87)</f>
        <v>0.24122549654832587</v>
      </c>
      <c r="G87" s="55">
        <f>DSUM($B$60:$Y$65,G$60,$C$73:$D87)</f>
        <v>0.48770730451029831</v>
      </c>
      <c r="H87" s="55">
        <f>DSUM($B$60:$Y$65,H$60,$C$73:$D87)</f>
        <v>0.86218646844062263</v>
      </c>
      <c r="I87" s="55">
        <f>DSUM($B$60:$Y$65,I$60,$C$73:$D87)</f>
        <v>1.3540363584451307</v>
      </c>
      <c r="J87" s="55">
        <f>DSUM($B$60:$Y$65,J$60,$C$73:$D87)</f>
        <v>1.912540814550147</v>
      </c>
      <c r="K87" s="55">
        <f>DSUM($B$60:$Y$65,K$60,$C$73:$D87)</f>
        <v>2.4539318871709637</v>
      </c>
      <c r="L87" s="55">
        <f>DSUM($B$60:$Y$65,L$60,$C$73:$D87)</f>
        <v>2.8846162033374196</v>
      </c>
      <c r="M87" s="55">
        <f>DSUM($B$60:$Y$65,M$60,$C$73:$D87)</f>
        <v>3.1290606790544531</v>
      </c>
      <c r="N87" s="55">
        <f>DSUM($B$60:$Y$65,N$60,$C$73:$D87)</f>
        <v>3.1506204689355659</v>
      </c>
      <c r="O87" s="55">
        <f>DSUM($B$60:$Y$65,O$60,$C$73:$D87)</f>
        <v>2.9603622118318911</v>
      </c>
      <c r="P87" s="55">
        <f>DSUM($B$60:$Y$65,P$60,$C$73:$D87)</f>
        <v>2.6070192382821169</v>
      </c>
      <c r="Q87" s="55">
        <f>DSUM($B$60:$Y$65,Q$60,$C$73:$D87)</f>
        <v>2.1600071947035397</v>
      </c>
      <c r="R87" s="55">
        <f>DSUM($B$60:$Y$65,R$60,$C$73:$D87)</f>
        <v>1.6895544449496127</v>
      </c>
      <c r="S87" s="55">
        <f>DSUM($B$60:$Y$65,S$60,$C$73:$D87)</f>
        <v>1.2517712422098033</v>
      </c>
      <c r="T87" s="55">
        <f>DSUM($B$60:$Y$65,T$60,$C$73:$D87)</f>
        <v>0.88097254795970703</v>
      </c>
      <c r="U87" s="55">
        <f>DSUM($B$60:$Y$65,U$60,$C$73:$D87)</f>
        <v>0.59039102818424927</v>
      </c>
      <c r="V87" s="55">
        <f>DSUM($B$60:$Y$65,V$60,$C$73:$D87)</f>
        <v>0.37756391423877317</v>
      </c>
      <c r="W87" s="55">
        <f>DSUM($B$60:$Y$65,W$60,$C$73:$D87)</f>
        <v>0.23094099276860405</v>
      </c>
      <c r="X87" s="55">
        <f>DSUM($B$60:$Y$65,X$60,$C$73:$D87)</f>
        <v>0.13536538574032503</v>
      </c>
      <c r="Y87" s="55">
        <f>DSUM($B$60:$Y$65,Y$60,$C$73:$D87)</f>
        <v>31.424124424486653</v>
      </c>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row>
    <row r="88" spans="2:79">
      <c r="B88" s="9" t="s">
        <v>120</v>
      </c>
      <c r="C88" s="58" t="s">
        <v>121</v>
      </c>
      <c r="D88" s="58" t="s">
        <v>122</v>
      </c>
      <c r="E88" s="55">
        <f>DSUM($B$60:$Y$65,E$60,$C$73:$D88)</f>
        <v>0.15170963255696115</v>
      </c>
      <c r="F88" s="55">
        <f>DSUM($B$60:$Y$65,F$60,$C$73:$D88)</f>
        <v>0.24122549654832587</v>
      </c>
      <c r="G88" s="55">
        <f>DSUM($B$60:$Y$65,G$60,$C$73:$D88)</f>
        <v>0.48770730451029831</v>
      </c>
      <c r="H88" s="55">
        <f>DSUM($B$60:$Y$65,H$60,$C$73:$D88)</f>
        <v>0.86218646844062263</v>
      </c>
      <c r="I88" s="55">
        <f>DSUM($B$60:$Y$65,I$60,$C$73:$D88)</f>
        <v>1.3540363584451307</v>
      </c>
      <c r="J88" s="55">
        <f>DSUM($B$60:$Y$65,J$60,$C$73:$D88)</f>
        <v>1.912540814550147</v>
      </c>
      <c r="K88" s="55">
        <f>DSUM($B$60:$Y$65,K$60,$C$73:$D88)</f>
        <v>2.4539318871709637</v>
      </c>
      <c r="L88" s="55">
        <f>DSUM($B$60:$Y$65,L$60,$C$73:$D88)</f>
        <v>2.8846162033374196</v>
      </c>
      <c r="M88" s="55">
        <f>DSUM($B$60:$Y$65,M$60,$C$73:$D88)</f>
        <v>3.1290606790544531</v>
      </c>
      <c r="N88" s="55">
        <f>DSUM($B$60:$Y$65,N$60,$C$73:$D88)</f>
        <v>3.1506204689355659</v>
      </c>
      <c r="O88" s="55">
        <f>DSUM($B$60:$Y$65,O$60,$C$73:$D88)</f>
        <v>2.9603622118318911</v>
      </c>
      <c r="P88" s="55">
        <f>DSUM($B$60:$Y$65,P$60,$C$73:$D88)</f>
        <v>2.6070192382821169</v>
      </c>
      <c r="Q88" s="55">
        <f>DSUM($B$60:$Y$65,Q$60,$C$73:$D88)</f>
        <v>2.1600071947035397</v>
      </c>
      <c r="R88" s="55">
        <f>DSUM($B$60:$Y$65,R$60,$C$73:$D88)</f>
        <v>1.6895544449496127</v>
      </c>
      <c r="S88" s="55">
        <f>DSUM($B$60:$Y$65,S$60,$C$73:$D88)</f>
        <v>1.2517712422098033</v>
      </c>
      <c r="T88" s="55">
        <f>DSUM($B$60:$Y$65,T$60,$C$73:$D88)</f>
        <v>0.88097254795970703</v>
      </c>
      <c r="U88" s="55">
        <f>DSUM($B$60:$Y$65,U$60,$C$73:$D88)</f>
        <v>0.59039102818424927</v>
      </c>
      <c r="V88" s="55">
        <f>DSUM($B$60:$Y$65,V$60,$C$73:$D88)</f>
        <v>0.37756391423877317</v>
      </c>
      <c r="W88" s="55">
        <f>DSUM($B$60:$Y$65,W$60,$C$73:$D88)</f>
        <v>0.23094099276860405</v>
      </c>
      <c r="X88" s="55">
        <f>DSUM($B$60:$Y$65,X$60,$C$73:$D88)</f>
        <v>0.13536538574032503</v>
      </c>
      <c r="Y88" s="55">
        <f>DSUM($B$60:$Y$65,Y$60,$C$73:$D88)</f>
        <v>31.424124424486653</v>
      </c>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row>
    <row r="89" spans="2:79">
      <c r="B89" s="9" t="s">
        <v>123</v>
      </c>
      <c r="C89" s="58" t="s">
        <v>124</v>
      </c>
      <c r="D89" s="58" t="s">
        <v>125</v>
      </c>
      <c r="E89" s="55">
        <f>DSUM($B$60:$Y$65,E$60,$C$73:$D89)</f>
        <v>0.15170963255696115</v>
      </c>
      <c r="F89" s="55">
        <f>DSUM($B$60:$Y$65,F$60,$C$73:$D89)</f>
        <v>0.24122549654832587</v>
      </c>
      <c r="G89" s="55">
        <f>DSUM($B$60:$Y$65,G$60,$C$73:$D89)</f>
        <v>0.48770730451029831</v>
      </c>
      <c r="H89" s="55">
        <f>DSUM($B$60:$Y$65,H$60,$C$73:$D89)</f>
        <v>0.86218646844062263</v>
      </c>
      <c r="I89" s="55">
        <f>DSUM($B$60:$Y$65,I$60,$C$73:$D89)</f>
        <v>1.3540363584451307</v>
      </c>
      <c r="J89" s="55">
        <f>DSUM($B$60:$Y$65,J$60,$C$73:$D89)</f>
        <v>1.912540814550147</v>
      </c>
      <c r="K89" s="55">
        <f>DSUM($B$60:$Y$65,K$60,$C$73:$D89)</f>
        <v>2.4539318871709637</v>
      </c>
      <c r="L89" s="55">
        <f>DSUM($B$60:$Y$65,L$60,$C$73:$D89)</f>
        <v>2.8846162033374196</v>
      </c>
      <c r="M89" s="55">
        <f>DSUM($B$60:$Y$65,M$60,$C$73:$D89)</f>
        <v>3.1290606790544531</v>
      </c>
      <c r="N89" s="55">
        <f>DSUM($B$60:$Y$65,N$60,$C$73:$D89)</f>
        <v>3.1506204689355659</v>
      </c>
      <c r="O89" s="55">
        <f>DSUM($B$60:$Y$65,O$60,$C$73:$D89)</f>
        <v>2.9603622118318911</v>
      </c>
      <c r="P89" s="55">
        <f>DSUM($B$60:$Y$65,P$60,$C$73:$D89)</f>
        <v>2.6070192382821169</v>
      </c>
      <c r="Q89" s="55">
        <f>DSUM($B$60:$Y$65,Q$60,$C$73:$D89)</f>
        <v>2.1600071947035397</v>
      </c>
      <c r="R89" s="55">
        <f>DSUM($B$60:$Y$65,R$60,$C$73:$D89)</f>
        <v>1.6895544449496127</v>
      </c>
      <c r="S89" s="55">
        <f>DSUM($B$60:$Y$65,S$60,$C$73:$D89)</f>
        <v>1.2517712422098033</v>
      </c>
      <c r="T89" s="55">
        <f>DSUM($B$60:$Y$65,T$60,$C$73:$D89)</f>
        <v>0.88097254795970703</v>
      </c>
      <c r="U89" s="55">
        <f>DSUM($B$60:$Y$65,U$60,$C$73:$D89)</f>
        <v>0.59039102818424927</v>
      </c>
      <c r="V89" s="55">
        <f>DSUM($B$60:$Y$65,V$60,$C$73:$D89)</f>
        <v>0.37756391423877317</v>
      </c>
      <c r="W89" s="55">
        <f>DSUM($B$60:$Y$65,W$60,$C$73:$D89)</f>
        <v>0.23094099276860405</v>
      </c>
      <c r="X89" s="55">
        <f>DSUM($B$60:$Y$65,X$60,$C$73:$D89)</f>
        <v>0.13536538574032503</v>
      </c>
      <c r="Y89" s="55">
        <f>DSUM($B$60:$Y$65,Y$60,$C$73:$D89)</f>
        <v>31.424124424486653</v>
      </c>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row>
    <row r="90" spans="2:79">
      <c r="B90" s="9" t="s">
        <v>126</v>
      </c>
      <c r="C90" s="58" t="s">
        <v>127</v>
      </c>
      <c r="D90" s="58" t="s">
        <v>128</v>
      </c>
      <c r="E90" s="55">
        <f>DSUM($B$60:$Y$65,E$60,$C$73:$D90)</f>
        <v>0.15170963255696115</v>
      </c>
      <c r="F90" s="55">
        <f>DSUM($B$60:$Y$65,F$60,$C$73:$D90)</f>
        <v>0.24122549654832587</v>
      </c>
      <c r="G90" s="55">
        <f>DSUM($B$60:$Y$65,G$60,$C$73:$D90)</f>
        <v>0.48770730451029831</v>
      </c>
      <c r="H90" s="55">
        <f>DSUM($B$60:$Y$65,H$60,$C$73:$D90)</f>
        <v>0.86218646844062263</v>
      </c>
      <c r="I90" s="55">
        <f>DSUM($B$60:$Y$65,I$60,$C$73:$D90)</f>
        <v>1.3540363584451307</v>
      </c>
      <c r="J90" s="55">
        <f>DSUM($B$60:$Y$65,J$60,$C$73:$D90)</f>
        <v>1.912540814550147</v>
      </c>
      <c r="K90" s="55">
        <f>DSUM($B$60:$Y$65,K$60,$C$73:$D90)</f>
        <v>2.4539318871709637</v>
      </c>
      <c r="L90" s="55">
        <f>DSUM($B$60:$Y$65,L$60,$C$73:$D90)</f>
        <v>2.8846162033374196</v>
      </c>
      <c r="M90" s="55">
        <f>DSUM($B$60:$Y$65,M$60,$C$73:$D90)</f>
        <v>3.1290606790544531</v>
      </c>
      <c r="N90" s="55">
        <f>DSUM($B$60:$Y$65,N$60,$C$73:$D90)</f>
        <v>3.1506204689355659</v>
      </c>
      <c r="O90" s="55">
        <f>DSUM($B$60:$Y$65,O$60,$C$73:$D90)</f>
        <v>2.9603622118318911</v>
      </c>
      <c r="P90" s="55">
        <f>DSUM($B$60:$Y$65,P$60,$C$73:$D90)</f>
        <v>2.6070192382821169</v>
      </c>
      <c r="Q90" s="55">
        <f>DSUM($B$60:$Y$65,Q$60,$C$73:$D90)</f>
        <v>2.1600071947035397</v>
      </c>
      <c r="R90" s="55">
        <f>DSUM($B$60:$Y$65,R$60,$C$73:$D90)</f>
        <v>1.6895544449496127</v>
      </c>
      <c r="S90" s="55">
        <f>DSUM($B$60:$Y$65,S$60,$C$73:$D90)</f>
        <v>1.2517712422098033</v>
      </c>
      <c r="T90" s="55">
        <f>DSUM($B$60:$Y$65,T$60,$C$73:$D90)</f>
        <v>0.88097254795970703</v>
      </c>
      <c r="U90" s="55">
        <f>DSUM($B$60:$Y$65,U$60,$C$73:$D90)</f>
        <v>0.59039102818424927</v>
      </c>
      <c r="V90" s="55">
        <f>DSUM($B$60:$Y$65,V$60,$C$73:$D90)</f>
        <v>0.37756391423877317</v>
      </c>
      <c r="W90" s="55">
        <f>DSUM($B$60:$Y$65,W$60,$C$73:$D90)</f>
        <v>0.23094099276860405</v>
      </c>
      <c r="X90" s="55">
        <f>DSUM($B$60:$Y$65,X$60,$C$73:$D90)</f>
        <v>0.13536538574032503</v>
      </c>
      <c r="Y90" s="55">
        <f>DSUM($B$60:$Y$65,Y$60,$C$73:$D90)</f>
        <v>31.424124424486653</v>
      </c>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row>
    <row r="91" spans="2:79">
      <c r="B91" s="9" t="s">
        <v>129</v>
      </c>
      <c r="C91" s="58" t="s">
        <v>130</v>
      </c>
      <c r="D91" s="58" t="s">
        <v>131</v>
      </c>
      <c r="E91" s="55">
        <f>DSUM($B$60:$Y$65,E$60,$C$73:$D91)</f>
        <v>0.15170963255696115</v>
      </c>
      <c r="F91" s="55">
        <f>DSUM($B$60:$Y$65,F$60,$C$73:$D91)</f>
        <v>0.24122549654832587</v>
      </c>
      <c r="G91" s="55">
        <f>DSUM($B$60:$Y$65,G$60,$C$73:$D91)</f>
        <v>0.48770730451029831</v>
      </c>
      <c r="H91" s="55">
        <f>DSUM($B$60:$Y$65,H$60,$C$73:$D91)</f>
        <v>0.86218646844062263</v>
      </c>
      <c r="I91" s="55">
        <f>DSUM($B$60:$Y$65,I$60,$C$73:$D91)</f>
        <v>1.3540363584451307</v>
      </c>
      <c r="J91" s="55">
        <f>DSUM($B$60:$Y$65,J$60,$C$73:$D91)</f>
        <v>1.912540814550147</v>
      </c>
      <c r="K91" s="55">
        <f>DSUM($B$60:$Y$65,K$60,$C$73:$D91)</f>
        <v>2.4539318871709637</v>
      </c>
      <c r="L91" s="55">
        <f>DSUM($B$60:$Y$65,L$60,$C$73:$D91)</f>
        <v>2.8846162033374196</v>
      </c>
      <c r="M91" s="55">
        <f>DSUM($B$60:$Y$65,M$60,$C$73:$D91)</f>
        <v>3.1290606790544531</v>
      </c>
      <c r="N91" s="55">
        <f>DSUM($B$60:$Y$65,N$60,$C$73:$D91)</f>
        <v>3.1506204689355659</v>
      </c>
      <c r="O91" s="55">
        <f>DSUM($B$60:$Y$65,O$60,$C$73:$D91)</f>
        <v>2.9603622118318911</v>
      </c>
      <c r="P91" s="55">
        <f>DSUM($B$60:$Y$65,P$60,$C$73:$D91)</f>
        <v>2.6070192382821169</v>
      </c>
      <c r="Q91" s="55">
        <f>DSUM($B$60:$Y$65,Q$60,$C$73:$D91)</f>
        <v>2.1600071947035397</v>
      </c>
      <c r="R91" s="55">
        <f>DSUM($B$60:$Y$65,R$60,$C$73:$D91)</f>
        <v>1.6895544449496127</v>
      </c>
      <c r="S91" s="55">
        <f>DSUM($B$60:$Y$65,S$60,$C$73:$D91)</f>
        <v>1.2517712422098033</v>
      </c>
      <c r="T91" s="55">
        <f>DSUM($B$60:$Y$65,T$60,$C$73:$D91)</f>
        <v>0.88097254795970703</v>
      </c>
      <c r="U91" s="55">
        <f>DSUM($B$60:$Y$65,U$60,$C$73:$D91)</f>
        <v>0.59039102818424927</v>
      </c>
      <c r="V91" s="55">
        <f>DSUM($B$60:$Y$65,V$60,$C$73:$D91)</f>
        <v>0.37756391423877317</v>
      </c>
      <c r="W91" s="55">
        <f>DSUM($B$60:$Y$65,W$60,$C$73:$D91)</f>
        <v>0.23094099276860405</v>
      </c>
      <c r="X91" s="55">
        <f>DSUM($B$60:$Y$65,X$60,$C$73:$D91)</f>
        <v>0.13536538574032503</v>
      </c>
      <c r="Y91" s="55">
        <f>DSUM($B$60:$Y$65,Y$60,$C$73:$D91)</f>
        <v>31.424124424486653</v>
      </c>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row>
    <row r="92" spans="2:79">
      <c r="B92" s="9" t="s">
        <v>132</v>
      </c>
      <c r="C92" s="58" t="s">
        <v>133</v>
      </c>
      <c r="D92" s="58" t="s">
        <v>134</v>
      </c>
      <c r="E92" s="55">
        <f>DSUM($B$60:$Y$65,E$60,$C$73:$D92)</f>
        <v>0.15170963255696115</v>
      </c>
      <c r="F92" s="55">
        <f>DSUM($B$60:$Y$65,F$60,$C$73:$D92)</f>
        <v>0.24122549654832587</v>
      </c>
      <c r="G92" s="55">
        <f>DSUM($B$60:$Y$65,G$60,$C$73:$D92)</f>
        <v>0.48770730451029831</v>
      </c>
      <c r="H92" s="55">
        <f>DSUM($B$60:$Y$65,H$60,$C$73:$D92)</f>
        <v>0.86218646844062263</v>
      </c>
      <c r="I92" s="55">
        <f>DSUM($B$60:$Y$65,I$60,$C$73:$D92)</f>
        <v>1.3540363584451307</v>
      </c>
      <c r="J92" s="55">
        <f>DSUM($B$60:$Y$65,J$60,$C$73:$D92)</f>
        <v>1.912540814550147</v>
      </c>
      <c r="K92" s="55">
        <f>DSUM($B$60:$Y$65,K$60,$C$73:$D92)</f>
        <v>2.4539318871709637</v>
      </c>
      <c r="L92" s="55">
        <f>DSUM($B$60:$Y$65,L$60,$C$73:$D92)</f>
        <v>2.8846162033374196</v>
      </c>
      <c r="M92" s="55">
        <f>DSUM($B$60:$Y$65,M$60,$C$73:$D92)</f>
        <v>3.1290606790544531</v>
      </c>
      <c r="N92" s="55">
        <f>DSUM($B$60:$Y$65,N$60,$C$73:$D92)</f>
        <v>3.1506204689355659</v>
      </c>
      <c r="O92" s="55">
        <f>DSUM($B$60:$Y$65,O$60,$C$73:$D92)</f>
        <v>2.9603622118318911</v>
      </c>
      <c r="P92" s="55">
        <f>DSUM($B$60:$Y$65,P$60,$C$73:$D92)</f>
        <v>2.6070192382821169</v>
      </c>
      <c r="Q92" s="55">
        <f>DSUM($B$60:$Y$65,Q$60,$C$73:$D92)</f>
        <v>2.1600071947035397</v>
      </c>
      <c r="R92" s="55">
        <f>DSUM($B$60:$Y$65,R$60,$C$73:$D92)</f>
        <v>1.6895544449496127</v>
      </c>
      <c r="S92" s="55">
        <f>DSUM($B$60:$Y$65,S$60,$C$73:$D92)</f>
        <v>1.2517712422098033</v>
      </c>
      <c r="T92" s="55">
        <f>DSUM($B$60:$Y$65,T$60,$C$73:$D92)</f>
        <v>0.88097254795970703</v>
      </c>
      <c r="U92" s="55">
        <f>DSUM($B$60:$Y$65,U$60,$C$73:$D92)</f>
        <v>0.59039102818424927</v>
      </c>
      <c r="V92" s="55">
        <f>DSUM($B$60:$Y$65,V$60,$C$73:$D92)</f>
        <v>0.37756391423877317</v>
      </c>
      <c r="W92" s="55">
        <f>DSUM($B$60:$Y$65,W$60,$C$73:$D92)</f>
        <v>0.23094099276860405</v>
      </c>
      <c r="X92" s="55">
        <f>DSUM($B$60:$Y$65,X$60,$C$73:$D92)</f>
        <v>0.13536538574032503</v>
      </c>
      <c r="Y92" s="55">
        <f>DSUM($B$60:$Y$65,Y$60,$C$73:$D92)</f>
        <v>31.424124424486653</v>
      </c>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row>
    <row r="93" spans="2:79">
      <c r="B93" s="9" t="s">
        <v>135</v>
      </c>
      <c r="C93" s="58" t="s">
        <v>136</v>
      </c>
      <c r="D93" s="58" t="s">
        <v>137</v>
      </c>
      <c r="E93" s="55">
        <f>DSUM($B$60:$Y$65,E$60,$C$73:$D93)</f>
        <v>0.15170963255696115</v>
      </c>
      <c r="F93" s="55">
        <f>DSUM($B$60:$Y$65,F$60,$C$73:$D93)</f>
        <v>0.24122549654832587</v>
      </c>
      <c r="G93" s="55">
        <f>DSUM($B$60:$Y$65,G$60,$C$73:$D93)</f>
        <v>0.48770730451029831</v>
      </c>
      <c r="H93" s="55">
        <f>DSUM($B$60:$Y$65,H$60,$C$73:$D93)</f>
        <v>0.86218646844062263</v>
      </c>
      <c r="I93" s="55">
        <f>DSUM($B$60:$Y$65,I$60,$C$73:$D93)</f>
        <v>1.3540363584451307</v>
      </c>
      <c r="J93" s="55">
        <f>DSUM($B$60:$Y$65,J$60,$C$73:$D93)</f>
        <v>1.912540814550147</v>
      </c>
      <c r="K93" s="55">
        <f>DSUM($B$60:$Y$65,K$60,$C$73:$D93)</f>
        <v>2.4539318871709637</v>
      </c>
      <c r="L93" s="55">
        <f>DSUM($B$60:$Y$65,L$60,$C$73:$D93)</f>
        <v>2.8846162033374196</v>
      </c>
      <c r="M93" s="55">
        <f>DSUM($B$60:$Y$65,M$60,$C$73:$D93)</f>
        <v>3.1290606790544531</v>
      </c>
      <c r="N93" s="55">
        <f>DSUM($B$60:$Y$65,N$60,$C$73:$D93)</f>
        <v>3.1506204689355659</v>
      </c>
      <c r="O93" s="55">
        <f>DSUM($B$60:$Y$65,O$60,$C$73:$D93)</f>
        <v>2.9603622118318911</v>
      </c>
      <c r="P93" s="55">
        <f>DSUM($B$60:$Y$65,P$60,$C$73:$D93)</f>
        <v>2.6070192382821169</v>
      </c>
      <c r="Q93" s="55">
        <f>DSUM($B$60:$Y$65,Q$60,$C$73:$D93)</f>
        <v>2.1600071947035397</v>
      </c>
      <c r="R93" s="55">
        <f>DSUM($B$60:$Y$65,R$60,$C$73:$D93)</f>
        <v>1.6895544449496127</v>
      </c>
      <c r="S93" s="55">
        <f>DSUM($B$60:$Y$65,S$60,$C$73:$D93)</f>
        <v>1.2517712422098033</v>
      </c>
      <c r="T93" s="55">
        <f>DSUM($B$60:$Y$65,T$60,$C$73:$D93)</f>
        <v>0.88097254795970703</v>
      </c>
      <c r="U93" s="55">
        <f>DSUM($B$60:$Y$65,U$60,$C$73:$D93)</f>
        <v>0.59039102818424927</v>
      </c>
      <c r="V93" s="55">
        <f>DSUM($B$60:$Y$65,V$60,$C$73:$D93)</f>
        <v>0.37756391423877317</v>
      </c>
      <c r="W93" s="55">
        <f>DSUM($B$60:$Y$65,W$60,$C$73:$D93)</f>
        <v>0.23094099276860405</v>
      </c>
      <c r="X93" s="55">
        <f>DSUM($B$60:$Y$65,X$60,$C$73:$D93)</f>
        <v>0.13536538574032503</v>
      </c>
      <c r="Y93" s="55">
        <f>DSUM($B$60:$Y$65,Y$60,$C$73:$D93)</f>
        <v>31.424124424486653</v>
      </c>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row>
    <row r="94" spans="2:79">
      <c r="B94" s="9" t="s">
        <v>138</v>
      </c>
      <c r="C94" s="58" t="s">
        <v>139</v>
      </c>
      <c r="D94" s="58" t="s">
        <v>140</v>
      </c>
      <c r="E94" s="55">
        <f>DSUM($B$60:$Y$65,E$60,$C$73:$D94)</f>
        <v>0.15170963255696115</v>
      </c>
      <c r="F94" s="55">
        <f>DSUM($B$60:$Y$65,F$60,$C$73:$D94)</f>
        <v>0.24122549654832587</v>
      </c>
      <c r="G94" s="55">
        <f>DSUM($B$60:$Y$65,G$60,$C$73:$D94)</f>
        <v>0.48770730451029831</v>
      </c>
      <c r="H94" s="55">
        <f>DSUM($B$60:$Y$65,H$60,$C$73:$D94)</f>
        <v>0.86218646844062263</v>
      </c>
      <c r="I94" s="55">
        <f>DSUM($B$60:$Y$65,I$60,$C$73:$D94)</f>
        <v>1.3540363584451307</v>
      </c>
      <c r="J94" s="55">
        <f>DSUM($B$60:$Y$65,J$60,$C$73:$D94)</f>
        <v>1.912540814550147</v>
      </c>
      <c r="K94" s="55">
        <f>DSUM($B$60:$Y$65,K$60,$C$73:$D94)</f>
        <v>2.4539318871709637</v>
      </c>
      <c r="L94" s="55">
        <f>DSUM($B$60:$Y$65,L$60,$C$73:$D94)</f>
        <v>2.8846162033374196</v>
      </c>
      <c r="M94" s="55">
        <f>DSUM($B$60:$Y$65,M$60,$C$73:$D94)</f>
        <v>3.1290606790544531</v>
      </c>
      <c r="N94" s="55">
        <f>DSUM($B$60:$Y$65,N$60,$C$73:$D94)</f>
        <v>3.1506204689355659</v>
      </c>
      <c r="O94" s="55">
        <f>DSUM($B$60:$Y$65,O$60,$C$73:$D94)</f>
        <v>2.9603622118318911</v>
      </c>
      <c r="P94" s="55">
        <f>DSUM($B$60:$Y$65,P$60,$C$73:$D94)</f>
        <v>2.6070192382821169</v>
      </c>
      <c r="Q94" s="55">
        <f>DSUM($B$60:$Y$65,Q$60,$C$73:$D94)</f>
        <v>2.1600071947035397</v>
      </c>
      <c r="R94" s="55">
        <f>DSUM($B$60:$Y$65,R$60,$C$73:$D94)</f>
        <v>1.6895544449496127</v>
      </c>
      <c r="S94" s="55">
        <f>DSUM($B$60:$Y$65,S$60,$C$73:$D94)</f>
        <v>1.2517712422098033</v>
      </c>
      <c r="T94" s="55">
        <f>DSUM($B$60:$Y$65,T$60,$C$73:$D94)</f>
        <v>0.88097254795970703</v>
      </c>
      <c r="U94" s="55">
        <f>DSUM($B$60:$Y$65,U$60,$C$73:$D94)</f>
        <v>0.59039102818424927</v>
      </c>
      <c r="V94" s="55">
        <f>DSUM($B$60:$Y$65,V$60,$C$73:$D94)</f>
        <v>0.37756391423877317</v>
      </c>
      <c r="W94" s="55">
        <f>DSUM($B$60:$Y$65,W$60,$C$73:$D94)</f>
        <v>0.23094099276860405</v>
      </c>
      <c r="X94" s="55">
        <f>DSUM($B$60:$Y$65,X$60,$C$73:$D94)</f>
        <v>0.13536538574032503</v>
      </c>
      <c r="Y94" s="55">
        <f>DSUM($B$60:$Y$65,Y$60,$C$73:$D94)</f>
        <v>31.424124424486653</v>
      </c>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row>
    <row r="95" spans="2:79">
      <c r="B95" s="9" t="s">
        <v>293</v>
      </c>
      <c r="C95" s="58" t="s">
        <v>141</v>
      </c>
      <c r="D95" s="58" t="s">
        <v>294</v>
      </c>
      <c r="E95" s="55">
        <f>DSUM($B$60:$Y$65,E$60,$C$73:$D95)</f>
        <v>0.15170963255696115</v>
      </c>
      <c r="F95" s="55">
        <f>DSUM($B$60:$Y$65,F$60,$C$73:$D95)</f>
        <v>0.24122549654832587</v>
      </c>
      <c r="G95" s="55">
        <f>DSUM($B$60:$Y$65,G$60,$C$73:$D95)</f>
        <v>0.48770730451029831</v>
      </c>
      <c r="H95" s="55">
        <f>DSUM($B$60:$Y$65,H$60,$C$73:$D95)</f>
        <v>0.86218646844062263</v>
      </c>
      <c r="I95" s="55">
        <f>DSUM($B$60:$Y$65,I$60,$C$73:$D95)</f>
        <v>1.3540363584451307</v>
      </c>
      <c r="J95" s="55">
        <f>DSUM($B$60:$Y$65,J$60,$C$73:$D95)</f>
        <v>1.912540814550147</v>
      </c>
      <c r="K95" s="55">
        <f>DSUM($B$60:$Y$65,K$60,$C$73:$D95)</f>
        <v>2.4539318871709637</v>
      </c>
      <c r="L95" s="55">
        <f>DSUM($B$60:$Y$65,L$60,$C$73:$D95)</f>
        <v>2.8846162033374196</v>
      </c>
      <c r="M95" s="55">
        <f>DSUM($B$60:$Y$65,M$60,$C$73:$D95)</f>
        <v>3.1290606790544531</v>
      </c>
      <c r="N95" s="55">
        <f>DSUM($B$60:$Y$65,N$60,$C$73:$D95)</f>
        <v>3.1506204689355659</v>
      </c>
      <c r="O95" s="55">
        <f>DSUM($B$60:$Y$65,O$60,$C$73:$D95)</f>
        <v>2.9603622118318911</v>
      </c>
      <c r="P95" s="55">
        <f>DSUM($B$60:$Y$65,P$60,$C$73:$D95)</f>
        <v>2.6070192382821169</v>
      </c>
      <c r="Q95" s="55">
        <f>DSUM($B$60:$Y$65,Q$60,$C$73:$D95)</f>
        <v>2.1600071947035397</v>
      </c>
      <c r="R95" s="55">
        <f>DSUM($B$60:$Y$65,R$60,$C$73:$D95)</f>
        <v>1.6895544449496127</v>
      </c>
      <c r="S95" s="55">
        <f>DSUM($B$60:$Y$65,S$60,$C$73:$D95)</f>
        <v>1.2517712422098033</v>
      </c>
      <c r="T95" s="55">
        <f>DSUM($B$60:$Y$65,T$60,$C$73:$D95)</f>
        <v>0.88097254795970703</v>
      </c>
      <c r="U95" s="55">
        <f>DSUM($B$60:$Y$65,U$60,$C$73:$D95)</f>
        <v>0.59039102818424927</v>
      </c>
      <c r="V95" s="55">
        <f>DSUM($B$60:$Y$65,V$60,$C$73:$D95)</f>
        <v>0.37756391423877317</v>
      </c>
      <c r="W95" s="55">
        <f>DSUM($B$60:$Y$65,W$60,$C$73:$D95)</f>
        <v>0.23094099276860405</v>
      </c>
      <c r="X95" s="55">
        <f>DSUM($B$60:$Y$65,X$60,$C$73:$D95)</f>
        <v>0.13536538574032503</v>
      </c>
      <c r="Y95" s="55">
        <f>DSUM($B$60:$Y$65,Y$60,$C$73:$D95)</f>
        <v>31.424124424486653</v>
      </c>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2:79">
      <c r="B96" s="9" t="s">
        <v>295</v>
      </c>
      <c r="C96" s="58" t="s">
        <v>296</v>
      </c>
      <c r="D96" s="58" t="s">
        <v>297</v>
      </c>
      <c r="E96" s="55">
        <f>DSUM($B$60:$Y$65,E$60,$C$73:$D96)</f>
        <v>0.15170963255696115</v>
      </c>
      <c r="F96" s="55">
        <f>DSUM($B$60:$Y$65,F$60,$C$73:$D96)</f>
        <v>0.24122549654832587</v>
      </c>
      <c r="G96" s="55">
        <f>DSUM($B$60:$Y$65,G$60,$C$73:$D96)</f>
        <v>0.48770730451029831</v>
      </c>
      <c r="H96" s="55">
        <f>DSUM($B$60:$Y$65,H$60,$C$73:$D96)</f>
        <v>0.86218646844062263</v>
      </c>
      <c r="I96" s="55">
        <f>DSUM($B$60:$Y$65,I$60,$C$73:$D96)</f>
        <v>1.3540363584451307</v>
      </c>
      <c r="J96" s="55">
        <f>DSUM($B$60:$Y$65,J$60,$C$73:$D96)</f>
        <v>1.912540814550147</v>
      </c>
      <c r="K96" s="55">
        <f>DSUM($B$60:$Y$65,K$60,$C$73:$D96)</f>
        <v>2.4539318871709637</v>
      </c>
      <c r="L96" s="55">
        <f>DSUM($B$60:$Y$65,L$60,$C$73:$D96)</f>
        <v>2.8846162033374196</v>
      </c>
      <c r="M96" s="55">
        <f>DSUM($B$60:$Y$65,M$60,$C$73:$D96)</f>
        <v>3.1290606790544531</v>
      </c>
      <c r="N96" s="55">
        <f>DSUM($B$60:$Y$65,N$60,$C$73:$D96)</f>
        <v>3.1506204689355659</v>
      </c>
      <c r="O96" s="55">
        <f>DSUM($B$60:$Y$65,O$60,$C$73:$D96)</f>
        <v>2.9603622118318911</v>
      </c>
      <c r="P96" s="55">
        <f>DSUM($B$60:$Y$65,P$60,$C$73:$D96)</f>
        <v>2.6070192382821169</v>
      </c>
      <c r="Q96" s="55">
        <f>DSUM($B$60:$Y$65,Q$60,$C$73:$D96)</f>
        <v>2.1600071947035397</v>
      </c>
      <c r="R96" s="55">
        <f>DSUM($B$60:$Y$65,R$60,$C$73:$D96)</f>
        <v>1.6895544449496127</v>
      </c>
      <c r="S96" s="55">
        <f>DSUM($B$60:$Y$65,S$60,$C$73:$D96)</f>
        <v>1.2517712422098033</v>
      </c>
      <c r="T96" s="55">
        <f>DSUM($B$60:$Y$65,T$60,$C$73:$D96)</f>
        <v>0.88097254795970703</v>
      </c>
      <c r="U96" s="55">
        <f>DSUM($B$60:$Y$65,U$60,$C$73:$D96)</f>
        <v>0.59039102818424927</v>
      </c>
      <c r="V96" s="55">
        <f>DSUM($B$60:$Y$65,V$60,$C$73:$D96)</f>
        <v>0.37756391423877317</v>
      </c>
      <c r="W96" s="55">
        <f>DSUM($B$60:$Y$65,W$60,$C$73:$D96)</f>
        <v>0.23094099276860405</v>
      </c>
      <c r="X96" s="55">
        <f>DSUM($B$60:$Y$65,X$60,$C$73:$D96)</f>
        <v>0.13536538574032503</v>
      </c>
      <c r="Y96" s="55">
        <f>DSUM($B$60:$Y$65,Y$60,$C$73:$D96)</f>
        <v>31.424124424486653</v>
      </c>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1:79">
      <c r="B97" s="9" t="s">
        <v>298</v>
      </c>
      <c r="C97" s="58" t="s">
        <v>299</v>
      </c>
      <c r="D97" s="58" t="s">
        <v>300</v>
      </c>
      <c r="E97" s="55">
        <f>DSUM($B$60:$Y$65,E$60,$C$73:$D97)</f>
        <v>0.15170963255696115</v>
      </c>
      <c r="F97" s="55">
        <f>DSUM($B$60:$Y$65,F$60,$C$73:$D97)</f>
        <v>0.24122549654832587</v>
      </c>
      <c r="G97" s="55">
        <f>DSUM($B$60:$Y$65,G$60,$C$73:$D97)</f>
        <v>0.48770730451029831</v>
      </c>
      <c r="H97" s="55">
        <f>DSUM($B$60:$Y$65,H$60,$C$73:$D97)</f>
        <v>0.86218646844062263</v>
      </c>
      <c r="I97" s="55">
        <f>DSUM($B$60:$Y$65,I$60,$C$73:$D97)</f>
        <v>1.3540363584451307</v>
      </c>
      <c r="J97" s="55">
        <f>DSUM($B$60:$Y$65,J$60,$C$73:$D97)</f>
        <v>1.912540814550147</v>
      </c>
      <c r="K97" s="55">
        <f>DSUM($B$60:$Y$65,K$60,$C$73:$D97)</f>
        <v>2.4539318871709637</v>
      </c>
      <c r="L97" s="55">
        <f>DSUM($B$60:$Y$65,L$60,$C$73:$D97)</f>
        <v>2.8846162033374196</v>
      </c>
      <c r="M97" s="55">
        <f>DSUM($B$60:$Y$65,M$60,$C$73:$D97)</f>
        <v>3.1290606790544531</v>
      </c>
      <c r="N97" s="55">
        <f>DSUM($B$60:$Y$65,N$60,$C$73:$D97)</f>
        <v>3.1506204689355659</v>
      </c>
      <c r="O97" s="55">
        <f>DSUM($B$60:$Y$65,O$60,$C$73:$D97)</f>
        <v>2.9603622118318911</v>
      </c>
      <c r="P97" s="55">
        <f>DSUM($B$60:$Y$65,P$60,$C$73:$D97)</f>
        <v>2.6070192382821169</v>
      </c>
      <c r="Q97" s="55">
        <f>DSUM($B$60:$Y$65,Q$60,$C$73:$D97)</f>
        <v>2.1600071947035397</v>
      </c>
      <c r="R97" s="55">
        <f>DSUM($B$60:$Y$65,R$60,$C$73:$D97)</f>
        <v>1.6895544449496127</v>
      </c>
      <c r="S97" s="55">
        <f>DSUM($B$60:$Y$65,S$60,$C$73:$D97)</f>
        <v>1.2517712422098033</v>
      </c>
      <c r="T97" s="55">
        <f>DSUM($B$60:$Y$65,T$60,$C$73:$D97)</f>
        <v>0.88097254795970703</v>
      </c>
      <c r="U97" s="55">
        <f>DSUM($B$60:$Y$65,U$60,$C$73:$D97)</f>
        <v>0.59039102818424927</v>
      </c>
      <c r="V97" s="55">
        <f>DSUM($B$60:$Y$65,V$60,$C$73:$D97)</f>
        <v>0.37756391423877317</v>
      </c>
      <c r="W97" s="55">
        <f>DSUM($B$60:$Y$65,W$60,$C$73:$D97)</f>
        <v>0.23094099276860405</v>
      </c>
      <c r="X97" s="55">
        <f>DSUM($B$60:$Y$65,X$60,$C$73:$D97)</f>
        <v>0.13536538574032503</v>
      </c>
      <c r="Y97" s="55">
        <f>DSUM($B$60:$Y$65,Y$60,$C$73:$D97)</f>
        <v>31.424124424486653</v>
      </c>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1:79">
      <c r="B98" s="9" t="s">
        <v>301</v>
      </c>
      <c r="C98" s="58" t="s">
        <v>302</v>
      </c>
      <c r="D98" s="58" t="s">
        <v>303</v>
      </c>
      <c r="E98" s="55">
        <f>DSUM($B$60:$Y$65,E$60,$C$73:$D98)</f>
        <v>0.15170963255696115</v>
      </c>
      <c r="F98" s="55">
        <f>DSUM($B$60:$Y$65,F$60,$C$73:$D98)</f>
        <v>0.24122549654832587</v>
      </c>
      <c r="G98" s="55">
        <f>DSUM($B$60:$Y$65,G$60,$C$73:$D98)</f>
        <v>0.48770730451029831</v>
      </c>
      <c r="H98" s="55">
        <f>DSUM($B$60:$Y$65,H$60,$C$73:$D98)</f>
        <v>0.86218646844062263</v>
      </c>
      <c r="I98" s="55">
        <f>DSUM($B$60:$Y$65,I$60,$C$73:$D98)</f>
        <v>1.3540363584451307</v>
      </c>
      <c r="J98" s="55">
        <f>DSUM($B$60:$Y$65,J$60,$C$73:$D98)</f>
        <v>1.912540814550147</v>
      </c>
      <c r="K98" s="55">
        <f>DSUM($B$60:$Y$65,K$60,$C$73:$D98)</f>
        <v>2.4539318871709637</v>
      </c>
      <c r="L98" s="55">
        <f>DSUM($B$60:$Y$65,L$60,$C$73:$D98)</f>
        <v>2.8846162033374196</v>
      </c>
      <c r="M98" s="55">
        <f>DSUM($B$60:$Y$65,M$60,$C$73:$D98)</f>
        <v>3.1290606790544531</v>
      </c>
      <c r="N98" s="55">
        <f>DSUM($B$60:$Y$65,N$60,$C$73:$D98)</f>
        <v>3.1506204689355659</v>
      </c>
      <c r="O98" s="55">
        <f>DSUM($B$60:$Y$65,O$60,$C$73:$D98)</f>
        <v>2.9603622118318911</v>
      </c>
      <c r="P98" s="55">
        <f>DSUM($B$60:$Y$65,P$60,$C$73:$D98)</f>
        <v>2.6070192382821169</v>
      </c>
      <c r="Q98" s="55">
        <f>DSUM($B$60:$Y$65,Q$60,$C$73:$D98)</f>
        <v>2.1600071947035397</v>
      </c>
      <c r="R98" s="55">
        <f>DSUM($B$60:$Y$65,R$60,$C$73:$D98)</f>
        <v>1.6895544449496127</v>
      </c>
      <c r="S98" s="55">
        <f>DSUM($B$60:$Y$65,S$60,$C$73:$D98)</f>
        <v>1.2517712422098033</v>
      </c>
      <c r="T98" s="55">
        <f>DSUM($B$60:$Y$65,T$60,$C$73:$D98)</f>
        <v>0.88097254795970703</v>
      </c>
      <c r="U98" s="55">
        <f>DSUM($B$60:$Y$65,U$60,$C$73:$D98)</f>
        <v>0.59039102818424927</v>
      </c>
      <c r="V98" s="55">
        <f>DSUM($B$60:$Y$65,V$60,$C$73:$D98)</f>
        <v>0.37756391423877317</v>
      </c>
      <c r="W98" s="55">
        <f>DSUM($B$60:$Y$65,W$60,$C$73:$D98)</f>
        <v>0.23094099276860405</v>
      </c>
      <c r="X98" s="55">
        <f>DSUM($B$60:$Y$65,X$60,$C$73:$D98)</f>
        <v>0.13536538574032503</v>
      </c>
      <c r="Y98" s="55">
        <f>DSUM($B$60:$Y$65,Y$60,$C$73:$D98)</f>
        <v>31.424124424486653</v>
      </c>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1:79">
      <c r="B99" s="9" t="s">
        <v>304</v>
      </c>
      <c r="C99" s="58" t="s">
        <v>305</v>
      </c>
      <c r="D99" s="58" t="s">
        <v>306</v>
      </c>
      <c r="E99" s="55">
        <f>DSUM($B$60:$Y$65,E$60,$C$73:$D99)</f>
        <v>0.15170963255696115</v>
      </c>
      <c r="F99" s="55">
        <f>DSUM($B$60:$Y$65,F$60,$C$73:$D99)</f>
        <v>0.24122549654832587</v>
      </c>
      <c r="G99" s="55">
        <f>DSUM($B$60:$Y$65,G$60,$C$73:$D99)</f>
        <v>0.48770730451029831</v>
      </c>
      <c r="H99" s="55">
        <f>DSUM($B$60:$Y$65,H$60,$C$73:$D99)</f>
        <v>0.86218646844062263</v>
      </c>
      <c r="I99" s="55">
        <f>DSUM($B$60:$Y$65,I$60,$C$73:$D99)</f>
        <v>1.3540363584451307</v>
      </c>
      <c r="J99" s="55">
        <f>DSUM($B$60:$Y$65,J$60,$C$73:$D99)</f>
        <v>1.912540814550147</v>
      </c>
      <c r="K99" s="55">
        <f>DSUM($B$60:$Y$65,K$60,$C$73:$D99)</f>
        <v>2.4539318871709637</v>
      </c>
      <c r="L99" s="55">
        <f>DSUM($B$60:$Y$65,L$60,$C$73:$D99)</f>
        <v>2.8846162033374196</v>
      </c>
      <c r="M99" s="55">
        <f>DSUM($B$60:$Y$65,M$60,$C$73:$D99)</f>
        <v>3.1290606790544531</v>
      </c>
      <c r="N99" s="55">
        <f>DSUM($B$60:$Y$65,N$60,$C$73:$D99)</f>
        <v>3.1506204689355659</v>
      </c>
      <c r="O99" s="55">
        <f>DSUM($B$60:$Y$65,O$60,$C$73:$D99)</f>
        <v>2.9603622118318911</v>
      </c>
      <c r="P99" s="55">
        <f>DSUM($B$60:$Y$65,P$60,$C$73:$D99)</f>
        <v>2.6070192382821169</v>
      </c>
      <c r="Q99" s="55">
        <f>DSUM($B$60:$Y$65,Q$60,$C$73:$D99)</f>
        <v>2.1600071947035397</v>
      </c>
      <c r="R99" s="55">
        <f>DSUM($B$60:$Y$65,R$60,$C$73:$D99)</f>
        <v>1.6895544449496127</v>
      </c>
      <c r="S99" s="55">
        <f>DSUM($B$60:$Y$65,S$60,$C$73:$D99)</f>
        <v>1.2517712422098033</v>
      </c>
      <c r="T99" s="55">
        <f>DSUM($B$60:$Y$65,T$60,$C$73:$D99)</f>
        <v>0.88097254795970703</v>
      </c>
      <c r="U99" s="55">
        <f>DSUM($B$60:$Y$65,U$60,$C$73:$D99)</f>
        <v>0.59039102818424927</v>
      </c>
      <c r="V99" s="55">
        <f>DSUM($B$60:$Y$65,V$60,$C$73:$D99)</f>
        <v>0.37756391423877317</v>
      </c>
      <c r="W99" s="55">
        <f>DSUM($B$60:$Y$65,W$60,$C$73:$D99)</f>
        <v>0.23094099276860405</v>
      </c>
      <c r="X99" s="55">
        <f>DSUM($B$60:$Y$65,X$60,$C$73:$D99)</f>
        <v>0.13536538574032503</v>
      </c>
      <c r="Y99" s="55">
        <f>DSUM($B$60:$Y$65,Y$60,$C$73:$D99)</f>
        <v>31.424124424486653</v>
      </c>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1:79">
      <c r="B100" s="9" t="s">
        <v>307</v>
      </c>
      <c r="C100" s="58" t="s">
        <v>308</v>
      </c>
      <c r="D100" s="58" t="s">
        <v>309</v>
      </c>
      <c r="E100" s="55">
        <f>DSUM($B$60:$Y$65,E$60,$C$73:$D100)</f>
        <v>0.15170963255696115</v>
      </c>
      <c r="F100" s="55">
        <f>DSUM($B$60:$Y$65,F$60,$C$73:$D100)</f>
        <v>0.24122549654832587</v>
      </c>
      <c r="G100" s="55">
        <f>DSUM($B$60:$Y$65,G$60,$C$73:$D100)</f>
        <v>0.48770730451029831</v>
      </c>
      <c r="H100" s="55">
        <f>DSUM($B$60:$Y$65,H$60,$C$73:$D100)</f>
        <v>0.86218646844062263</v>
      </c>
      <c r="I100" s="55">
        <f>DSUM($B$60:$Y$65,I$60,$C$73:$D100)</f>
        <v>1.3540363584451307</v>
      </c>
      <c r="J100" s="55">
        <f>DSUM($B$60:$Y$65,J$60,$C$73:$D100)</f>
        <v>1.912540814550147</v>
      </c>
      <c r="K100" s="55">
        <f>DSUM($B$60:$Y$65,K$60,$C$73:$D100)</f>
        <v>2.4539318871709637</v>
      </c>
      <c r="L100" s="55">
        <f>DSUM($B$60:$Y$65,L$60,$C$73:$D100)</f>
        <v>2.8846162033374196</v>
      </c>
      <c r="M100" s="55">
        <f>DSUM($B$60:$Y$65,M$60,$C$73:$D100)</f>
        <v>3.1290606790544531</v>
      </c>
      <c r="N100" s="55">
        <f>DSUM($B$60:$Y$65,N$60,$C$73:$D100)</f>
        <v>3.1506204689355659</v>
      </c>
      <c r="O100" s="55">
        <f>DSUM($B$60:$Y$65,O$60,$C$73:$D100)</f>
        <v>2.9603622118318911</v>
      </c>
      <c r="P100" s="55">
        <f>DSUM($B$60:$Y$65,P$60,$C$73:$D100)</f>
        <v>2.6070192382821169</v>
      </c>
      <c r="Q100" s="55">
        <f>DSUM($B$60:$Y$65,Q$60,$C$73:$D100)</f>
        <v>2.1600071947035397</v>
      </c>
      <c r="R100" s="55">
        <f>DSUM($B$60:$Y$65,R$60,$C$73:$D100)</f>
        <v>1.6895544449496127</v>
      </c>
      <c r="S100" s="55">
        <f>DSUM($B$60:$Y$65,S$60,$C$73:$D100)</f>
        <v>1.2517712422098033</v>
      </c>
      <c r="T100" s="55">
        <f>DSUM($B$60:$Y$65,T$60,$C$73:$D100)</f>
        <v>0.88097254795970703</v>
      </c>
      <c r="U100" s="55">
        <f>DSUM($B$60:$Y$65,U$60,$C$73:$D100)</f>
        <v>0.59039102818424927</v>
      </c>
      <c r="V100" s="55">
        <f>DSUM($B$60:$Y$65,V$60,$C$73:$D100)</f>
        <v>0.37756391423877317</v>
      </c>
      <c r="W100" s="55">
        <f>DSUM($B$60:$Y$65,W$60,$C$73:$D100)</f>
        <v>0.23094099276860405</v>
      </c>
      <c r="X100" s="55">
        <f>DSUM($B$60:$Y$65,X$60,$C$73:$D100)</f>
        <v>0.13536538574032503</v>
      </c>
      <c r="Y100" s="55">
        <f>DSUM($B$60:$Y$65,Y$60,$C$73:$D100)</f>
        <v>31.424124424486653</v>
      </c>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1:79">
      <c r="B101" s="9" t="s">
        <v>310</v>
      </c>
      <c r="C101" s="58" t="s">
        <v>311</v>
      </c>
      <c r="D101" s="58" t="s">
        <v>312</v>
      </c>
      <c r="E101" s="55">
        <f>DSUM($B$60:$Y$65,E$60,$C$73:$D101)</f>
        <v>0.15170963255696115</v>
      </c>
      <c r="F101" s="55">
        <f>DSUM($B$60:$Y$65,F$60,$C$73:$D101)</f>
        <v>0.24122549654832587</v>
      </c>
      <c r="G101" s="55">
        <f>DSUM($B$60:$Y$65,G$60,$C$73:$D101)</f>
        <v>0.48770730451029831</v>
      </c>
      <c r="H101" s="55">
        <f>DSUM($B$60:$Y$65,H$60,$C$73:$D101)</f>
        <v>0.86218646844062263</v>
      </c>
      <c r="I101" s="55">
        <f>DSUM($B$60:$Y$65,I$60,$C$73:$D101)</f>
        <v>1.3540363584451307</v>
      </c>
      <c r="J101" s="55">
        <f>DSUM($B$60:$Y$65,J$60,$C$73:$D101)</f>
        <v>1.912540814550147</v>
      </c>
      <c r="K101" s="55">
        <f>DSUM($B$60:$Y$65,K$60,$C$73:$D101)</f>
        <v>2.4539318871709637</v>
      </c>
      <c r="L101" s="55">
        <f>DSUM($B$60:$Y$65,L$60,$C$73:$D101)</f>
        <v>2.8846162033374196</v>
      </c>
      <c r="M101" s="55">
        <f>DSUM($B$60:$Y$65,M$60,$C$73:$D101)</f>
        <v>3.1290606790544531</v>
      </c>
      <c r="N101" s="55">
        <f>DSUM($B$60:$Y$65,N$60,$C$73:$D101)</f>
        <v>3.1506204689355659</v>
      </c>
      <c r="O101" s="55">
        <f>DSUM($B$60:$Y$65,O$60,$C$73:$D101)</f>
        <v>2.9603622118318911</v>
      </c>
      <c r="P101" s="55">
        <f>DSUM($B$60:$Y$65,P$60,$C$73:$D101)</f>
        <v>2.6070192382821169</v>
      </c>
      <c r="Q101" s="55">
        <f>DSUM($B$60:$Y$65,Q$60,$C$73:$D101)</f>
        <v>2.1600071947035397</v>
      </c>
      <c r="R101" s="55">
        <f>DSUM($B$60:$Y$65,R$60,$C$73:$D101)</f>
        <v>1.6895544449496127</v>
      </c>
      <c r="S101" s="55">
        <f>DSUM($B$60:$Y$65,S$60,$C$73:$D101)</f>
        <v>1.2517712422098033</v>
      </c>
      <c r="T101" s="55">
        <f>DSUM($B$60:$Y$65,T$60,$C$73:$D101)</f>
        <v>0.88097254795970703</v>
      </c>
      <c r="U101" s="55">
        <f>DSUM($B$60:$Y$65,U$60,$C$73:$D101)</f>
        <v>0.59039102818424927</v>
      </c>
      <c r="V101" s="55">
        <f>DSUM($B$60:$Y$65,V$60,$C$73:$D101)</f>
        <v>0.37756391423877317</v>
      </c>
      <c r="W101" s="55">
        <f>DSUM($B$60:$Y$65,W$60,$C$73:$D101)</f>
        <v>0.23094099276860405</v>
      </c>
      <c r="X101" s="55">
        <f>DSUM($B$60:$Y$65,X$60,$C$73:$D101)</f>
        <v>0.13536538574032503</v>
      </c>
      <c r="Y101" s="55">
        <f>DSUM($B$60:$Y$65,Y$60,$C$73:$D101)</f>
        <v>31.424124424486653</v>
      </c>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1:79">
      <c r="B102" s="9" t="s">
        <v>313</v>
      </c>
      <c r="C102" s="58" t="s">
        <v>314</v>
      </c>
      <c r="D102" s="58" t="s">
        <v>315</v>
      </c>
      <c r="E102" s="55">
        <f>DSUM($B$60:$Y$65,E$60,$C$73:$D102)</f>
        <v>0.15170963255696115</v>
      </c>
      <c r="F102" s="55">
        <f>DSUM($B$60:$Y$65,F$60,$C$73:$D102)</f>
        <v>0.24122549654832587</v>
      </c>
      <c r="G102" s="55">
        <f>DSUM($B$60:$Y$65,G$60,$C$73:$D102)</f>
        <v>0.48770730451029831</v>
      </c>
      <c r="H102" s="55">
        <f>DSUM($B$60:$Y$65,H$60,$C$73:$D102)</f>
        <v>0.86218646844062263</v>
      </c>
      <c r="I102" s="55">
        <f>DSUM($B$60:$Y$65,I$60,$C$73:$D102)</f>
        <v>1.3540363584451307</v>
      </c>
      <c r="J102" s="55">
        <f>DSUM($B$60:$Y$65,J$60,$C$73:$D102)</f>
        <v>1.912540814550147</v>
      </c>
      <c r="K102" s="55">
        <f>DSUM($B$60:$Y$65,K$60,$C$73:$D102)</f>
        <v>2.4539318871709637</v>
      </c>
      <c r="L102" s="55">
        <f>DSUM($B$60:$Y$65,L$60,$C$73:$D102)</f>
        <v>2.8846162033374196</v>
      </c>
      <c r="M102" s="55">
        <f>DSUM($B$60:$Y$65,M$60,$C$73:$D102)</f>
        <v>3.1290606790544531</v>
      </c>
      <c r="N102" s="55">
        <f>DSUM($B$60:$Y$65,N$60,$C$73:$D102)</f>
        <v>3.1506204689355659</v>
      </c>
      <c r="O102" s="55">
        <f>DSUM($B$60:$Y$65,O$60,$C$73:$D102)</f>
        <v>2.9603622118318911</v>
      </c>
      <c r="P102" s="55">
        <f>DSUM($B$60:$Y$65,P$60,$C$73:$D102)</f>
        <v>2.6070192382821169</v>
      </c>
      <c r="Q102" s="55">
        <f>DSUM($B$60:$Y$65,Q$60,$C$73:$D102)</f>
        <v>2.1600071947035397</v>
      </c>
      <c r="R102" s="55">
        <f>DSUM($B$60:$Y$65,R$60,$C$73:$D102)</f>
        <v>1.6895544449496127</v>
      </c>
      <c r="S102" s="55">
        <f>DSUM($B$60:$Y$65,S$60,$C$73:$D102)</f>
        <v>1.2517712422098033</v>
      </c>
      <c r="T102" s="55">
        <f>DSUM($B$60:$Y$65,T$60,$C$73:$D102)</f>
        <v>0.88097254795970703</v>
      </c>
      <c r="U102" s="55">
        <f>DSUM($B$60:$Y$65,U$60,$C$73:$D102)</f>
        <v>0.59039102818424927</v>
      </c>
      <c r="V102" s="55">
        <f>DSUM($B$60:$Y$65,V$60,$C$73:$D102)</f>
        <v>0.37756391423877317</v>
      </c>
      <c r="W102" s="55">
        <f>DSUM($B$60:$Y$65,W$60,$C$73:$D102)</f>
        <v>0.23094099276860405</v>
      </c>
      <c r="X102" s="55">
        <f>DSUM($B$60:$Y$65,X$60,$C$73:$D102)</f>
        <v>0.13536538574032503</v>
      </c>
      <c r="Y102" s="55">
        <f>DSUM($B$60:$Y$65,Y$60,$C$73:$D102)</f>
        <v>31.424124424486653</v>
      </c>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1:79">
      <c r="B103" s="9" t="s">
        <v>316</v>
      </c>
      <c r="C103" s="58" t="s">
        <v>317</v>
      </c>
      <c r="D103" s="58" t="s">
        <v>318</v>
      </c>
      <c r="E103" s="55">
        <f>DSUM($B$60:$Y$65,E$60,$C$73:$D103)</f>
        <v>0.15170963255696115</v>
      </c>
      <c r="F103" s="55">
        <f>DSUM($B$60:$Y$65,F$60,$C$73:$D103)</f>
        <v>0.24122549654832587</v>
      </c>
      <c r="G103" s="55">
        <f>DSUM($B$60:$Y$65,G$60,$C$73:$D103)</f>
        <v>0.48770730451029831</v>
      </c>
      <c r="H103" s="55">
        <f>DSUM($B$60:$Y$65,H$60,$C$73:$D103)</f>
        <v>0.86218646844062263</v>
      </c>
      <c r="I103" s="55">
        <f>DSUM($B$60:$Y$65,I$60,$C$73:$D103)</f>
        <v>1.3540363584451307</v>
      </c>
      <c r="J103" s="55">
        <f>DSUM($B$60:$Y$65,J$60,$C$73:$D103)</f>
        <v>1.912540814550147</v>
      </c>
      <c r="K103" s="55">
        <f>DSUM($B$60:$Y$65,K$60,$C$73:$D103)</f>
        <v>2.4539318871709637</v>
      </c>
      <c r="L103" s="55">
        <f>DSUM($B$60:$Y$65,L$60,$C$73:$D103)</f>
        <v>2.8846162033374196</v>
      </c>
      <c r="M103" s="55">
        <f>DSUM($B$60:$Y$65,M$60,$C$73:$D103)</f>
        <v>3.1290606790544531</v>
      </c>
      <c r="N103" s="55">
        <f>DSUM($B$60:$Y$65,N$60,$C$73:$D103)</f>
        <v>3.1506204689355659</v>
      </c>
      <c r="O103" s="55">
        <f>DSUM($B$60:$Y$65,O$60,$C$73:$D103)</f>
        <v>2.9603622118318911</v>
      </c>
      <c r="P103" s="55">
        <f>DSUM($B$60:$Y$65,P$60,$C$73:$D103)</f>
        <v>2.6070192382821169</v>
      </c>
      <c r="Q103" s="55">
        <f>DSUM($B$60:$Y$65,Q$60,$C$73:$D103)</f>
        <v>2.1600071947035397</v>
      </c>
      <c r="R103" s="55">
        <f>DSUM($B$60:$Y$65,R$60,$C$73:$D103)</f>
        <v>1.6895544449496127</v>
      </c>
      <c r="S103" s="55">
        <f>DSUM($B$60:$Y$65,S$60,$C$73:$D103)</f>
        <v>1.2517712422098033</v>
      </c>
      <c r="T103" s="55">
        <f>DSUM($B$60:$Y$65,T$60,$C$73:$D103)</f>
        <v>0.88097254795970703</v>
      </c>
      <c r="U103" s="55">
        <f>DSUM($B$60:$Y$65,U$60,$C$73:$D103)</f>
        <v>0.59039102818424927</v>
      </c>
      <c r="V103" s="55">
        <f>DSUM($B$60:$Y$65,V$60,$C$73:$D103)</f>
        <v>0.37756391423877317</v>
      </c>
      <c r="W103" s="55">
        <f>DSUM($B$60:$Y$65,W$60,$C$73:$D103)</f>
        <v>0.23094099276860405</v>
      </c>
      <c r="X103" s="55">
        <f>DSUM($B$60:$Y$65,X$60,$C$73:$D103)</f>
        <v>0.13536538574032503</v>
      </c>
      <c r="Y103" s="55">
        <f>DSUM($B$60:$Y$65,Y$60,$C$73:$D103)</f>
        <v>31.424124424486653</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1:79">
      <c r="B104" s="9" t="s">
        <v>319</v>
      </c>
      <c r="C104" s="58" t="s">
        <v>320</v>
      </c>
      <c r="D104" s="58" t="s">
        <v>321</v>
      </c>
      <c r="E104" s="55">
        <f>DSUM($B$60:$Y$65,E$60,$C$73:$D104)</f>
        <v>0.15170963255696115</v>
      </c>
      <c r="F104" s="55">
        <f>DSUM($B$60:$Y$65,F$60,$C$73:$D104)</f>
        <v>0.24122549654832587</v>
      </c>
      <c r="G104" s="55">
        <f>DSUM($B$60:$Y$65,G$60,$C$73:$D104)</f>
        <v>0.48770730451029831</v>
      </c>
      <c r="H104" s="55">
        <f>DSUM($B$60:$Y$65,H$60,$C$73:$D104)</f>
        <v>0.86218646844062263</v>
      </c>
      <c r="I104" s="55">
        <f>DSUM($B$60:$Y$65,I$60,$C$73:$D104)</f>
        <v>1.3540363584451307</v>
      </c>
      <c r="J104" s="55">
        <f>DSUM($B$60:$Y$65,J$60,$C$73:$D104)</f>
        <v>1.912540814550147</v>
      </c>
      <c r="K104" s="55">
        <f>DSUM($B$60:$Y$65,K$60,$C$73:$D104)</f>
        <v>2.4539318871709637</v>
      </c>
      <c r="L104" s="55">
        <f>DSUM($B$60:$Y$65,L$60,$C$73:$D104)</f>
        <v>2.8846162033374196</v>
      </c>
      <c r="M104" s="55">
        <f>DSUM($B$60:$Y$65,M$60,$C$73:$D104)</f>
        <v>3.1290606790544531</v>
      </c>
      <c r="N104" s="55">
        <f>DSUM($B$60:$Y$65,N$60,$C$73:$D104)</f>
        <v>3.1506204689355659</v>
      </c>
      <c r="O104" s="55">
        <f>DSUM($B$60:$Y$65,O$60,$C$73:$D104)</f>
        <v>2.9603622118318911</v>
      </c>
      <c r="P104" s="55">
        <f>DSUM($B$60:$Y$65,P$60,$C$73:$D104)</f>
        <v>2.6070192382821169</v>
      </c>
      <c r="Q104" s="55">
        <f>DSUM($B$60:$Y$65,Q$60,$C$73:$D104)</f>
        <v>2.1600071947035397</v>
      </c>
      <c r="R104" s="55">
        <f>DSUM($B$60:$Y$65,R$60,$C$73:$D104)</f>
        <v>1.6895544449496127</v>
      </c>
      <c r="S104" s="55">
        <f>DSUM($B$60:$Y$65,S$60,$C$73:$D104)</f>
        <v>1.2517712422098033</v>
      </c>
      <c r="T104" s="55">
        <f>DSUM($B$60:$Y$65,T$60,$C$73:$D104)</f>
        <v>0.88097254795970703</v>
      </c>
      <c r="U104" s="55">
        <f>DSUM($B$60:$Y$65,U$60,$C$73:$D104)</f>
        <v>0.59039102818424927</v>
      </c>
      <c r="V104" s="55">
        <f>DSUM($B$60:$Y$65,V$60,$C$73:$D104)</f>
        <v>0.37756391423877317</v>
      </c>
      <c r="W104" s="55">
        <f>DSUM($B$60:$Y$65,W$60,$C$73:$D104)</f>
        <v>0.23094099276860405</v>
      </c>
      <c r="X104" s="55">
        <f>DSUM($B$60:$Y$65,X$60,$C$73:$D104)</f>
        <v>0.13536538574032503</v>
      </c>
      <c r="Y104" s="55">
        <f>DSUM($B$60:$Y$65,Y$60,$C$73:$D104)</f>
        <v>31.424124424486653</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1:79">
      <c r="B105" s="9" t="s">
        <v>322</v>
      </c>
      <c r="C105" s="58" t="s">
        <v>323</v>
      </c>
      <c r="D105" s="58" t="s">
        <v>142</v>
      </c>
      <c r="E105" s="55">
        <f>DSUM($B$60:$Y$65,E$60,$C$73:$D105)</f>
        <v>0.15170963255696115</v>
      </c>
      <c r="F105" s="55">
        <f>DSUM($B$60:$Y$65,F$60,$C$73:$D105)</f>
        <v>0.24122549654832587</v>
      </c>
      <c r="G105" s="55">
        <f>DSUM($B$60:$Y$65,G$60,$C$73:$D105)</f>
        <v>0.48770730451029831</v>
      </c>
      <c r="H105" s="55">
        <f>DSUM($B$60:$Y$65,H$60,$C$73:$D105)</f>
        <v>0.86218646844062263</v>
      </c>
      <c r="I105" s="55">
        <f>DSUM($B$60:$Y$65,I$60,$C$73:$D105)</f>
        <v>1.3540363584451307</v>
      </c>
      <c r="J105" s="55">
        <f>DSUM($B$60:$Y$65,J$60,$C$73:$D105)</f>
        <v>1.912540814550147</v>
      </c>
      <c r="K105" s="55">
        <f>DSUM($B$60:$Y$65,K$60,$C$73:$D105)</f>
        <v>2.4539318871709637</v>
      </c>
      <c r="L105" s="55">
        <f>DSUM($B$60:$Y$65,L$60,$C$73:$D105)</f>
        <v>2.8846162033374196</v>
      </c>
      <c r="M105" s="55">
        <f>DSUM($B$60:$Y$65,M$60,$C$73:$D105)</f>
        <v>3.1290606790544531</v>
      </c>
      <c r="N105" s="55">
        <f>DSUM($B$60:$Y$65,N$60,$C$73:$D105)</f>
        <v>3.1506204689355659</v>
      </c>
      <c r="O105" s="55">
        <f>DSUM($B$60:$Y$65,O$60,$C$73:$D105)</f>
        <v>2.9603622118318911</v>
      </c>
      <c r="P105" s="55">
        <f>DSUM($B$60:$Y$65,P$60,$C$73:$D105)</f>
        <v>2.6070192382821169</v>
      </c>
      <c r="Q105" s="55">
        <f>DSUM($B$60:$Y$65,Q$60,$C$73:$D105)</f>
        <v>2.1600071947035397</v>
      </c>
      <c r="R105" s="55">
        <f>DSUM($B$60:$Y$65,R$60,$C$73:$D105)</f>
        <v>1.6895544449496127</v>
      </c>
      <c r="S105" s="55">
        <f>DSUM($B$60:$Y$65,S$60,$C$73:$D105)</f>
        <v>1.2517712422098033</v>
      </c>
      <c r="T105" s="55">
        <f>DSUM($B$60:$Y$65,T$60,$C$73:$D105)</f>
        <v>0.88097254795970703</v>
      </c>
      <c r="U105" s="55">
        <f>DSUM($B$60:$Y$65,U$60,$C$73:$D105)</f>
        <v>0.59039102818424927</v>
      </c>
      <c r="V105" s="55">
        <f>DSUM($B$60:$Y$65,V$60,$C$73:$D105)</f>
        <v>0.37756391423877317</v>
      </c>
      <c r="W105" s="55">
        <f>DSUM($B$60:$Y$65,W$60,$C$73:$D105)</f>
        <v>0.23094099276860405</v>
      </c>
      <c r="X105" s="55">
        <f>DSUM($B$60:$Y$65,X$60,$C$73:$D105)</f>
        <v>0.13536538574032503</v>
      </c>
      <c r="Y105" s="55">
        <f>DSUM($B$60:$Y$65,Y$60,$C$73:$D105)</f>
        <v>31.424124424486653</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1:79">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1:79">
      <c r="E107" s="36">
        <f>E105</f>
        <v>0.15170963255696115</v>
      </c>
      <c r="F107" s="36">
        <f>F105+E107</f>
        <v>0.39293512910528705</v>
      </c>
      <c r="G107" s="36">
        <f t="shared" ref="G107:X107" si="34">G105+F107</f>
        <v>0.88064243361558536</v>
      </c>
      <c r="H107" s="36">
        <f t="shared" si="34"/>
        <v>1.742828902056208</v>
      </c>
      <c r="I107" s="36">
        <f t="shared" si="34"/>
        <v>3.0968652605013389</v>
      </c>
      <c r="J107" s="36">
        <f t="shared" si="34"/>
        <v>5.0094060750514862</v>
      </c>
      <c r="K107" s="36">
        <f t="shared" si="34"/>
        <v>7.4633379622224503</v>
      </c>
      <c r="L107" s="36">
        <f t="shared" si="34"/>
        <v>10.347954165559869</v>
      </c>
      <c r="M107" s="36">
        <f t="shared" si="34"/>
        <v>13.477014844614322</v>
      </c>
      <c r="N107" s="36">
        <f t="shared" si="34"/>
        <v>16.627635313549888</v>
      </c>
      <c r="O107" s="36">
        <f t="shared" si="34"/>
        <v>19.58799752538178</v>
      </c>
      <c r="P107" s="36">
        <f t="shared" si="34"/>
        <v>22.195016763663897</v>
      </c>
      <c r="Q107" s="36">
        <f t="shared" si="34"/>
        <v>24.355023958367436</v>
      </c>
      <c r="R107" s="36">
        <f t="shared" si="34"/>
        <v>26.04457840331705</v>
      </c>
      <c r="S107" s="36">
        <f t="shared" si="34"/>
        <v>27.296349645526853</v>
      </c>
      <c r="T107" s="36">
        <f t="shared" si="34"/>
        <v>28.17732219348656</v>
      </c>
      <c r="U107" s="36">
        <f t="shared" si="34"/>
        <v>28.76771322167081</v>
      </c>
      <c r="V107" s="36">
        <f t="shared" si="34"/>
        <v>29.145277135909584</v>
      </c>
      <c r="W107" s="36">
        <f t="shared" si="34"/>
        <v>29.37621812867819</v>
      </c>
      <c r="X107" s="36">
        <f t="shared" si="34"/>
        <v>29.511583514418515</v>
      </c>
      <c r="Y107" s="36"/>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1:79" ht="15">
      <c r="A108" s="63" t="s">
        <v>143</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1:79" ht="15">
      <c r="D109" s="72" t="str">
        <f>C30</f>
        <v>Aerator - Retro</v>
      </c>
      <c r="E109" s="66">
        <f t="shared" ref="E109:X109" si="35">E11</f>
        <v>2016</v>
      </c>
      <c r="F109" s="67">
        <f t="shared" si="35"/>
        <v>2017</v>
      </c>
      <c r="G109" s="67">
        <f t="shared" si="35"/>
        <v>2018</v>
      </c>
      <c r="H109" s="67">
        <f t="shared" si="35"/>
        <v>2019</v>
      </c>
      <c r="I109" s="67">
        <f t="shared" si="35"/>
        <v>2020</v>
      </c>
      <c r="J109" s="67">
        <f t="shared" si="35"/>
        <v>2021</v>
      </c>
      <c r="K109" s="67">
        <f t="shared" si="35"/>
        <v>2022</v>
      </c>
      <c r="L109" s="67">
        <f t="shared" si="35"/>
        <v>2023</v>
      </c>
      <c r="M109" s="67">
        <f t="shared" si="35"/>
        <v>2024</v>
      </c>
      <c r="N109" s="67">
        <f t="shared" si="35"/>
        <v>2025</v>
      </c>
      <c r="O109" s="67">
        <f t="shared" si="35"/>
        <v>2026</v>
      </c>
      <c r="P109" s="67">
        <f t="shared" si="35"/>
        <v>2027</v>
      </c>
      <c r="Q109" s="67">
        <f t="shared" si="35"/>
        <v>2028</v>
      </c>
      <c r="R109" s="67">
        <f t="shared" si="35"/>
        <v>2029</v>
      </c>
      <c r="S109" s="67">
        <f t="shared" si="35"/>
        <v>2030</v>
      </c>
      <c r="T109" s="67">
        <f t="shared" si="35"/>
        <v>2031</v>
      </c>
      <c r="U109" s="67">
        <f t="shared" si="35"/>
        <v>2032</v>
      </c>
      <c r="V109" s="67">
        <f t="shared" si="35"/>
        <v>2033</v>
      </c>
      <c r="W109" s="67">
        <f t="shared" si="35"/>
        <v>2034</v>
      </c>
      <c r="X109" s="67">
        <f t="shared" si="35"/>
        <v>2035</v>
      </c>
      <c r="Y109" s="68" t="s">
        <v>70</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1:79" ht="15">
      <c r="E110" s="69" t="str">
        <f>CONCATENATE("aMW_",E$11)</f>
        <v>aMW_2016</v>
      </c>
      <c r="F110" s="70" t="str">
        <f t="shared" ref="F110:X110" si="36">CONCATENATE("aMW_",F$11)</f>
        <v>aMW_2017</v>
      </c>
      <c r="G110" s="70" t="str">
        <f t="shared" si="36"/>
        <v>aMW_2018</v>
      </c>
      <c r="H110" s="70" t="str">
        <f t="shared" si="36"/>
        <v>aMW_2019</v>
      </c>
      <c r="I110" s="70" t="str">
        <f t="shared" si="36"/>
        <v>aMW_2020</v>
      </c>
      <c r="J110" s="70" t="str">
        <f t="shared" si="36"/>
        <v>aMW_2021</v>
      </c>
      <c r="K110" s="70" t="str">
        <f t="shared" si="36"/>
        <v>aMW_2022</v>
      </c>
      <c r="L110" s="70" t="str">
        <f t="shared" si="36"/>
        <v>aMW_2023</v>
      </c>
      <c r="M110" s="70" t="str">
        <f t="shared" si="36"/>
        <v>aMW_2024</v>
      </c>
      <c r="N110" s="70" t="str">
        <f t="shared" si="36"/>
        <v>aMW_2025</v>
      </c>
      <c r="O110" s="70" t="str">
        <f t="shared" si="36"/>
        <v>aMW_2026</v>
      </c>
      <c r="P110" s="70" t="str">
        <f t="shared" si="36"/>
        <v>aMW_2027</v>
      </c>
      <c r="Q110" s="70" t="str">
        <f t="shared" si="36"/>
        <v>aMW_2028</v>
      </c>
      <c r="R110" s="70" t="str">
        <f t="shared" si="36"/>
        <v>aMW_2029</v>
      </c>
      <c r="S110" s="70" t="str">
        <f t="shared" si="36"/>
        <v>aMW_2030</v>
      </c>
      <c r="T110" s="70" t="str">
        <f t="shared" si="36"/>
        <v>aMW_2031</v>
      </c>
      <c r="U110" s="70" t="str">
        <f t="shared" si="36"/>
        <v>aMW_2032</v>
      </c>
      <c r="V110" s="70" t="str">
        <f t="shared" si="36"/>
        <v>aMW_2033</v>
      </c>
      <c r="W110" s="70" t="str">
        <f t="shared" si="36"/>
        <v>aMW_2034</v>
      </c>
      <c r="X110" s="70" t="str">
        <f t="shared" si="36"/>
        <v>aMW_2035</v>
      </c>
      <c r="Y110" s="71" t="s">
        <v>70</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1:79">
      <c r="D111" s="9" t="s">
        <v>79</v>
      </c>
      <c r="E111" s="59">
        <f>E74</f>
        <v>0.15170963255696115</v>
      </c>
      <c r="F111" s="59">
        <f t="shared" ref="F111:W111" si="37">F74</f>
        <v>0.24122549654832587</v>
      </c>
      <c r="G111" s="59">
        <f t="shared" si="37"/>
        <v>0.48770730451029831</v>
      </c>
      <c r="H111" s="59">
        <f t="shared" si="37"/>
        <v>0.86218646844062263</v>
      </c>
      <c r="I111" s="59">
        <f t="shared" si="37"/>
        <v>1.3540363584451307</v>
      </c>
      <c r="J111" s="59">
        <f t="shared" si="37"/>
        <v>1.912540814550147</v>
      </c>
      <c r="K111" s="59">
        <f t="shared" si="37"/>
        <v>2.4539318871709637</v>
      </c>
      <c r="L111" s="59">
        <f t="shared" si="37"/>
        <v>2.8846162033374196</v>
      </c>
      <c r="M111" s="59">
        <f t="shared" si="37"/>
        <v>3.1290606790544531</v>
      </c>
      <c r="N111" s="59">
        <f t="shared" si="37"/>
        <v>3.1506204689355659</v>
      </c>
      <c r="O111" s="59">
        <f t="shared" si="37"/>
        <v>2.9603622118318911</v>
      </c>
      <c r="P111" s="59">
        <f t="shared" si="37"/>
        <v>2.6070192382821169</v>
      </c>
      <c r="Q111" s="59">
        <f t="shared" si="37"/>
        <v>2.1600071947035397</v>
      </c>
      <c r="R111" s="59">
        <f t="shared" si="37"/>
        <v>1.6895544449496127</v>
      </c>
      <c r="S111" s="59">
        <f t="shared" si="37"/>
        <v>1.2517712422098033</v>
      </c>
      <c r="T111" s="59">
        <f t="shared" si="37"/>
        <v>0.88097254795970703</v>
      </c>
      <c r="U111" s="59">
        <f t="shared" si="37"/>
        <v>0.59039102818424927</v>
      </c>
      <c r="V111" s="59">
        <f t="shared" si="37"/>
        <v>0.37756391423877317</v>
      </c>
      <c r="W111" s="59">
        <f t="shared" si="37"/>
        <v>0.23094099276860405</v>
      </c>
      <c r="X111" s="59">
        <f>X74</f>
        <v>0.13536538574032503</v>
      </c>
      <c r="Y111" s="59">
        <f>Y74</f>
        <v>31.424124424486653</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1:79">
      <c r="D112" s="9" t="s">
        <v>327</v>
      </c>
      <c r="E112" s="59">
        <f>E75-E74</f>
        <v>0</v>
      </c>
      <c r="F112" s="59">
        <f>F75-F74</f>
        <v>0</v>
      </c>
      <c r="G112" s="59">
        <f t="shared" ref="G112:Y125" si="38">G75-G74</f>
        <v>0</v>
      </c>
      <c r="H112" s="59">
        <f t="shared" si="38"/>
        <v>0</v>
      </c>
      <c r="I112" s="59">
        <f t="shared" si="38"/>
        <v>0</v>
      </c>
      <c r="J112" s="59">
        <f t="shared" si="38"/>
        <v>0</v>
      </c>
      <c r="K112" s="59">
        <f t="shared" si="38"/>
        <v>0</v>
      </c>
      <c r="L112" s="59">
        <f t="shared" si="38"/>
        <v>0</v>
      </c>
      <c r="M112" s="59">
        <f t="shared" si="38"/>
        <v>0</v>
      </c>
      <c r="N112" s="59">
        <f>N75-N74</f>
        <v>0</v>
      </c>
      <c r="O112" s="59">
        <f t="shared" si="38"/>
        <v>0</v>
      </c>
      <c r="P112" s="59">
        <f t="shared" si="38"/>
        <v>0</v>
      </c>
      <c r="Q112" s="59">
        <f t="shared" si="38"/>
        <v>0</v>
      </c>
      <c r="R112" s="59">
        <f t="shared" si="38"/>
        <v>0</v>
      </c>
      <c r="S112" s="59">
        <f t="shared" si="38"/>
        <v>0</v>
      </c>
      <c r="T112" s="59">
        <f t="shared" si="38"/>
        <v>0</v>
      </c>
      <c r="U112" s="59">
        <f t="shared" si="38"/>
        <v>0</v>
      </c>
      <c r="V112" s="59">
        <f t="shared" si="38"/>
        <v>0</v>
      </c>
      <c r="W112" s="59">
        <f t="shared" si="38"/>
        <v>0</v>
      </c>
      <c r="X112" s="59">
        <f t="shared" si="38"/>
        <v>0</v>
      </c>
      <c r="Y112" s="59">
        <f>Y75-Y74</f>
        <v>0</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4:79">
      <c r="D113" s="9" t="s">
        <v>84</v>
      </c>
      <c r="E113" s="59">
        <f t="shared" ref="E113:T128" si="39">E76-E75</f>
        <v>0</v>
      </c>
      <c r="F113" s="59">
        <f t="shared" si="39"/>
        <v>0</v>
      </c>
      <c r="G113" s="59">
        <f t="shared" si="38"/>
        <v>0</v>
      </c>
      <c r="H113" s="59">
        <f t="shared" si="38"/>
        <v>0</v>
      </c>
      <c r="I113" s="59">
        <f t="shared" si="38"/>
        <v>0</v>
      </c>
      <c r="J113" s="59">
        <f t="shared" si="38"/>
        <v>0</v>
      </c>
      <c r="K113" s="59">
        <f t="shared" si="38"/>
        <v>0</v>
      </c>
      <c r="L113" s="59">
        <f t="shared" si="38"/>
        <v>0</v>
      </c>
      <c r="M113" s="59">
        <f t="shared" si="38"/>
        <v>0</v>
      </c>
      <c r="N113" s="59">
        <f t="shared" si="38"/>
        <v>0</v>
      </c>
      <c r="O113" s="59">
        <f t="shared" si="38"/>
        <v>0</v>
      </c>
      <c r="P113" s="59">
        <f t="shared" si="38"/>
        <v>0</v>
      </c>
      <c r="Q113" s="59">
        <f t="shared" si="38"/>
        <v>0</v>
      </c>
      <c r="R113" s="59">
        <f t="shared" si="38"/>
        <v>0</v>
      </c>
      <c r="S113" s="59">
        <f t="shared" si="38"/>
        <v>0</v>
      </c>
      <c r="T113" s="59">
        <f t="shared" si="38"/>
        <v>0</v>
      </c>
      <c r="U113" s="59">
        <f t="shared" si="38"/>
        <v>0</v>
      </c>
      <c r="V113" s="59">
        <f t="shared" si="38"/>
        <v>0</v>
      </c>
      <c r="W113" s="59">
        <f t="shared" si="38"/>
        <v>0</v>
      </c>
      <c r="X113" s="59">
        <f t="shared" si="38"/>
        <v>0</v>
      </c>
      <c r="Y113" s="59">
        <f t="shared" si="38"/>
        <v>0</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4:79">
      <c r="D114" s="9" t="s">
        <v>87</v>
      </c>
      <c r="E114" s="59">
        <f t="shared" si="39"/>
        <v>0</v>
      </c>
      <c r="F114" s="59">
        <f t="shared" si="39"/>
        <v>0</v>
      </c>
      <c r="G114" s="59">
        <f t="shared" si="38"/>
        <v>0</v>
      </c>
      <c r="H114" s="59">
        <f t="shared" si="38"/>
        <v>0</v>
      </c>
      <c r="I114" s="59">
        <f t="shared" si="38"/>
        <v>0</v>
      </c>
      <c r="J114" s="59">
        <f t="shared" si="38"/>
        <v>0</v>
      </c>
      <c r="K114" s="59">
        <f t="shared" si="38"/>
        <v>0</v>
      </c>
      <c r="L114" s="59">
        <f t="shared" si="38"/>
        <v>0</v>
      </c>
      <c r="M114" s="59">
        <f t="shared" si="38"/>
        <v>0</v>
      </c>
      <c r="N114" s="59">
        <f t="shared" si="38"/>
        <v>0</v>
      </c>
      <c r="O114" s="59">
        <f t="shared" si="38"/>
        <v>0</v>
      </c>
      <c r="P114" s="59">
        <f t="shared" si="38"/>
        <v>0</v>
      </c>
      <c r="Q114" s="59">
        <f t="shared" si="38"/>
        <v>0</v>
      </c>
      <c r="R114" s="59">
        <f t="shared" si="38"/>
        <v>0</v>
      </c>
      <c r="S114" s="59">
        <f t="shared" si="38"/>
        <v>0</v>
      </c>
      <c r="T114" s="59">
        <f t="shared" si="38"/>
        <v>0</v>
      </c>
      <c r="U114" s="59">
        <f t="shared" si="38"/>
        <v>0</v>
      </c>
      <c r="V114" s="59">
        <f t="shared" si="38"/>
        <v>0</v>
      </c>
      <c r="W114" s="59">
        <f t="shared" si="38"/>
        <v>0</v>
      </c>
      <c r="X114" s="59">
        <f t="shared" si="38"/>
        <v>0</v>
      </c>
      <c r="Y114" s="59">
        <f t="shared" si="38"/>
        <v>0</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4:79">
      <c r="D115" s="9" t="s">
        <v>90</v>
      </c>
      <c r="E115" s="59">
        <f t="shared" si="39"/>
        <v>0</v>
      </c>
      <c r="F115" s="59">
        <f t="shared" si="39"/>
        <v>0</v>
      </c>
      <c r="G115" s="59">
        <f t="shared" si="38"/>
        <v>0</v>
      </c>
      <c r="H115" s="59">
        <f t="shared" si="38"/>
        <v>0</v>
      </c>
      <c r="I115" s="59">
        <f t="shared" si="38"/>
        <v>0</v>
      </c>
      <c r="J115" s="59">
        <f t="shared" si="38"/>
        <v>0</v>
      </c>
      <c r="K115" s="59">
        <f t="shared" si="38"/>
        <v>0</v>
      </c>
      <c r="L115" s="59">
        <f t="shared" si="38"/>
        <v>0</v>
      </c>
      <c r="M115" s="59">
        <f t="shared" si="38"/>
        <v>0</v>
      </c>
      <c r="N115" s="59">
        <f t="shared" si="38"/>
        <v>0</v>
      </c>
      <c r="O115" s="59">
        <f t="shared" si="38"/>
        <v>0</v>
      </c>
      <c r="P115" s="59">
        <f t="shared" si="38"/>
        <v>0</v>
      </c>
      <c r="Q115" s="59">
        <f t="shared" si="38"/>
        <v>0</v>
      </c>
      <c r="R115" s="59">
        <f t="shared" si="38"/>
        <v>0</v>
      </c>
      <c r="S115" s="59">
        <f t="shared" si="38"/>
        <v>0</v>
      </c>
      <c r="T115" s="59">
        <f t="shared" si="38"/>
        <v>0</v>
      </c>
      <c r="U115" s="59">
        <f t="shared" si="38"/>
        <v>0</v>
      </c>
      <c r="V115" s="59">
        <f t="shared" si="38"/>
        <v>0</v>
      </c>
      <c r="W115" s="59">
        <f t="shared" si="38"/>
        <v>0</v>
      </c>
      <c r="X115" s="59">
        <f t="shared" si="38"/>
        <v>0</v>
      </c>
      <c r="Y115" s="59">
        <f t="shared" si="38"/>
        <v>0</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4:79">
      <c r="D116" s="9" t="s">
        <v>93</v>
      </c>
      <c r="E116" s="59">
        <f t="shared" si="39"/>
        <v>0</v>
      </c>
      <c r="F116" s="59">
        <f t="shared" si="39"/>
        <v>0</v>
      </c>
      <c r="G116" s="59">
        <f t="shared" si="38"/>
        <v>0</v>
      </c>
      <c r="H116" s="59">
        <f t="shared" si="38"/>
        <v>0</v>
      </c>
      <c r="I116" s="59">
        <f t="shared" si="38"/>
        <v>0</v>
      </c>
      <c r="J116" s="59">
        <f t="shared" si="38"/>
        <v>0</v>
      </c>
      <c r="K116" s="59">
        <f t="shared" si="38"/>
        <v>0</v>
      </c>
      <c r="L116" s="59">
        <f t="shared" si="38"/>
        <v>0</v>
      </c>
      <c r="M116" s="59">
        <f t="shared" si="38"/>
        <v>0</v>
      </c>
      <c r="N116" s="59">
        <f t="shared" si="38"/>
        <v>0</v>
      </c>
      <c r="O116" s="59">
        <f t="shared" si="38"/>
        <v>0</v>
      </c>
      <c r="P116" s="59">
        <f t="shared" si="38"/>
        <v>0</v>
      </c>
      <c r="Q116" s="59">
        <f t="shared" si="38"/>
        <v>0</v>
      </c>
      <c r="R116" s="59">
        <f t="shared" si="38"/>
        <v>0</v>
      </c>
      <c r="S116" s="59">
        <f t="shared" si="38"/>
        <v>0</v>
      </c>
      <c r="T116" s="59">
        <f t="shared" si="38"/>
        <v>0</v>
      </c>
      <c r="U116" s="59">
        <f t="shared" si="38"/>
        <v>0</v>
      </c>
      <c r="V116" s="59">
        <f t="shared" si="38"/>
        <v>0</v>
      </c>
      <c r="W116" s="59">
        <f t="shared" si="38"/>
        <v>0</v>
      </c>
      <c r="X116" s="59">
        <f t="shared" si="38"/>
        <v>0</v>
      </c>
      <c r="Y116" s="59">
        <f t="shared" si="38"/>
        <v>0</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4:79">
      <c r="D117" s="9" t="s">
        <v>96</v>
      </c>
      <c r="E117" s="59">
        <f t="shared" si="39"/>
        <v>0</v>
      </c>
      <c r="F117" s="59">
        <f t="shared" si="39"/>
        <v>0</v>
      </c>
      <c r="G117" s="59">
        <f t="shared" si="38"/>
        <v>0</v>
      </c>
      <c r="H117" s="59">
        <f t="shared" si="38"/>
        <v>0</v>
      </c>
      <c r="I117" s="59">
        <f t="shared" si="38"/>
        <v>0</v>
      </c>
      <c r="J117" s="59">
        <f t="shared" si="38"/>
        <v>0</v>
      </c>
      <c r="K117" s="59">
        <f t="shared" si="38"/>
        <v>0</v>
      </c>
      <c r="L117" s="59">
        <f t="shared" si="38"/>
        <v>0</v>
      </c>
      <c r="M117" s="59">
        <f t="shared" si="38"/>
        <v>0</v>
      </c>
      <c r="N117" s="59">
        <f t="shared" si="38"/>
        <v>0</v>
      </c>
      <c r="O117" s="59">
        <f t="shared" si="38"/>
        <v>0</v>
      </c>
      <c r="P117" s="59">
        <f t="shared" si="38"/>
        <v>0</v>
      </c>
      <c r="Q117" s="59">
        <f t="shared" si="38"/>
        <v>0</v>
      </c>
      <c r="R117" s="59">
        <f t="shared" si="38"/>
        <v>0</v>
      </c>
      <c r="S117" s="59">
        <f t="shared" si="38"/>
        <v>0</v>
      </c>
      <c r="T117" s="59">
        <f t="shared" si="38"/>
        <v>0</v>
      </c>
      <c r="U117" s="59">
        <f t="shared" si="38"/>
        <v>0</v>
      </c>
      <c r="V117" s="59">
        <f t="shared" si="38"/>
        <v>0</v>
      </c>
      <c r="W117" s="59">
        <f t="shared" si="38"/>
        <v>0</v>
      </c>
      <c r="X117" s="59">
        <f t="shared" si="38"/>
        <v>0</v>
      </c>
      <c r="Y117" s="59">
        <f t="shared" si="38"/>
        <v>0</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4:79">
      <c r="D118" s="9" t="s">
        <v>99</v>
      </c>
      <c r="E118" s="59">
        <f t="shared" si="39"/>
        <v>0</v>
      </c>
      <c r="F118" s="59">
        <f t="shared" si="39"/>
        <v>0</v>
      </c>
      <c r="G118" s="59">
        <f t="shared" si="38"/>
        <v>0</v>
      </c>
      <c r="H118" s="59">
        <f t="shared" si="38"/>
        <v>0</v>
      </c>
      <c r="I118" s="59">
        <f t="shared" si="38"/>
        <v>0</v>
      </c>
      <c r="J118" s="59">
        <f t="shared" si="38"/>
        <v>0</v>
      </c>
      <c r="K118" s="59">
        <f t="shared" si="38"/>
        <v>0</v>
      </c>
      <c r="L118" s="59">
        <f t="shared" si="38"/>
        <v>0</v>
      </c>
      <c r="M118" s="59">
        <f t="shared" si="38"/>
        <v>0</v>
      </c>
      <c r="N118" s="59">
        <f t="shared" si="38"/>
        <v>0</v>
      </c>
      <c r="O118" s="59">
        <f t="shared" si="38"/>
        <v>0</v>
      </c>
      <c r="P118" s="59">
        <f t="shared" si="38"/>
        <v>0</v>
      </c>
      <c r="Q118" s="59">
        <f t="shared" si="38"/>
        <v>0</v>
      </c>
      <c r="R118" s="59">
        <f t="shared" si="38"/>
        <v>0</v>
      </c>
      <c r="S118" s="59">
        <f t="shared" si="38"/>
        <v>0</v>
      </c>
      <c r="T118" s="59">
        <f t="shared" si="38"/>
        <v>0</v>
      </c>
      <c r="U118" s="59">
        <f t="shared" si="38"/>
        <v>0</v>
      </c>
      <c r="V118" s="59">
        <f t="shared" si="38"/>
        <v>0</v>
      </c>
      <c r="W118" s="59">
        <f t="shared" si="38"/>
        <v>0</v>
      </c>
      <c r="X118" s="59">
        <f t="shared" si="38"/>
        <v>0</v>
      </c>
      <c r="Y118" s="59">
        <f t="shared" si="38"/>
        <v>0</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4:79">
      <c r="D119" s="9" t="s">
        <v>102</v>
      </c>
      <c r="E119" s="59">
        <f t="shared" si="39"/>
        <v>0</v>
      </c>
      <c r="F119" s="59">
        <f t="shared" si="39"/>
        <v>0</v>
      </c>
      <c r="G119" s="59">
        <f t="shared" si="38"/>
        <v>0</v>
      </c>
      <c r="H119" s="59">
        <f t="shared" si="38"/>
        <v>0</v>
      </c>
      <c r="I119" s="59">
        <f t="shared" si="38"/>
        <v>0</v>
      </c>
      <c r="J119" s="59">
        <f t="shared" si="38"/>
        <v>0</v>
      </c>
      <c r="K119" s="59">
        <f t="shared" si="38"/>
        <v>0</v>
      </c>
      <c r="L119" s="59">
        <f t="shared" si="38"/>
        <v>0</v>
      </c>
      <c r="M119" s="59">
        <f t="shared" si="38"/>
        <v>0</v>
      </c>
      <c r="N119" s="59">
        <f t="shared" si="38"/>
        <v>0</v>
      </c>
      <c r="O119" s="59">
        <f t="shared" si="38"/>
        <v>0</v>
      </c>
      <c r="P119" s="59">
        <f t="shared" si="38"/>
        <v>0</v>
      </c>
      <c r="Q119" s="59">
        <f t="shared" si="38"/>
        <v>0</v>
      </c>
      <c r="R119" s="59">
        <f t="shared" si="38"/>
        <v>0</v>
      </c>
      <c r="S119" s="59">
        <f t="shared" si="38"/>
        <v>0</v>
      </c>
      <c r="T119" s="59">
        <f t="shared" si="38"/>
        <v>0</v>
      </c>
      <c r="U119" s="59">
        <f t="shared" si="38"/>
        <v>0</v>
      </c>
      <c r="V119" s="59">
        <f t="shared" si="38"/>
        <v>0</v>
      </c>
      <c r="W119" s="59">
        <f t="shared" si="38"/>
        <v>0</v>
      </c>
      <c r="X119" s="59">
        <f t="shared" si="38"/>
        <v>0</v>
      </c>
      <c r="Y119" s="59">
        <f t="shared" si="38"/>
        <v>0</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4:79">
      <c r="D120" s="9" t="s">
        <v>105</v>
      </c>
      <c r="E120" s="59">
        <f t="shared" si="39"/>
        <v>0</v>
      </c>
      <c r="F120" s="59">
        <f t="shared" si="39"/>
        <v>0</v>
      </c>
      <c r="G120" s="59">
        <f t="shared" si="38"/>
        <v>0</v>
      </c>
      <c r="H120" s="59">
        <f t="shared" si="38"/>
        <v>0</v>
      </c>
      <c r="I120" s="59">
        <f t="shared" si="38"/>
        <v>0</v>
      </c>
      <c r="J120" s="59">
        <f t="shared" si="38"/>
        <v>0</v>
      </c>
      <c r="K120" s="59">
        <f t="shared" si="38"/>
        <v>0</v>
      </c>
      <c r="L120" s="59">
        <f t="shared" si="38"/>
        <v>0</v>
      </c>
      <c r="M120" s="59">
        <f t="shared" si="38"/>
        <v>0</v>
      </c>
      <c r="N120" s="59">
        <f t="shared" si="38"/>
        <v>0</v>
      </c>
      <c r="O120" s="59">
        <f t="shared" si="38"/>
        <v>0</v>
      </c>
      <c r="P120" s="59">
        <f t="shared" si="38"/>
        <v>0</v>
      </c>
      <c r="Q120" s="59">
        <f t="shared" si="38"/>
        <v>0</v>
      </c>
      <c r="R120" s="59">
        <f t="shared" si="38"/>
        <v>0</v>
      </c>
      <c r="S120" s="59">
        <f t="shared" si="38"/>
        <v>0</v>
      </c>
      <c r="T120" s="59">
        <f t="shared" si="38"/>
        <v>0</v>
      </c>
      <c r="U120" s="59">
        <f t="shared" si="38"/>
        <v>0</v>
      </c>
      <c r="V120" s="59">
        <f t="shared" si="38"/>
        <v>0</v>
      </c>
      <c r="W120" s="59">
        <f t="shared" si="38"/>
        <v>0</v>
      </c>
      <c r="X120" s="59">
        <f t="shared" si="38"/>
        <v>0</v>
      </c>
      <c r="Y120" s="59">
        <f t="shared" si="38"/>
        <v>0</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4:79">
      <c r="D121" s="9" t="s">
        <v>108</v>
      </c>
      <c r="E121" s="59">
        <f t="shared" si="39"/>
        <v>0</v>
      </c>
      <c r="F121" s="59">
        <f t="shared" si="39"/>
        <v>0</v>
      </c>
      <c r="G121" s="59">
        <f t="shared" si="38"/>
        <v>0</v>
      </c>
      <c r="H121" s="59">
        <f t="shared" si="38"/>
        <v>0</v>
      </c>
      <c r="I121" s="59">
        <f t="shared" si="38"/>
        <v>0</v>
      </c>
      <c r="J121" s="59">
        <f t="shared" si="38"/>
        <v>0</v>
      </c>
      <c r="K121" s="59">
        <f t="shared" si="38"/>
        <v>0</v>
      </c>
      <c r="L121" s="59">
        <f t="shared" si="38"/>
        <v>0</v>
      </c>
      <c r="M121" s="59">
        <f t="shared" si="38"/>
        <v>0</v>
      </c>
      <c r="N121" s="59">
        <f t="shared" si="38"/>
        <v>0</v>
      </c>
      <c r="O121" s="59">
        <f t="shared" si="38"/>
        <v>0</v>
      </c>
      <c r="P121" s="59">
        <f t="shared" si="38"/>
        <v>0</v>
      </c>
      <c r="Q121" s="59">
        <f t="shared" si="38"/>
        <v>0</v>
      </c>
      <c r="R121" s="59">
        <f t="shared" si="38"/>
        <v>0</v>
      </c>
      <c r="S121" s="59">
        <f t="shared" si="38"/>
        <v>0</v>
      </c>
      <c r="T121" s="59">
        <f t="shared" si="38"/>
        <v>0</v>
      </c>
      <c r="U121" s="59">
        <f t="shared" si="38"/>
        <v>0</v>
      </c>
      <c r="V121" s="59">
        <f t="shared" si="38"/>
        <v>0</v>
      </c>
      <c r="W121" s="59">
        <f t="shared" si="38"/>
        <v>0</v>
      </c>
      <c r="X121" s="59">
        <f t="shared" si="38"/>
        <v>0</v>
      </c>
      <c r="Y121" s="59">
        <f t="shared" si="38"/>
        <v>0</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4:79">
      <c r="D122" s="9" t="s">
        <v>111</v>
      </c>
      <c r="E122" s="59">
        <f t="shared" si="39"/>
        <v>0</v>
      </c>
      <c r="F122" s="59">
        <f t="shared" si="39"/>
        <v>0</v>
      </c>
      <c r="G122" s="59">
        <f t="shared" si="38"/>
        <v>0</v>
      </c>
      <c r="H122" s="59">
        <f t="shared" si="38"/>
        <v>0</v>
      </c>
      <c r="I122" s="59">
        <f t="shared" si="38"/>
        <v>0</v>
      </c>
      <c r="J122" s="59">
        <f t="shared" si="38"/>
        <v>0</v>
      </c>
      <c r="K122" s="59">
        <f t="shared" si="38"/>
        <v>0</v>
      </c>
      <c r="L122" s="59">
        <f t="shared" si="38"/>
        <v>0</v>
      </c>
      <c r="M122" s="59">
        <f t="shared" si="38"/>
        <v>0</v>
      </c>
      <c r="N122" s="59">
        <f t="shared" si="38"/>
        <v>0</v>
      </c>
      <c r="O122" s="59">
        <f t="shared" si="38"/>
        <v>0</v>
      </c>
      <c r="P122" s="59">
        <f t="shared" si="38"/>
        <v>0</v>
      </c>
      <c r="Q122" s="59">
        <f t="shared" si="38"/>
        <v>0</v>
      </c>
      <c r="R122" s="59">
        <f t="shared" si="38"/>
        <v>0</v>
      </c>
      <c r="S122" s="59">
        <f t="shared" si="38"/>
        <v>0</v>
      </c>
      <c r="T122" s="59">
        <f t="shared" si="38"/>
        <v>0</v>
      </c>
      <c r="U122" s="59">
        <f t="shared" si="38"/>
        <v>0</v>
      </c>
      <c r="V122" s="59">
        <f t="shared" si="38"/>
        <v>0</v>
      </c>
      <c r="W122" s="59">
        <f t="shared" si="38"/>
        <v>0</v>
      </c>
      <c r="X122" s="59">
        <f t="shared" si="38"/>
        <v>0</v>
      </c>
      <c r="Y122" s="59">
        <f t="shared" si="38"/>
        <v>0</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4:79">
      <c r="D123" s="9" t="s">
        <v>114</v>
      </c>
      <c r="E123" s="59">
        <f t="shared" si="39"/>
        <v>0</v>
      </c>
      <c r="F123" s="59">
        <f t="shared" si="39"/>
        <v>0</v>
      </c>
      <c r="G123" s="59">
        <f t="shared" si="38"/>
        <v>0</v>
      </c>
      <c r="H123" s="59">
        <f t="shared" si="38"/>
        <v>0</v>
      </c>
      <c r="I123" s="59">
        <f t="shared" si="38"/>
        <v>0</v>
      </c>
      <c r="J123" s="59">
        <f t="shared" si="38"/>
        <v>0</v>
      </c>
      <c r="K123" s="59">
        <f t="shared" si="38"/>
        <v>0</v>
      </c>
      <c r="L123" s="59">
        <f t="shared" si="38"/>
        <v>0</v>
      </c>
      <c r="M123" s="59">
        <f t="shared" si="38"/>
        <v>0</v>
      </c>
      <c r="N123" s="59">
        <f t="shared" si="38"/>
        <v>0</v>
      </c>
      <c r="O123" s="59">
        <f t="shared" si="38"/>
        <v>0</v>
      </c>
      <c r="P123" s="59">
        <f t="shared" si="38"/>
        <v>0</v>
      </c>
      <c r="Q123" s="59">
        <f t="shared" si="38"/>
        <v>0</v>
      </c>
      <c r="R123" s="59">
        <f t="shared" si="38"/>
        <v>0</v>
      </c>
      <c r="S123" s="59">
        <f t="shared" si="38"/>
        <v>0</v>
      </c>
      <c r="T123" s="59">
        <f t="shared" si="38"/>
        <v>0</v>
      </c>
      <c r="U123" s="59">
        <f t="shared" si="38"/>
        <v>0</v>
      </c>
      <c r="V123" s="59">
        <f t="shared" si="38"/>
        <v>0</v>
      </c>
      <c r="W123" s="59">
        <f t="shared" si="38"/>
        <v>0</v>
      </c>
      <c r="X123" s="59">
        <f t="shared" si="38"/>
        <v>0</v>
      </c>
      <c r="Y123" s="59">
        <f t="shared" si="38"/>
        <v>0</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4:79">
      <c r="D124" s="9" t="s">
        <v>117</v>
      </c>
      <c r="E124" s="59">
        <f t="shared" si="39"/>
        <v>0</v>
      </c>
      <c r="F124" s="59">
        <f t="shared" si="39"/>
        <v>0</v>
      </c>
      <c r="G124" s="59">
        <f t="shared" si="38"/>
        <v>0</v>
      </c>
      <c r="H124" s="59">
        <f t="shared" si="38"/>
        <v>0</v>
      </c>
      <c r="I124" s="59">
        <f t="shared" si="38"/>
        <v>0</v>
      </c>
      <c r="J124" s="59">
        <f t="shared" si="38"/>
        <v>0</v>
      </c>
      <c r="K124" s="59">
        <f t="shared" si="38"/>
        <v>0</v>
      </c>
      <c r="L124" s="59">
        <f t="shared" si="38"/>
        <v>0</v>
      </c>
      <c r="M124" s="59">
        <f t="shared" si="38"/>
        <v>0</v>
      </c>
      <c r="N124" s="59">
        <f t="shared" si="38"/>
        <v>0</v>
      </c>
      <c r="O124" s="59">
        <f t="shared" si="38"/>
        <v>0</v>
      </c>
      <c r="P124" s="59">
        <f t="shared" si="38"/>
        <v>0</v>
      </c>
      <c r="Q124" s="59">
        <f t="shared" si="38"/>
        <v>0</v>
      </c>
      <c r="R124" s="59">
        <f t="shared" si="38"/>
        <v>0</v>
      </c>
      <c r="S124" s="59">
        <f t="shared" si="38"/>
        <v>0</v>
      </c>
      <c r="T124" s="59">
        <f t="shared" si="38"/>
        <v>0</v>
      </c>
      <c r="U124" s="59">
        <f t="shared" si="38"/>
        <v>0</v>
      </c>
      <c r="V124" s="59">
        <f t="shared" si="38"/>
        <v>0</v>
      </c>
      <c r="W124" s="59">
        <f t="shared" si="38"/>
        <v>0</v>
      </c>
      <c r="X124" s="59">
        <f t="shared" si="38"/>
        <v>0</v>
      </c>
      <c r="Y124" s="59">
        <f t="shared" si="38"/>
        <v>0</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4:79">
      <c r="D125" s="9" t="s">
        <v>120</v>
      </c>
      <c r="E125" s="59">
        <f t="shared" si="39"/>
        <v>0</v>
      </c>
      <c r="F125" s="59">
        <f t="shared" si="39"/>
        <v>0</v>
      </c>
      <c r="G125" s="59">
        <f t="shared" si="38"/>
        <v>0</v>
      </c>
      <c r="H125" s="59">
        <f t="shared" si="38"/>
        <v>0</v>
      </c>
      <c r="I125" s="59">
        <f t="shared" si="38"/>
        <v>0</v>
      </c>
      <c r="J125" s="59">
        <f t="shared" si="38"/>
        <v>0</v>
      </c>
      <c r="K125" s="59">
        <f t="shared" si="38"/>
        <v>0</v>
      </c>
      <c r="L125" s="59">
        <f t="shared" si="38"/>
        <v>0</v>
      </c>
      <c r="M125" s="59">
        <f t="shared" si="38"/>
        <v>0</v>
      </c>
      <c r="N125" s="59">
        <f t="shared" si="38"/>
        <v>0</v>
      </c>
      <c r="O125" s="59">
        <f t="shared" si="38"/>
        <v>0</v>
      </c>
      <c r="P125" s="59">
        <f t="shared" ref="P125:Y128" si="40">P88-P87</f>
        <v>0</v>
      </c>
      <c r="Q125" s="59">
        <f t="shared" si="40"/>
        <v>0</v>
      </c>
      <c r="R125" s="59">
        <f t="shared" si="40"/>
        <v>0</v>
      </c>
      <c r="S125" s="59">
        <f t="shared" si="40"/>
        <v>0</v>
      </c>
      <c r="T125" s="59">
        <f t="shared" si="40"/>
        <v>0</v>
      </c>
      <c r="U125" s="59">
        <f t="shared" si="40"/>
        <v>0</v>
      </c>
      <c r="V125" s="59">
        <f t="shared" si="40"/>
        <v>0</v>
      </c>
      <c r="W125" s="59">
        <f t="shared" si="40"/>
        <v>0</v>
      </c>
      <c r="X125" s="59">
        <f t="shared" si="40"/>
        <v>0</v>
      </c>
      <c r="Y125" s="59">
        <f t="shared" si="40"/>
        <v>0</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4:79">
      <c r="D126" s="9" t="s">
        <v>123</v>
      </c>
      <c r="E126" s="59">
        <f t="shared" si="39"/>
        <v>0</v>
      </c>
      <c r="F126" s="59">
        <f t="shared" si="39"/>
        <v>0</v>
      </c>
      <c r="G126" s="59">
        <f t="shared" si="39"/>
        <v>0</v>
      </c>
      <c r="H126" s="59">
        <f t="shared" si="39"/>
        <v>0</v>
      </c>
      <c r="I126" s="59">
        <f t="shared" si="39"/>
        <v>0</v>
      </c>
      <c r="J126" s="59">
        <f t="shared" si="39"/>
        <v>0</v>
      </c>
      <c r="K126" s="59">
        <f t="shared" si="39"/>
        <v>0</v>
      </c>
      <c r="L126" s="59">
        <f t="shared" si="39"/>
        <v>0</v>
      </c>
      <c r="M126" s="59">
        <f t="shared" si="39"/>
        <v>0</v>
      </c>
      <c r="N126" s="59">
        <f t="shared" si="39"/>
        <v>0</v>
      </c>
      <c r="O126" s="59">
        <f t="shared" si="39"/>
        <v>0</v>
      </c>
      <c r="P126" s="59">
        <f t="shared" si="39"/>
        <v>0</v>
      </c>
      <c r="Q126" s="59">
        <f t="shared" si="39"/>
        <v>0</v>
      </c>
      <c r="R126" s="59">
        <f t="shared" si="39"/>
        <v>0</v>
      </c>
      <c r="S126" s="59">
        <f t="shared" si="39"/>
        <v>0</v>
      </c>
      <c r="T126" s="59">
        <f t="shared" si="39"/>
        <v>0</v>
      </c>
      <c r="U126" s="59">
        <f t="shared" si="40"/>
        <v>0</v>
      </c>
      <c r="V126" s="59">
        <f t="shared" si="40"/>
        <v>0</v>
      </c>
      <c r="W126" s="59">
        <f t="shared" si="40"/>
        <v>0</v>
      </c>
      <c r="X126" s="59">
        <f t="shared" si="40"/>
        <v>0</v>
      </c>
      <c r="Y126" s="59">
        <f t="shared" si="40"/>
        <v>0</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4:79">
      <c r="D127" s="9" t="s">
        <v>126</v>
      </c>
      <c r="E127" s="59">
        <f t="shared" si="39"/>
        <v>0</v>
      </c>
      <c r="F127" s="59">
        <f t="shared" si="39"/>
        <v>0</v>
      </c>
      <c r="G127" s="59">
        <f t="shared" si="39"/>
        <v>0</v>
      </c>
      <c r="H127" s="59">
        <f t="shared" si="39"/>
        <v>0</v>
      </c>
      <c r="I127" s="59">
        <f t="shared" si="39"/>
        <v>0</v>
      </c>
      <c r="J127" s="59">
        <f t="shared" si="39"/>
        <v>0</v>
      </c>
      <c r="K127" s="59">
        <f t="shared" si="39"/>
        <v>0</v>
      </c>
      <c r="L127" s="59">
        <f t="shared" si="39"/>
        <v>0</v>
      </c>
      <c r="M127" s="59">
        <f t="shared" si="39"/>
        <v>0</v>
      </c>
      <c r="N127" s="59">
        <f t="shared" si="39"/>
        <v>0</v>
      </c>
      <c r="O127" s="59">
        <f t="shared" si="39"/>
        <v>0</v>
      </c>
      <c r="P127" s="59">
        <f t="shared" si="39"/>
        <v>0</v>
      </c>
      <c r="Q127" s="59">
        <f t="shared" si="39"/>
        <v>0</v>
      </c>
      <c r="R127" s="59">
        <f t="shared" si="39"/>
        <v>0</v>
      </c>
      <c r="S127" s="59">
        <f t="shared" si="39"/>
        <v>0</v>
      </c>
      <c r="T127" s="59">
        <f t="shared" si="39"/>
        <v>0</v>
      </c>
      <c r="U127" s="59">
        <f t="shared" si="40"/>
        <v>0</v>
      </c>
      <c r="V127" s="59">
        <f t="shared" si="40"/>
        <v>0</v>
      </c>
      <c r="W127" s="59">
        <f t="shared" si="40"/>
        <v>0</v>
      </c>
      <c r="X127" s="59">
        <f t="shared" si="40"/>
        <v>0</v>
      </c>
      <c r="Y127" s="59">
        <f t="shared" si="40"/>
        <v>0</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4:79">
      <c r="D128" s="9" t="s">
        <v>129</v>
      </c>
      <c r="E128" s="59">
        <f t="shared" si="39"/>
        <v>0</v>
      </c>
      <c r="F128" s="59">
        <f t="shared" si="39"/>
        <v>0</v>
      </c>
      <c r="G128" s="59">
        <f t="shared" si="39"/>
        <v>0</v>
      </c>
      <c r="H128" s="59">
        <f t="shared" si="39"/>
        <v>0</v>
      </c>
      <c r="I128" s="59">
        <f t="shared" si="39"/>
        <v>0</v>
      </c>
      <c r="J128" s="59">
        <f t="shared" si="39"/>
        <v>0</v>
      </c>
      <c r="K128" s="59">
        <f t="shared" si="39"/>
        <v>0</v>
      </c>
      <c r="L128" s="59">
        <f t="shared" si="39"/>
        <v>0</v>
      </c>
      <c r="M128" s="59">
        <f t="shared" si="39"/>
        <v>0</v>
      </c>
      <c r="N128" s="59">
        <f t="shared" si="39"/>
        <v>0</v>
      </c>
      <c r="O128" s="59">
        <f t="shared" si="39"/>
        <v>0</v>
      </c>
      <c r="P128" s="59">
        <f t="shared" si="39"/>
        <v>0</v>
      </c>
      <c r="Q128" s="59">
        <f t="shared" si="39"/>
        <v>0</v>
      </c>
      <c r="R128" s="59">
        <f t="shared" si="39"/>
        <v>0</v>
      </c>
      <c r="S128" s="59">
        <f t="shared" si="39"/>
        <v>0</v>
      </c>
      <c r="T128" s="59">
        <f t="shared" si="39"/>
        <v>0</v>
      </c>
      <c r="U128" s="59">
        <f t="shared" si="40"/>
        <v>0</v>
      </c>
      <c r="V128" s="59">
        <f t="shared" si="40"/>
        <v>0</v>
      </c>
      <c r="W128" s="59">
        <f t="shared" si="40"/>
        <v>0</v>
      </c>
      <c r="X128" s="59">
        <f t="shared" si="40"/>
        <v>0</v>
      </c>
      <c r="Y128" s="59">
        <f t="shared" si="40"/>
        <v>0</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4:79">
      <c r="D129" s="9" t="s">
        <v>132</v>
      </c>
      <c r="E129" s="59">
        <f t="shared" ref="E129:Y129" si="41">E92-E91</f>
        <v>0</v>
      </c>
      <c r="F129" s="59">
        <f t="shared" si="41"/>
        <v>0</v>
      </c>
      <c r="G129" s="59">
        <f t="shared" si="41"/>
        <v>0</v>
      </c>
      <c r="H129" s="59">
        <f t="shared" si="41"/>
        <v>0</v>
      </c>
      <c r="I129" s="59">
        <f t="shared" si="41"/>
        <v>0</v>
      </c>
      <c r="J129" s="59">
        <f t="shared" si="41"/>
        <v>0</v>
      </c>
      <c r="K129" s="59">
        <f t="shared" si="41"/>
        <v>0</v>
      </c>
      <c r="L129" s="59">
        <f t="shared" si="41"/>
        <v>0</v>
      </c>
      <c r="M129" s="59">
        <f t="shared" si="41"/>
        <v>0</v>
      </c>
      <c r="N129" s="59">
        <f t="shared" si="41"/>
        <v>0</v>
      </c>
      <c r="O129" s="59">
        <f t="shared" si="41"/>
        <v>0</v>
      </c>
      <c r="P129" s="59">
        <f t="shared" si="41"/>
        <v>0</v>
      </c>
      <c r="Q129" s="59">
        <f t="shared" si="41"/>
        <v>0</v>
      </c>
      <c r="R129" s="59">
        <f t="shared" si="41"/>
        <v>0</v>
      </c>
      <c r="S129" s="59">
        <f t="shared" si="41"/>
        <v>0</v>
      </c>
      <c r="T129" s="59">
        <f t="shared" si="41"/>
        <v>0</v>
      </c>
      <c r="U129" s="59">
        <f t="shared" si="41"/>
        <v>0</v>
      </c>
      <c r="V129" s="59">
        <f t="shared" si="41"/>
        <v>0</v>
      </c>
      <c r="W129" s="59">
        <f t="shared" si="41"/>
        <v>0</v>
      </c>
      <c r="X129" s="59">
        <f t="shared" si="41"/>
        <v>0</v>
      </c>
      <c r="Y129" s="59">
        <f t="shared" si="41"/>
        <v>0</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4:79">
      <c r="D130" s="9" t="s">
        <v>135</v>
      </c>
      <c r="E130" s="59">
        <f t="shared" ref="E130:Y130" si="42">E93-E92</f>
        <v>0</v>
      </c>
      <c r="F130" s="59">
        <f t="shared" si="42"/>
        <v>0</v>
      </c>
      <c r="G130" s="59">
        <f t="shared" si="42"/>
        <v>0</v>
      </c>
      <c r="H130" s="59">
        <f t="shared" si="42"/>
        <v>0</v>
      </c>
      <c r="I130" s="59">
        <f t="shared" si="42"/>
        <v>0</v>
      </c>
      <c r="J130" s="59">
        <f t="shared" si="42"/>
        <v>0</v>
      </c>
      <c r="K130" s="59">
        <f t="shared" si="42"/>
        <v>0</v>
      </c>
      <c r="L130" s="59">
        <f t="shared" si="42"/>
        <v>0</v>
      </c>
      <c r="M130" s="59">
        <f t="shared" si="42"/>
        <v>0</v>
      </c>
      <c r="N130" s="59">
        <f t="shared" si="42"/>
        <v>0</v>
      </c>
      <c r="O130" s="59">
        <f t="shared" si="42"/>
        <v>0</v>
      </c>
      <c r="P130" s="59">
        <f t="shared" si="42"/>
        <v>0</v>
      </c>
      <c r="Q130" s="59">
        <f t="shared" si="42"/>
        <v>0</v>
      </c>
      <c r="R130" s="59">
        <f t="shared" si="42"/>
        <v>0</v>
      </c>
      <c r="S130" s="59">
        <f t="shared" si="42"/>
        <v>0</v>
      </c>
      <c r="T130" s="59">
        <f t="shared" si="42"/>
        <v>0</v>
      </c>
      <c r="U130" s="59">
        <f t="shared" si="42"/>
        <v>0</v>
      </c>
      <c r="V130" s="59">
        <f t="shared" si="42"/>
        <v>0</v>
      </c>
      <c r="W130" s="59">
        <f t="shared" si="42"/>
        <v>0</v>
      </c>
      <c r="X130" s="59">
        <f t="shared" si="42"/>
        <v>0</v>
      </c>
      <c r="Y130" s="59">
        <f t="shared" si="42"/>
        <v>0</v>
      </c>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4:79">
      <c r="D131" s="9" t="s">
        <v>293</v>
      </c>
      <c r="E131" s="59">
        <f t="shared" ref="E131:Y131" si="43">E94-E93</f>
        <v>0</v>
      </c>
      <c r="F131" s="59">
        <f t="shared" si="43"/>
        <v>0</v>
      </c>
      <c r="G131" s="59">
        <f t="shared" si="43"/>
        <v>0</v>
      </c>
      <c r="H131" s="59">
        <f t="shared" si="43"/>
        <v>0</v>
      </c>
      <c r="I131" s="59">
        <f t="shared" si="43"/>
        <v>0</v>
      </c>
      <c r="J131" s="59">
        <f t="shared" si="43"/>
        <v>0</v>
      </c>
      <c r="K131" s="59">
        <f t="shared" si="43"/>
        <v>0</v>
      </c>
      <c r="L131" s="59">
        <f t="shared" si="43"/>
        <v>0</v>
      </c>
      <c r="M131" s="59">
        <f t="shared" si="43"/>
        <v>0</v>
      </c>
      <c r="N131" s="59">
        <f t="shared" si="43"/>
        <v>0</v>
      </c>
      <c r="O131" s="59">
        <f t="shared" si="43"/>
        <v>0</v>
      </c>
      <c r="P131" s="59">
        <f t="shared" si="43"/>
        <v>0</v>
      </c>
      <c r="Q131" s="59">
        <f t="shared" si="43"/>
        <v>0</v>
      </c>
      <c r="R131" s="59">
        <f t="shared" si="43"/>
        <v>0</v>
      </c>
      <c r="S131" s="59">
        <f t="shared" si="43"/>
        <v>0</v>
      </c>
      <c r="T131" s="59">
        <f t="shared" si="43"/>
        <v>0</v>
      </c>
      <c r="U131" s="59">
        <f t="shared" si="43"/>
        <v>0</v>
      </c>
      <c r="V131" s="59">
        <f t="shared" si="43"/>
        <v>0</v>
      </c>
      <c r="W131" s="59">
        <f t="shared" si="43"/>
        <v>0</v>
      </c>
      <c r="X131" s="59">
        <f t="shared" si="43"/>
        <v>0</v>
      </c>
      <c r="Y131" s="59">
        <f t="shared" si="43"/>
        <v>0</v>
      </c>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4:79">
      <c r="D132" s="9" t="s">
        <v>295</v>
      </c>
      <c r="E132" s="59">
        <f t="shared" ref="E132:Y132" si="44">E95-E94</f>
        <v>0</v>
      </c>
      <c r="F132" s="59">
        <f t="shared" si="44"/>
        <v>0</v>
      </c>
      <c r="G132" s="59">
        <f t="shared" si="44"/>
        <v>0</v>
      </c>
      <c r="H132" s="59">
        <f t="shared" si="44"/>
        <v>0</v>
      </c>
      <c r="I132" s="59">
        <f t="shared" si="44"/>
        <v>0</v>
      </c>
      <c r="J132" s="59">
        <f t="shared" si="44"/>
        <v>0</v>
      </c>
      <c r="K132" s="59">
        <f t="shared" si="44"/>
        <v>0</v>
      </c>
      <c r="L132" s="59">
        <f t="shared" si="44"/>
        <v>0</v>
      </c>
      <c r="M132" s="59">
        <f t="shared" si="44"/>
        <v>0</v>
      </c>
      <c r="N132" s="59">
        <f t="shared" si="44"/>
        <v>0</v>
      </c>
      <c r="O132" s="59">
        <f t="shared" si="44"/>
        <v>0</v>
      </c>
      <c r="P132" s="59">
        <f t="shared" si="44"/>
        <v>0</v>
      </c>
      <c r="Q132" s="59">
        <f t="shared" si="44"/>
        <v>0</v>
      </c>
      <c r="R132" s="59">
        <f t="shared" si="44"/>
        <v>0</v>
      </c>
      <c r="S132" s="59">
        <f t="shared" si="44"/>
        <v>0</v>
      </c>
      <c r="T132" s="59">
        <f t="shared" si="44"/>
        <v>0</v>
      </c>
      <c r="U132" s="59">
        <f t="shared" si="44"/>
        <v>0</v>
      </c>
      <c r="V132" s="59">
        <f t="shared" si="44"/>
        <v>0</v>
      </c>
      <c r="W132" s="59">
        <f t="shared" si="44"/>
        <v>0</v>
      </c>
      <c r="X132" s="59">
        <f t="shared" si="44"/>
        <v>0</v>
      </c>
      <c r="Y132" s="59">
        <f t="shared" si="44"/>
        <v>0</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4:79">
      <c r="D133" s="9" t="s">
        <v>298</v>
      </c>
      <c r="E133" s="59">
        <f t="shared" ref="E133:Y133" si="45">E96-E95</f>
        <v>0</v>
      </c>
      <c r="F133" s="59">
        <f t="shared" si="45"/>
        <v>0</v>
      </c>
      <c r="G133" s="59">
        <f t="shared" si="45"/>
        <v>0</v>
      </c>
      <c r="H133" s="59">
        <f t="shared" si="45"/>
        <v>0</v>
      </c>
      <c r="I133" s="59">
        <f t="shared" si="45"/>
        <v>0</v>
      </c>
      <c r="J133" s="59">
        <f t="shared" si="45"/>
        <v>0</v>
      </c>
      <c r="K133" s="59">
        <f t="shared" si="45"/>
        <v>0</v>
      </c>
      <c r="L133" s="59">
        <f t="shared" si="45"/>
        <v>0</v>
      </c>
      <c r="M133" s="59">
        <f t="shared" si="45"/>
        <v>0</v>
      </c>
      <c r="N133" s="59">
        <f t="shared" si="45"/>
        <v>0</v>
      </c>
      <c r="O133" s="59">
        <f t="shared" si="45"/>
        <v>0</v>
      </c>
      <c r="P133" s="59">
        <f t="shared" si="45"/>
        <v>0</v>
      </c>
      <c r="Q133" s="59">
        <f t="shared" si="45"/>
        <v>0</v>
      </c>
      <c r="R133" s="59">
        <f t="shared" si="45"/>
        <v>0</v>
      </c>
      <c r="S133" s="59">
        <f t="shared" si="45"/>
        <v>0</v>
      </c>
      <c r="T133" s="59">
        <f t="shared" si="45"/>
        <v>0</v>
      </c>
      <c r="U133" s="59">
        <f t="shared" si="45"/>
        <v>0</v>
      </c>
      <c r="V133" s="59">
        <f t="shared" si="45"/>
        <v>0</v>
      </c>
      <c r="W133" s="59">
        <f t="shared" si="45"/>
        <v>0</v>
      </c>
      <c r="X133" s="59">
        <f t="shared" si="45"/>
        <v>0</v>
      </c>
      <c r="Y133" s="59">
        <f t="shared" si="45"/>
        <v>0</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4:79">
      <c r="D134" s="9" t="s">
        <v>301</v>
      </c>
      <c r="E134" s="59">
        <f t="shared" ref="E134:Y134" si="46">E97-E96</f>
        <v>0</v>
      </c>
      <c r="F134" s="59">
        <f t="shared" si="46"/>
        <v>0</v>
      </c>
      <c r="G134" s="59">
        <f t="shared" si="46"/>
        <v>0</v>
      </c>
      <c r="H134" s="59">
        <f t="shared" si="46"/>
        <v>0</v>
      </c>
      <c r="I134" s="59">
        <f t="shared" si="46"/>
        <v>0</v>
      </c>
      <c r="J134" s="59">
        <f t="shared" si="46"/>
        <v>0</v>
      </c>
      <c r="K134" s="59">
        <f t="shared" si="46"/>
        <v>0</v>
      </c>
      <c r="L134" s="59">
        <f t="shared" si="46"/>
        <v>0</v>
      </c>
      <c r="M134" s="59">
        <f t="shared" si="46"/>
        <v>0</v>
      </c>
      <c r="N134" s="59">
        <f t="shared" si="46"/>
        <v>0</v>
      </c>
      <c r="O134" s="59">
        <f t="shared" si="46"/>
        <v>0</v>
      </c>
      <c r="P134" s="59">
        <f t="shared" si="46"/>
        <v>0</v>
      </c>
      <c r="Q134" s="59">
        <f t="shared" si="46"/>
        <v>0</v>
      </c>
      <c r="R134" s="59">
        <f t="shared" si="46"/>
        <v>0</v>
      </c>
      <c r="S134" s="59">
        <f t="shared" si="46"/>
        <v>0</v>
      </c>
      <c r="T134" s="59">
        <f t="shared" si="46"/>
        <v>0</v>
      </c>
      <c r="U134" s="59">
        <f t="shared" si="46"/>
        <v>0</v>
      </c>
      <c r="V134" s="59">
        <f t="shared" si="46"/>
        <v>0</v>
      </c>
      <c r="W134" s="59">
        <f t="shared" si="46"/>
        <v>0</v>
      </c>
      <c r="X134" s="59">
        <f t="shared" si="46"/>
        <v>0</v>
      </c>
      <c r="Y134" s="59">
        <f t="shared" si="46"/>
        <v>0</v>
      </c>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4:79">
      <c r="D135" s="9" t="s">
        <v>304</v>
      </c>
      <c r="E135" s="59">
        <f t="shared" ref="E135:Y135" si="47">E98-E97</f>
        <v>0</v>
      </c>
      <c r="F135" s="59">
        <f t="shared" si="47"/>
        <v>0</v>
      </c>
      <c r="G135" s="59">
        <f t="shared" si="47"/>
        <v>0</v>
      </c>
      <c r="H135" s="59">
        <f t="shared" si="47"/>
        <v>0</v>
      </c>
      <c r="I135" s="59">
        <f t="shared" si="47"/>
        <v>0</v>
      </c>
      <c r="J135" s="59">
        <f t="shared" si="47"/>
        <v>0</v>
      </c>
      <c r="K135" s="59">
        <f t="shared" si="47"/>
        <v>0</v>
      </c>
      <c r="L135" s="59">
        <f t="shared" si="47"/>
        <v>0</v>
      </c>
      <c r="M135" s="59">
        <f t="shared" si="47"/>
        <v>0</v>
      </c>
      <c r="N135" s="59">
        <f t="shared" si="47"/>
        <v>0</v>
      </c>
      <c r="O135" s="59">
        <f t="shared" si="47"/>
        <v>0</v>
      </c>
      <c r="P135" s="59">
        <f t="shared" si="47"/>
        <v>0</v>
      </c>
      <c r="Q135" s="59">
        <f t="shared" si="47"/>
        <v>0</v>
      </c>
      <c r="R135" s="59">
        <f t="shared" si="47"/>
        <v>0</v>
      </c>
      <c r="S135" s="59">
        <f t="shared" si="47"/>
        <v>0</v>
      </c>
      <c r="T135" s="59">
        <f t="shared" si="47"/>
        <v>0</v>
      </c>
      <c r="U135" s="59">
        <f t="shared" si="47"/>
        <v>0</v>
      </c>
      <c r="V135" s="59">
        <f t="shared" si="47"/>
        <v>0</v>
      </c>
      <c r="W135" s="59">
        <f t="shared" si="47"/>
        <v>0</v>
      </c>
      <c r="X135" s="59">
        <f t="shared" si="47"/>
        <v>0</v>
      </c>
      <c r="Y135" s="59">
        <f t="shared" si="47"/>
        <v>0</v>
      </c>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4:79">
      <c r="D136" s="9" t="s">
        <v>307</v>
      </c>
      <c r="E136" s="59">
        <f t="shared" ref="E136:Y136" si="48">E99-E98</f>
        <v>0</v>
      </c>
      <c r="F136" s="59">
        <f t="shared" si="48"/>
        <v>0</v>
      </c>
      <c r="G136" s="59">
        <f t="shared" si="48"/>
        <v>0</v>
      </c>
      <c r="H136" s="59">
        <f t="shared" si="48"/>
        <v>0</v>
      </c>
      <c r="I136" s="59">
        <f t="shared" si="48"/>
        <v>0</v>
      </c>
      <c r="J136" s="59">
        <f t="shared" si="48"/>
        <v>0</v>
      </c>
      <c r="K136" s="59">
        <f t="shared" si="48"/>
        <v>0</v>
      </c>
      <c r="L136" s="59">
        <f t="shared" si="48"/>
        <v>0</v>
      </c>
      <c r="M136" s="59">
        <f t="shared" si="48"/>
        <v>0</v>
      </c>
      <c r="N136" s="59">
        <f t="shared" si="48"/>
        <v>0</v>
      </c>
      <c r="O136" s="59">
        <f t="shared" si="48"/>
        <v>0</v>
      </c>
      <c r="P136" s="59">
        <f t="shared" si="48"/>
        <v>0</v>
      </c>
      <c r="Q136" s="59">
        <f t="shared" si="48"/>
        <v>0</v>
      </c>
      <c r="R136" s="59">
        <f t="shared" si="48"/>
        <v>0</v>
      </c>
      <c r="S136" s="59">
        <f t="shared" si="48"/>
        <v>0</v>
      </c>
      <c r="T136" s="59">
        <f t="shared" si="48"/>
        <v>0</v>
      </c>
      <c r="U136" s="59">
        <f t="shared" si="48"/>
        <v>0</v>
      </c>
      <c r="V136" s="59">
        <f t="shared" si="48"/>
        <v>0</v>
      </c>
      <c r="W136" s="59">
        <f t="shared" si="48"/>
        <v>0</v>
      </c>
      <c r="X136" s="59">
        <f t="shared" si="48"/>
        <v>0</v>
      </c>
      <c r="Y136" s="59">
        <f t="shared" si="48"/>
        <v>0</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4:79">
      <c r="D137" s="9" t="s">
        <v>310</v>
      </c>
      <c r="E137" s="59">
        <f t="shared" ref="E137:Y137" si="49">E100-E99</f>
        <v>0</v>
      </c>
      <c r="F137" s="59">
        <f t="shared" si="49"/>
        <v>0</v>
      </c>
      <c r="G137" s="59">
        <f t="shared" si="49"/>
        <v>0</v>
      </c>
      <c r="H137" s="59">
        <f t="shared" si="49"/>
        <v>0</v>
      </c>
      <c r="I137" s="59">
        <f t="shared" si="49"/>
        <v>0</v>
      </c>
      <c r="J137" s="59">
        <f t="shared" si="49"/>
        <v>0</v>
      </c>
      <c r="K137" s="59">
        <f t="shared" si="49"/>
        <v>0</v>
      </c>
      <c r="L137" s="59">
        <f t="shared" si="49"/>
        <v>0</v>
      </c>
      <c r="M137" s="59">
        <f t="shared" si="49"/>
        <v>0</v>
      </c>
      <c r="N137" s="59">
        <f t="shared" si="49"/>
        <v>0</v>
      </c>
      <c r="O137" s="59">
        <f t="shared" si="49"/>
        <v>0</v>
      </c>
      <c r="P137" s="59">
        <f t="shared" si="49"/>
        <v>0</v>
      </c>
      <c r="Q137" s="59">
        <f t="shared" si="49"/>
        <v>0</v>
      </c>
      <c r="R137" s="59">
        <f t="shared" si="49"/>
        <v>0</v>
      </c>
      <c r="S137" s="59">
        <f t="shared" si="49"/>
        <v>0</v>
      </c>
      <c r="T137" s="59">
        <f t="shared" si="49"/>
        <v>0</v>
      </c>
      <c r="U137" s="59">
        <f t="shared" si="49"/>
        <v>0</v>
      </c>
      <c r="V137" s="59">
        <f t="shared" si="49"/>
        <v>0</v>
      </c>
      <c r="W137" s="59">
        <f t="shared" si="49"/>
        <v>0</v>
      </c>
      <c r="X137" s="59">
        <f t="shared" si="49"/>
        <v>0</v>
      </c>
      <c r="Y137" s="59">
        <f t="shared" si="49"/>
        <v>0</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4:79">
      <c r="D138" s="9" t="s">
        <v>313</v>
      </c>
      <c r="E138" s="59">
        <f t="shared" ref="E138:Y138" si="50">E101-E100</f>
        <v>0</v>
      </c>
      <c r="F138" s="59">
        <f t="shared" si="50"/>
        <v>0</v>
      </c>
      <c r="G138" s="59">
        <f t="shared" si="50"/>
        <v>0</v>
      </c>
      <c r="H138" s="59">
        <f t="shared" si="50"/>
        <v>0</v>
      </c>
      <c r="I138" s="59">
        <f t="shared" si="50"/>
        <v>0</v>
      </c>
      <c r="J138" s="59">
        <f t="shared" si="50"/>
        <v>0</v>
      </c>
      <c r="K138" s="59">
        <f t="shared" si="50"/>
        <v>0</v>
      </c>
      <c r="L138" s="59">
        <f t="shared" si="50"/>
        <v>0</v>
      </c>
      <c r="M138" s="59">
        <f t="shared" si="50"/>
        <v>0</v>
      </c>
      <c r="N138" s="59">
        <f t="shared" si="50"/>
        <v>0</v>
      </c>
      <c r="O138" s="59">
        <f t="shared" si="50"/>
        <v>0</v>
      </c>
      <c r="P138" s="59">
        <f t="shared" si="50"/>
        <v>0</v>
      </c>
      <c r="Q138" s="59">
        <f t="shared" si="50"/>
        <v>0</v>
      </c>
      <c r="R138" s="59">
        <f t="shared" si="50"/>
        <v>0</v>
      </c>
      <c r="S138" s="59">
        <f t="shared" si="50"/>
        <v>0</v>
      </c>
      <c r="T138" s="59">
        <f t="shared" si="50"/>
        <v>0</v>
      </c>
      <c r="U138" s="59">
        <f t="shared" si="50"/>
        <v>0</v>
      </c>
      <c r="V138" s="59">
        <f t="shared" si="50"/>
        <v>0</v>
      </c>
      <c r="W138" s="59">
        <f t="shared" si="50"/>
        <v>0</v>
      </c>
      <c r="X138" s="59">
        <f t="shared" si="50"/>
        <v>0</v>
      </c>
      <c r="Y138" s="59">
        <f t="shared" si="50"/>
        <v>0</v>
      </c>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4:79">
      <c r="D139" s="9" t="s">
        <v>316</v>
      </c>
      <c r="E139" s="59">
        <f t="shared" ref="E139:Y139" si="51">E102-E101</f>
        <v>0</v>
      </c>
      <c r="F139" s="59">
        <f t="shared" si="51"/>
        <v>0</v>
      </c>
      <c r="G139" s="59">
        <f t="shared" si="51"/>
        <v>0</v>
      </c>
      <c r="H139" s="59">
        <f t="shared" si="51"/>
        <v>0</v>
      </c>
      <c r="I139" s="59">
        <f t="shared" si="51"/>
        <v>0</v>
      </c>
      <c r="J139" s="59">
        <f t="shared" si="51"/>
        <v>0</v>
      </c>
      <c r="K139" s="59">
        <f t="shared" si="51"/>
        <v>0</v>
      </c>
      <c r="L139" s="59">
        <f t="shared" si="51"/>
        <v>0</v>
      </c>
      <c r="M139" s="59">
        <f t="shared" si="51"/>
        <v>0</v>
      </c>
      <c r="N139" s="59">
        <f t="shared" si="51"/>
        <v>0</v>
      </c>
      <c r="O139" s="59">
        <f t="shared" si="51"/>
        <v>0</v>
      </c>
      <c r="P139" s="59">
        <f t="shared" si="51"/>
        <v>0</v>
      </c>
      <c r="Q139" s="59">
        <f t="shared" si="51"/>
        <v>0</v>
      </c>
      <c r="R139" s="59">
        <f t="shared" si="51"/>
        <v>0</v>
      </c>
      <c r="S139" s="59">
        <f t="shared" si="51"/>
        <v>0</v>
      </c>
      <c r="T139" s="59">
        <f t="shared" si="51"/>
        <v>0</v>
      </c>
      <c r="U139" s="59">
        <f t="shared" si="51"/>
        <v>0</v>
      </c>
      <c r="V139" s="59">
        <f t="shared" si="51"/>
        <v>0</v>
      </c>
      <c r="W139" s="59">
        <f t="shared" si="51"/>
        <v>0</v>
      </c>
      <c r="X139" s="59">
        <f t="shared" si="51"/>
        <v>0</v>
      </c>
      <c r="Y139" s="59">
        <f t="shared" si="51"/>
        <v>0</v>
      </c>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4:79">
      <c r="D140" s="9" t="s">
        <v>319</v>
      </c>
      <c r="E140" s="59">
        <f t="shared" ref="E140:Y140" si="52">E103-E102</f>
        <v>0</v>
      </c>
      <c r="F140" s="59">
        <f t="shared" si="52"/>
        <v>0</v>
      </c>
      <c r="G140" s="59">
        <f t="shared" si="52"/>
        <v>0</v>
      </c>
      <c r="H140" s="59">
        <f t="shared" si="52"/>
        <v>0</v>
      </c>
      <c r="I140" s="59">
        <f t="shared" si="52"/>
        <v>0</v>
      </c>
      <c r="J140" s="59">
        <f t="shared" si="52"/>
        <v>0</v>
      </c>
      <c r="K140" s="59">
        <f t="shared" si="52"/>
        <v>0</v>
      </c>
      <c r="L140" s="59">
        <f t="shared" si="52"/>
        <v>0</v>
      </c>
      <c r="M140" s="59">
        <f t="shared" si="52"/>
        <v>0</v>
      </c>
      <c r="N140" s="59">
        <f t="shared" si="52"/>
        <v>0</v>
      </c>
      <c r="O140" s="59">
        <f t="shared" si="52"/>
        <v>0</v>
      </c>
      <c r="P140" s="59">
        <f t="shared" si="52"/>
        <v>0</v>
      </c>
      <c r="Q140" s="59">
        <f t="shared" si="52"/>
        <v>0</v>
      </c>
      <c r="R140" s="59">
        <f t="shared" si="52"/>
        <v>0</v>
      </c>
      <c r="S140" s="59">
        <f t="shared" si="52"/>
        <v>0</v>
      </c>
      <c r="T140" s="59">
        <f t="shared" si="52"/>
        <v>0</v>
      </c>
      <c r="U140" s="59">
        <f t="shared" si="52"/>
        <v>0</v>
      </c>
      <c r="V140" s="59">
        <f t="shared" si="52"/>
        <v>0</v>
      </c>
      <c r="W140" s="59">
        <f t="shared" si="52"/>
        <v>0</v>
      </c>
      <c r="X140" s="59">
        <f t="shared" si="52"/>
        <v>0</v>
      </c>
      <c r="Y140" s="59">
        <f t="shared" si="52"/>
        <v>0</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4:79">
      <c r="D141" s="9" t="s">
        <v>322</v>
      </c>
      <c r="E141" s="59">
        <f t="shared" ref="E141:Y141" si="53">E104-E103</f>
        <v>0</v>
      </c>
      <c r="F141" s="59">
        <f t="shared" si="53"/>
        <v>0</v>
      </c>
      <c r="G141" s="59">
        <f t="shared" si="53"/>
        <v>0</v>
      </c>
      <c r="H141" s="59">
        <f t="shared" si="53"/>
        <v>0</v>
      </c>
      <c r="I141" s="59">
        <f t="shared" si="53"/>
        <v>0</v>
      </c>
      <c r="J141" s="59">
        <f t="shared" si="53"/>
        <v>0</v>
      </c>
      <c r="K141" s="59">
        <f t="shared" si="53"/>
        <v>0</v>
      </c>
      <c r="L141" s="59">
        <f t="shared" si="53"/>
        <v>0</v>
      </c>
      <c r="M141" s="59">
        <f t="shared" si="53"/>
        <v>0</v>
      </c>
      <c r="N141" s="59">
        <f t="shared" si="53"/>
        <v>0</v>
      </c>
      <c r="O141" s="59">
        <f t="shared" si="53"/>
        <v>0</v>
      </c>
      <c r="P141" s="59">
        <f t="shared" si="53"/>
        <v>0</v>
      </c>
      <c r="Q141" s="59">
        <f t="shared" si="53"/>
        <v>0</v>
      </c>
      <c r="R141" s="59">
        <f t="shared" si="53"/>
        <v>0</v>
      </c>
      <c r="S141" s="59">
        <f t="shared" si="53"/>
        <v>0</v>
      </c>
      <c r="T141" s="59">
        <f t="shared" si="53"/>
        <v>0</v>
      </c>
      <c r="U141" s="59">
        <f t="shared" si="53"/>
        <v>0</v>
      </c>
      <c r="V141" s="59">
        <f t="shared" si="53"/>
        <v>0</v>
      </c>
      <c r="W141" s="59">
        <f t="shared" si="53"/>
        <v>0</v>
      </c>
      <c r="X141" s="59">
        <f t="shared" si="53"/>
        <v>0</v>
      </c>
      <c r="Y141" s="59">
        <f t="shared" si="53"/>
        <v>0</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4:79">
      <c r="E142" s="59"/>
      <c r="F142" s="59"/>
      <c r="G142" s="59"/>
      <c r="H142" s="59"/>
      <c r="I142" s="59"/>
      <c r="J142" s="59"/>
      <c r="K142" s="59"/>
      <c r="L142" s="59"/>
      <c r="M142" s="59"/>
      <c r="N142" s="59"/>
      <c r="O142" s="59"/>
      <c r="P142" s="59"/>
      <c r="Q142" s="59"/>
      <c r="R142" s="59"/>
      <c r="S142" s="59"/>
      <c r="T142" s="59"/>
      <c r="U142" s="59"/>
      <c r="V142" s="59"/>
      <c r="W142" s="59"/>
      <c r="X142" s="59"/>
      <c r="Y142" s="59"/>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4:79" ht="15">
      <c r="D143" s="73" t="s">
        <v>144</v>
      </c>
      <c r="E143" s="74">
        <f t="shared" ref="E143:X143" si="54">SUM(E111:E141)</f>
        <v>0.15170963255696115</v>
      </c>
      <c r="F143" s="74">
        <f t="shared" si="54"/>
        <v>0.24122549654832587</v>
      </c>
      <c r="G143" s="74">
        <f t="shared" si="54"/>
        <v>0.48770730451029831</v>
      </c>
      <c r="H143" s="74">
        <f t="shared" si="54"/>
        <v>0.86218646844062263</v>
      </c>
      <c r="I143" s="74">
        <f t="shared" si="54"/>
        <v>1.3540363584451307</v>
      </c>
      <c r="J143" s="74">
        <f t="shared" si="54"/>
        <v>1.912540814550147</v>
      </c>
      <c r="K143" s="74">
        <f t="shared" si="54"/>
        <v>2.4539318871709637</v>
      </c>
      <c r="L143" s="74">
        <f t="shared" si="54"/>
        <v>2.8846162033374196</v>
      </c>
      <c r="M143" s="74">
        <f t="shared" si="54"/>
        <v>3.1290606790544531</v>
      </c>
      <c r="N143" s="74">
        <f t="shared" si="54"/>
        <v>3.1506204689355659</v>
      </c>
      <c r="O143" s="74">
        <f t="shared" si="54"/>
        <v>2.9603622118318911</v>
      </c>
      <c r="P143" s="74">
        <f t="shared" si="54"/>
        <v>2.6070192382821169</v>
      </c>
      <c r="Q143" s="74">
        <f t="shared" si="54"/>
        <v>2.1600071947035397</v>
      </c>
      <c r="R143" s="74">
        <f t="shared" si="54"/>
        <v>1.6895544449496127</v>
      </c>
      <c r="S143" s="74">
        <f t="shared" si="54"/>
        <v>1.2517712422098033</v>
      </c>
      <c r="T143" s="74">
        <f t="shared" si="54"/>
        <v>0.88097254795970703</v>
      </c>
      <c r="U143" s="74">
        <f t="shared" si="54"/>
        <v>0.59039102818424927</v>
      </c>
      <c r="V143" s="74">
        <f t="shared" si="54"/>
        <v>0.37756391423877317</v>
      </c>
      <c r="W143" s="74">
        <f t="shared" si="54"/>
        <v>0.23094099276860405</v>
      </c>
      <c r="X143" s="74">
        <f t="shared" si="54"/>
        <v>0.13536538574032503</v>
      </c>
      <c r="Y143" s="74"/>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4:79" ht="15">
      <c r="D144" s="73" t="s">
        <v>145</v>
      </c>
      <c r="E144" s="74">
        <f>E143</f>
        <v>0.15170963255696115</v>
      </c>
      <c r="F144" s="74">
        <f t="shared" ref="F144:X144" si="55">E144+F143</f>
        <v>0.39293512910528705</v>
      </c>
      <c r="G144" s="74">
        <f t="shared" si="55"/>
        <v>0.88064243361558536</v>
      </c>
      <c r="H144" s="74">
        <f t="shared" si="55"/>
        <v>1.742828902056208</v>
      </c>
      <c r="I144" s="74">
        <f t="shared" si="55"/>
        <v>3.0968652605013389</v>
      </c>
      <c r="J144" s="74">
        <f t="shared" si="55"/>
        <v>5.0094060750514862</v>
      </c>
      <c r="K144" s="74">
        <f t="shared" si="55"/>
        <v>7.4633379622224503</v>
      </c>
      <c r="L144" s="74">
        <f t="shared" si="55"/>
        <v>10.347954165559869</v>
      </c>
      <c r="M144" s="74">
        <f t="shared" si="55"/>
        <v>13.477014844614322</v>
      </c>
      <c r="N144" s="74">
        <f t="shared" si="55"/>
        <v>16.627635313549888</v>
      </c>
      <c r="O144" s="74">
        <f t="shared" si="55"/>
        <v>19.58799752538178</v>
      </c>
      <c r="P144" s="74">
        <f t="shared" si="55"/>
        <v>22.195016763663897</v>
      </c>
      <c r="Q144" s="74">
        <f t="shared" si="55"/>
        <v>24.355023958367436</v>
      </c>
      <c r="R144" s="74">
        <f t="shared" si="55"/>
        <v>26.04457840331705</v>
      </c>
      <c r="S144" s="74">
        <f t="shared" si="55"/>
        <v>27.296349645526853</v>
      </c>
      <c r="T144" s="74">
        <f t="shared" si="55"/>
        <v>28.17732219348656</v>
      </c>
      <c r="U144" s="74">
        <f t="shared" si="55"/>
        <v>28.76771322167081</v>
      </c>
      <c r="V144" s="74">
        <f t="shared" si="55"/>
        <v>29.145277135909584</v>
      </c>
      <c r="W144" s="74">
        <f t="shared" si="55"/>
        <v>29.37621812867819</v>
      </c>
      <c r="X144" s="74">
        <f t="shared" si="55"/>
        <v>29.511583514418515</v>
      </c>
      <c r="Y144" s="74">
        <f>SUM(Y111:Y141)</f>
        <v>31.424124424486653</v>
      </c>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29:79">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29:79">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29:79" customFormat="1"/>
    <row r="148" spans="29:79" customFormat="1"/>
    <row r="149" spans="29:79" customFormat="1"/>
    <row r="150" spans="29:79" customFormat="1"/>
    <row r="151" spans="29:79" customFormat="1"/>
    <row r="152" spans="29:79" customFormat="1"/>
    <row r="153" spans="29:79" customFormat="1"/>
    <row r="154" spans="29:79" customFormat="1"/>
  </sheetData>
  <mergeCells count="1">
    <mergeCell ref="B1:S6"/>
  </mergeCells>
  <pageMargins left="0.75" right="0.75" top="1" bottom="1" header="0.5" footer="0.5"/>
  <headerFooter alignWithMargins="0"/>
  <legacyDrawing r:id="rId1"/>
</worksheet>
</file>

<file path=xl/worksheets/sheet5.xml><?xml version="1.0" encoding="utf-8"?>
<worksheet xmlns="http://schemas.openxmlformats.org/spreadsheetml/2006/main" xmlns:r="http://schemas.openxmlformats.org/officeDocument/2006/relationships">
  <dimension ref="A2:G17"/>
  <sheetViews>
    <sheetView workbookViewId="0">
      <selection activeCell="H20" sqref="H20"/>
    </sheetView>
  </sheetViews>
  <sheetFormatPr defaultRowHeight="12.75"/>
  <sheetData>
    <row r="2" spans="1:7">
      <c r="A2" t="s">
        <v>546</v>
      </c>
    </row>
    <row r="5" spans="1:7" ht="15">
      <c r="A5" s="233" t="s">
        <v>547</v>
      </c>
      <c r="B5" s="234"/>
      <c r="C5" s="234"/>
      <c r="D5" s="234"/>
      <c r="E5" s="234"/>
      <c r="F5" s="234"/>
      <c r="G5" s="234"/>
    </row>
    <row r="6" spans="1:7" ht="15.75" thickBot="1">
      <c r="A6" s="235" t="s">
        <v>548</v>
      </c>
      <c r="B6" s="236">
        <v>2010</v>
      </c>
      <c r="C6" s="236">
        <v>2011</v>
      </c>
      <c r="D6" s="236">
        <v>2012</v>
      </c>
      <c r="E6" s="236">
        <v>2013</v>
      </c>
      <c r="F6" s="236">
        <v>2014</v>
      </c>
      <c r="G6" s="235" t="s">
        <v>549</v>
      </c>
    </row>
    <row r="7" spans="1:7" ht="15.75" thickBot="1">
      <c r="A7" s="237" t="s">
        <v>550</v>
      </c>
      <c r="B7" s="238"/>
      <c r="C7" s="238"/>
      <c r="D7" s="238"/>
      <c r="E7" s="238"/>
      <c r="F7" s="238"/>
      <c r="G7" s="238"/>
    </row>
    <row r="8" spans="1:7" ht="15">
      <c r="A8" s="239" t="s">
        <v>551</v>
      </c>
      <c r="B8" s="239" t="s">
        <v>552</v>
      </c>
      <c r="C8" s="239" t="s">
        <v>553</v>
      </c>
      <c r="D8" s="239" t="s">
        <v>554</v>
      </c>
      <c r="E8" s="239" t="s">
        <v>555</v>
      </c>
      <c r="F8" s="239" t="s">
        <v>556</v>
      </c>
      <c r="G8" s="239" t="s">
        <v>557</v>
      </c>
    </row>
    <row r="9" spans="1:7" ht="15.75" thickBot="1">
      <c r="A9" s="237" t="s">
        <v>558</v>
      </c>
      <c r="B9" s="238"/>
      <c r="C9" s="238"/>
      <c r="D9" s="238"/>
      <c r="E9" s="238"/>
      <c r="F9" s="238"/>
      <c r="G9" s="238"/>
    </row>
    <row r="10" spans="1:7" ht="15">
      <c r="A10" s="239" t="s">
        <v>551</v>
      </c>
      <c r="B10" s="239" t="s">
        <v>559</v>
      </c>
      <c r="C10" s="239" t="s">
        <v>560</v>
      </c>
      <c r="D10" s="239" t="s">
        <v>561</v>
      </c>
      <c r="E10" s="239" t="s">
        <v>562</v>
      </c>
      <c r="F10" s="239" t="s">
        <v>563</v>
      </c>
      <c r="G10" s="239" t="s">
        <v>564</v>
      </c>
    </row>
    <row r="11" spans="1:7" ht="15.75" thickBot="1">
      <c r="A11" s="237" t="s">
        <v>184</v>
      </c>
      <c r="B11" s="238"/>
      <c r="C11" s="238"/>
      <c r="D11" s="238"/>
      <c r="E11" s="238"/>
      <c r="F11" s="238"/>
      <c r="G11" s="238"/>
    </row>
    <row r="12" spans="1:7" ht="15">
      <c r="A12" s="239" t="s">
        <v>551</v>
      </c>
      <c r="B12" s="239" t="s">
        <v>565</v>
      </c>
      <c r="C12" s="239" t="s">
        <v>566</v>
      </c>
      <c r="D12" s="239" t="s">
        <v>567</v>
      </c>
      <c r="E12" s="239" t="s">
        <v>568</v>
      </c>
      <c r="F12" s="239" t="s">
        <v>569</v>
      </c>
      <c r="G12" s="239" t="s">
        <v>570</v>
      </c>
    </row>
    <row r="13" spans="1:7" ht="15">
      <c r="A13" s="239" t="s">
        <v>571</v>
      </c>
      <c r="B13" s="239" t="s">
        <v>572</v>
      </c>
      <c r="C13" s="140"/>
      <c r="D13" s="140"/>
      <c r="E13" s="140"/>
      <c r="F13" s="140"/>
      <c r="G13" s="239" t="s">
        <v>573</v>
      </c>
    </row>
    <row r="14" spans="1:7" ht="15.75" thickBot="1">
      <c r="A14" s="237" t="s">
        <v>574</v>
      </c>
      <c r="B14" s="238"/>
      <c r="C14" s="238"/>
      <c r="D14" s="238"/>
      <c r="E14" s="238"/>
      <c r="F14" s="238"/>
      <c r="G14" s="238"/>
    </row>
    <row r="15" spans="1:7" ht="15">
      <c r="A15" s="239" t="s">
        <v>551</v>
      </c>
      <c r="B15" s="239" t="s">
        <v>575</v>
      </c>
      <c r="C15" s="239" t="s">
        <v>576</v>
      </c>
      <c r="D15" s="239" t="s">
        <v>577</v>
      </c>
      <c r="E15" s="239" t="s">
        <v>578</v>
      </c>
      <c r="F15" s="239" t="s">
        <v>579</v>
      </c>
      <c r="G15" s="239" t="s">
        <v>580</v>
      </c>
    </row>
    <row r="16" spans="1:7" ht="15.75" thickBot="1">
      <c r="A16" s="239" t="s">
        <v>571</v>
      </c>
      <c r="B16" s="239" t="s">
        <v>581</v>
      </c>
      <c r="C16" s="239" t="s">
        <v>582</v>
      </c>
      <c r="D16" s="239" t="s">
        <v>583</v>
      </c>
      <c r="E16" s="239" t="s">
        <v>584</v>
      </c>
      <c r="F16" s="239" t="s">
        <v>585</v>
      </c>
      <c r="G16" s="239" t="s">
        <v>586</v>
      </c>
    </row>
    <row r="17" spans="1:7" ht="15">
      <c r="A17" s="240" t="s">
        <v>549</v>
      </c>
      <c r="B17" s="240" t="s">
        <v>587</v>
      </c>
      <c r="C17" s="240" t="s">
        <v>588</v>
      </c>
      <c r="D17" s="240" t="s">
        <v>589</v>
      </c>
      <c r="E17" s="240" t="s">
        <v>590</v>
      </c>
      <c r="F17" s="240" t="s">
        <v>591</v>
      </c>
      <c r="G17" s="240" t="s">
        <v>592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5"/>
  <dimension ref="A4:M24"/>
  <sheetViews>
    <sheetView workbookViewId="0">
      <selection activeCell="A16" sqref="A16"/>
    </sheetView>
  </sheetViews>
  <sheetFormatPr defaultRowHeight="12.75"/>
  <sheetData>
    <row r="4" spans="1:13">
      <c r="B4" t="s">
        <v>54</v>
      </c>
      <c r="C4" t="s">
        <v>55</v>
      </c>
      <c r="I4" t="s">
        <v>48</v>
      </c>
      <c r="K4" t="s">
        <v>58</v>
      </c>
      <c r="L4">
        <v>2006</v>
      </c>
      <c r="M4" t="s">
        <v>59</v>
      </c>
    </row>
    <row r="5" spans="1:13">
      <c r="A5" t="s">
        <v>48</v>
      </c>
      <c r="B5">
        <v>2.19</v>
      </c>
      <c r="C5" t="s">
        <v>56</v>
      </c>
    </row>
    <row r="6" spans="1:13">
      <c r="A6" t="s">
        <v>49</v>
      </c>
      <c r="B6">
        <v>1.25</v>
      </c>
      <c r="C6" t="s">
        <v>338</v>
      </c>
    </row>
    <row r="7" spans="1:13">
      <c r="A7" t="s">
        <v>50</v>
      </c>
      <c r="B7">
        <v>1.25</v>
      </c>
      <c r="C7" t="s">
        <v>338</v>
      </c>
    </row>
    <row r="8" spans="1:13">
      <c r="A8" t="s">
        <v>51</v>
      </c>
      <c r="B8">
        <v>1.81</v>
      </c>
      <c r="C8" t="s">
        <v>56</v>
      </c>
    </row>
    <row r="15" spans="1:13">
      <c r="A15" t="s">
        <v>344</v>
      </c>
      <c r="B15" s="189">
        <v>0.88</v>
      </c>
      <c r="C15" t="s">
        <v>288</v>
      </c>
    </row>
    <row r="16" spans="1:13">
      <c r="A16" t="s">
        <v>287</v>
      </c>
      <c r="B16" s="189">
        <v>0.12</v>
      </c>
      <c r="C16" t="s">
        <v>289</v>
      </c>
    </row>
    <row r="24" spans="9:13">
      <c r="I24" t="s">
        <v>57</v>
      </c>
      <c r="K24" t="s">
        <v>58</v>
      </c>
      <c r="L24">
        <v>1280</v>
      </c>
      <c r="M24" t="s">
        <v>60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codeName="Sheet6"/>
  <dimension ref="A1:EA9"/>
  <sheetViews>
    <sheetView workbookViewId="0">
      <selection sqref="A1:EA9"/>
    </sheetView>
  </sheetViews>
  <sheetFormatPr defaultRowHeight="12.75"/>
  <sheetData>
    <row r="1" spans="1:131" ht="13.5" thickBot="1">
      <c r="A1" s="34" t="s">
        <v>45</v>
      </c>
      <c r="B1" s="35"/>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row>
    <row r="2" spans="1:131" ht="13.5" thickBot="1">
      <c r="A2" s="43"/>
      <c r="B2" s="44"/>
      <c r="C2" s="45"/>
      <c r="D2" s="45"/>
      <c r="E2" s="45"/>
      <c r="F2" s="45"/>
      <c r="G2" s="45"/>
      <c r="H2" s="45"/>
      <c r="I2" s="45"/>
      <c r="J2" s="45"/>
      <c r="K2" s="45"/>
      <c r="L2" s="45"/>
      <c r="M2" s="45"/>
      <c r="N2" s="45"/>
      <c r="O2" s="46" t="s">
        <v>324</v>
      </c>
      <c r="P2" s="47"/>
      <c r="Q2" s="47"/>
      <c r="R2" s="47"/>
      <c r="S2" s="47"/>
      <c r="T2" s="47"/>
      <c r="U2" s="47"/>
      <c r="V2" s="47"/>
      <c r="W2" s="47"/>
      <c r="X2" s="47"/>
      <c r="Y2" s="47"/>
      <c r="Z2" s="41"/>
      <c r="AA2" s="45"/>
      <c r="AB2" s="46" t="s">
        <v>325</v>
      </c>
      <c r="AC2" s="47"/>
      <c r="AD2" s="47"/>
      <c r="AE2" s="47"/>
      <c r="AF2" s="47"/>
      <c r="AG2" s="47"/>
      <c r="AH2" s="47"/>
      <c r="AI2" s="47"/>
      <c r="AJ2" s="47"/>
      <c r="AK2" s="47"/>
      <c r="AL2" s="47"/>
      <c r="AM2" s="41"/>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row>
    <row r="3" spans="1:131" ht="191.25">
      <c r="A3" s="37" t="s">
        <v>21</v>
      </c>
      <c r="B3" s="38" t="s">
        <v>22</v>
      </c>
      <c r="C3" s="39" t="s">
        <v>46</v>
      </c>
      <c r="D3" s="39" t="s">
        <v>25</v>
      </c>
      <c r="E3" s="39" t="s">
        <v>26</v>
      </c>
      <c r="F3" s="39" t="s">
        <v>27</v>
      </c>
      <c r="G3" s="39" t="s">
        <v>28</v>
      </c>
      <c r="H3" s="39" t="s">
        <v>29</v>
      </c>
      <c r="I3" s="39" t="s">
        <v>30</v>
      </c>
      <c r="J3" s="39" t="s">
        <v>31</v>
      </c>
      <c r="K3" s="39" t="s">
        <v>24</v>
      </c>
      <c r="L3" s="39" t="s">
        <v>23</v>
      </c>
      <c r="M3" s="39" t="s">
        <v>32</v>
      </c>
      <c r="N3" s="39" t="s">
        <v>326</v>
      </c>
      <c r="O3" s="39" t="s">
        <v>33</v>
      </c>
      <c r="P3" s="39" t="s">
        <v>34</v>
      </c>
      <c r="Q3" s="39" t="s">
        <v>35</v>
      </c>
      <c r="R3" s="39" t="s">
        <v>36</v>
      </c>
      <c r="S3" s="39" t="s">
        <v>37</v>
      </c>
      <c r="T3" s="39" t="s">
        <v>38</v>
      </c>
      <c r="U3" s="39" t="s">
        <v>39</v>
      </c>
      <c r="V3" s="39" t="s">
        <v>40</v>
      </c>
      <c r="W3" s="39" t="s">
        <v>41</v>
      </c>
      <c r="X3" s="39" t="s">
        <v>42</v>
      </c>
      <c r="Y3" s="39" t="s">
        <v>43</v>
      </c>
      <c r="Z3" s="39" t="s">
        <v>44</v>
      </c>
      <c r="AA3" s="39"/>
      <c r="AB3" s="39" t="s">
        <v>33</v>
      </c>
      <c r="AC3" s="39" t="s">
        <v>34</v>
      </c>
      <c r="AD3" s="39" t="s">
        <v>35</v>
      </c>
      <c r="AE3" s="39" t="s">
        <v>36</v>
      </c>
      <c r="AF3" s="39" t="s">
        <v>37</v>
      </c>
      <c r="AG3" s="39" t="s">
        <v>38</v>
      </c>
      <c r="AH3" s="39" t="s">
        <v>39</v>
      </c>
      <c r="AI3" s="39" t="s">
        <v>40</v>
      </c>
      <c r="AJ3" s="39" t="s">
        <v>41</v>
      </c>
      <c r="AK3" s="39" t="s">
        <v>42</v>
      </c>
      <c r="AL3" s="39" t="s">
        <v>43</v>
      </c>
      <c r="AM3" s="39" t="s">
        <v>44</v>
      </c>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row>
    <row r="4" spans="1:131">
      <c r="A4" s="9" t="s">
        <v>340</v>
      </c>
      <c r="B4" s="9"/>
      <c r="C4" s="42">
        <v>72.337106520484056</v>
      </c>
      <c r="D4" s="42">
        <v>5</v>
      </c>
      <c r="E4" s="42">
        <v>1</v>
      </c>
      <c r="F4" s="42">
        <v>6</v>
      </c>
      <c r="G4" s="42">
        <v>7.2144229231415418</v>
      </c>
      <c r="H4" s="42">
        <v>349.88333304785158</v>
      </c>
      <c r="I4" s="42">
        <v>726.59804252906247</v>
      </c>
      <c r="J4" s="42">
        <v>-6.6124047981462422</v>
      </c>
      <c r="K4" s="42">
        <v>-310.57246291587876</v>
      </c>
      <c r="L4" s="40">
        <v>48.497757447174145</v>
      </c>
      <c r="M4" s="42">
        <v>0.95790823610667863</v>
      </c>
      <c r="N4" s="42">
        <v>1.3998939688222571E-2</v>
      </c>
      <c r="O4" s="42">
        <v>4.7829249691422415</v>
      </c>
      <c r="P4" s="42">
        <v>4.2846961854147585</v>
      </c>
      <c r="Q4" s="42">
        <v>4.929037203096482</v>
      </c>
      <c r="R4" s="42">
        <v>4.2747278980773142</v>
      </c>
      <c r="S4" s="42">
        <v>4.0773420306890085</v>
      </c>
      <c r="T4" s="42">
        <v>3.9753295537210374</v>
      </c>
      <c r="U4" s="42">
        <v>3.3644576412576668</v>
      </c>
      <c r="V4" s="42">
        <v>3.5185226922701758</v>
      </c>
      <c r="W4" s="42">
        <v>3.3008874021680494</v>
      </c>
      <c r="X4" s="42">
        <v>3.9852251644679768</v>
      </c>
      <c r="Y4" s="42">
        <v>4.0847001453990259</v>
      </c>
      <c r="Z4" s="42">
        <v>4.7491927097235704</v>
      </c>
      <c r="AA4" s="42"/>
      <c r="AB4" s="42">
        <v>2.3999917628544014</v>
      </c>
      <c r="AC4" s="42">
        <v>2.0102871895558829</v>
      </c>
      <c r="AD4" s="42">
        <v>1.9193312934989404</v>
      </c>
      <c r="AE4" s="42">
        <v>1.9965580498528037</v>
      </c>
      <c r="AF4" s="42">
        <v>1.9951536685972522</v>
      </c>
      <c r="AG4" s="42">
        <v>1.6542074667191453</v>
      </c>
      <c r="AH4" s="42">
        <v>1.7986886499233703</v>
      </c>
      <c r="AI4" s="42">
        <v>1.4121629650345993</v>
      </c>
      <c r="AJ4" s="42">
        <v>1.7398411517686971</v>
      </c>
      <c r="AK4" s="42">
        <v>1.6232091819271706</v>
      </c>
      <c r="AL4" s="42">
        <v>2.1257516159279173</v>
      </c>
      <c r="AM4" s="36">
        <v>2.3348799293965716</v>
      </c>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row>
    <row r="5" spans="1:131">
      <c r="A5" s="9" t="s">
        <v>341</v>
      </c>
      <c r="B5" s="9"/>
      <c r="C5" s="42">
        <v>107.50499261958046</v>
      </c>
      <c r="D5" s="42">
        <v>5</v>
      </c>
      <c r="E5" s="42">
        <v>1</v>
      </c>
      <c r="F5" s="42">
        <v>6</v>
      </c>
      <c r="G5" s="42">
        <v>7.2144229231415418</v>
      </c>
      <c r="H5" s="42">
        <v>338.29900385309804</v>
      </c>
      <c r="I5" s="42">
        <v>488.90752623917638</v>
      </c>
      <c r="J5" s="42">
        <v>-8.0436361364586215</v>
      </c>
      <c r="K5" s="42">
        <v>-188.61824926443111</v>
      </c>
      <c r="L5" s="40">
        <v>46.892039385152202</v>
      </c>
      <c r="M5" s="42">
        <v>1.0831993374805036</v>
      </c>
      <c r="N5" s="42">
        <v>2.0804756787419384E-2</v>
      </c>
      <c r="O5" s="42">
        <v>7.1082234034622127</v>
      </c>
      <c r="P5" s="42">
        <v>6.3677724192592686</v>
      </c>
      <c r="Q5" s="42">
        <v>7.3253705273720282</v>
      </c>
      <c r="R5" s="42">
        <v>6.3529578834257361</v>
      </c>
      <c r="S5" s="42">
        <v>6.059609597359298</v>
      </c>
      <c r="T5" s="42">
        <v>5.9080020599408467</v>
      </c>
      <c r="U5" s="42">
        <v>5.0001446185834562</v>
      </c>
      <c r="V5" s="42">
        <v>5.2291109536876244</v>
      </c>
      <c r="W5" s="42">
        <v>4.9056686516435972</v>
      </c>
      <c r="X5" s="42">
        <v>5.9227085862519964</v>
      </c>
      <c r="Y5" s="42">
        <v>6.0705449817787791</v>
      </c>
      <c r="Z5" s="42">
        <v>7.0580916457201592</v>
      </c>
      <c r="AA5" s="42"/>
      <c r="AB5" s="42">
        <v>3.5667876303519837</v>
      </c>
      <c r="AC5" s="42">
        <v>2.9876217044324793</v>
      </c>
      <c r="AD5" s="42">
        <v>2.8524460884221812</v>
      </c>
      <c r="AE5" s="42">
        <v>2.9672179153752709</v>
      </c>
      <c r="AF5" s="42">
        <v>2.9651307708408075</v>
      </c>
      <c r="AG5" s="42">
        <v>2.4584279086493188</v>
      </c>
      <c r="AH5" s="42">
        <v>2.6731510193897248</v>
      </c>
      <c r="AI5" s="42">
        <v>2.0987094512924616</v>
      </c>
      <c r="AJ5" s="42">
        <v>2.585693832351045</v>
      </c>
      <c r="AK5" s="42">
        <v>2.4123592927193021</v>
      </c>
      <c r="AL5" s="42">
        <v>3.159221079940187</v>
      </c>
      <c r="AM5" s="36">
        <v>3.4700205973307061</v>
      </c>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row>
    <row r="6" spans="1:131">
      <c r="A6" s="9" t="s">
        <v>290</v>
      </c>
      <c r="B6" s="9"/>
      <c r="C6" s="42">
        <v>68.226290676354807</v>
      </c>
      <c r="D6" s="42">
        <v>5</v>
      </c>
      <c r="E6" s="42">
        <v>1</v>
      </c>
      <c r="F6" s="42">
        <v>6</v>
      </c>
      <c r="G6" s="42">
        <v>7.2144229231415418</v>
      </c>
      <c r="H6" s="42">
        <v>331.34128830134853</v>
      </c>
      <c r="I6" s="42">
        <v>770.377511058442</v>
      </c>
      <c r="J6" s="42">
        <v>-7.3386448499295165</v>
      </c>
      <c r="K6" s="42">
        <v>-311.43735778033295</v>
      </c>
      <c r="L6" s="40">
        <v>45.92762190840137</v>
      </c>
      <c r="M6" s="42">
        <v>0.64815453637110443</v>
      </c>
      <c r="N6" s="42">
        <v>1.4392877014777969E-2</v>
      </c>
      <c r="O6" s="42">
        <v>5.3025653460883069</v>
      </c>
      <c r="P6" s="42">
        <v>4.7790092216692379</v>
      </c>
      <c r="Q6" s="42">
        <v>5.3487933676960218</v>
      </c>
      <c r="R6" s="42">
        <v>4.1971694600742273</v>
      </c>
      <c r="S6" s="42">
        <v>3.4866412192534346</v>
      </c>
      <c r="T6" s="42">
        <v>2.9488936388702194</v>
      </c>
      <c r="U6" s="42">
        <v>2.5180740990031514</v>
      </c>
      <c r="V6" s="42">
        <v>2.5686240281475903</v>
      </c>
      <c r="W6" s="42">
        <v>2.5506848686052739</v>
      </c>
      <c r="X6" s="42">
        <v>3.4216040784643398</v>
      </c>
      <c r="Y6" s="42">
        <v>3.7862089978236639</v>
      </c>
      <c r="Z6" s="42">
        <v>5.1620810007949736</v>
      </c>
      <c r="AA6" s="42"/>
      <c r="AB6" s="42">
        <v>2.7881414344288595</v>
      </c>
      <c r="AC6" s="42">
        <v>2.3481157830682133</v>
      </c>
      <c r="AD6" s="42">
        <v>2.15195996469948</v>
      </c>
      <c r="AE6" s="42">
        <v>2.0044549831592144</v>
      </c>
      <c r="AF6" s="42">
        <v>1.7029336551664787</v>
      </c>
      <c r="AG6" s="42">
        <v>1.2854212891633343</v>
      </c>
      <c r="AH6" s="42">
        <v>1.350069723162018</v>
      </c>
      <c r="AI6" s="42">
        <v>1.1176460546297713</v>
      </c>
      <c r="AJ6" s="42">
        <v>1.340426492104642</v>
      </c>
      <c r="AK6" s="42">
        <v>1.4130541826880811</v>
      </c>
      <c r="AL6" s="42">
        <v>1.968117307166757</v>
      </c>
      <c r="AM6" s="36">
        <v>2.68560048042752</v>
      </c>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row>
    <row r="7" spans="1:131">
      <c r="A7" s="9" t="s">
        <v>342</v>
      </c>
      <c r="B7" s="9"/>
      <c r="C7" s="42">
        <v>87.60005099091866</v>
      </c>
      <c r="D7" s="42">
        <v>5</v>
      </c>
      <c r="E7" s="42">
        <v>1</v>
      </c>
      <c r="F7" s="42">
        <v>6</v>
      </c>
      <c r="G7" s="42">
        <v>7.2144229231415418</v>
      </c>
      <c r="H7" s="42">
        <v>260.80973431294518</v>
      </c>
      <c r="I7" s="42">
        <v>599.99965074733575</v>
      </c>
      <c r="J7" s="42">
        <v>-7.3747052404448032</v>
      </c>
      <c r="K7" s="42">
        <v>-175.02096174204908</v>
      </c>
      <c r="L7" s="40">
        <v>36.151156799575979</v>
      </c>
      <c r="M7" s="42">
        <v>0.85481394694357238</v>
      </c>
      <c r="N7" s="42">
        <v>1.6952680159522726E-2</v>
      </c>
      <c r="O7" s="42">
        <v>5.7921099050865745</v>
      </c>
      <c r="P7" s="42">
        <v>5.1887561222350067</v>
      </c>
      <c r="Q7" s="42">
        <v>5.9690514467165832</v>
      </c>
      <c r="R7" s="42">
        <v>5.176684551763703</v>
      </c>
      <c r="S7" s="42">
        <v>4.9376507711796549</v>
      </c>
      <c r="T7" s="42">
        <v>4.8141139224729175</v>
      </c>
      <c r="U7" s="42">
        <v>4.0743495988120326</v>
      </c>
      <c r="V7" s="42">
        <v>4.2609219815599175</v>
      </c>
      <c r="W7" s="42">
        <v>3.9973662018582381</v>
      </c>
      <c r="X7" s="42">
        <v>4.8260974817789943</v>
      </c>
      <c r="Y7" s="42">
        <v>4.9465614292747784</v>
      </c>
      <c r="Z7" s="42">
        <v>5.7512602252023273</v>
      </c>
      <c r="AA7" s="42"/>
      <c r="AB7" s="42">
        <v>2.9063838867303295</v>
      </c>
      <c r="AC7" s="42">
        <v>2.434452645152712</v>
      </c>
      <c r="AD7" s="42">
        <v>2.3243052876515296</v>
      </c>
      <c r="AE7" s="42">
        <v>2.4178266920851721</v>
      </c>
      <c r="AF7" s="42">
        <v>2.4161259899764671</v>
      </c>
      <c r="AG7" s="42">
        <v>2.0032410114872508</v>
      </c>
      <c r="AH7" s="42">
        <v>2.1782073548304748</v>
      </c>
      <c r="AI7" s="42">
        <v>1.710125738986912</v>
      </c>
      <c r="AJ7" s="42">
        <v>2.1069431850702762</v>
      </c>
      <c r="AK7" s="42">
        <v>1.9657021678836704</v>
      </c>
      <c r="AL7" s="42">
        <v>2.5742797701838072</v>
      </c>
      <c r="AM7" s="36">
        <v>2.8275336229393262</v>
      </c>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row>
    <row r="8" spans="1:131">
      <c r="A8" s="9" t="s">
        <v>343</v>
      </c>
      <c r="B8" s="9"/>
      <c r="C8" s="42">
        <v>87.60005099091866</v>
      </c>
      <c r="D8" s="42">
        <v>5</v>
      </c>
      <c r="E8" s="42">
        <v>1</v>
      </c>
      <c r="F8" s="42">
        <v>6</v>
      </c>
      <c r="G8" s="42">
        <v>7.2144229231415418</v>
      </c>
      <c r="H8" s="42">
        <v>260.80973431294518</v>
      </c>
      <c r="I8" s="42">
        <v>599.99965074733575</v>
      </c>
      <c r="J8" s="42">
        <v>-7.3747052404448032</v>
      </c>
      <c r="K8" s="42">
        <v>-175.02096174204908</v>
      </c>
      <c r="L8" s="40">
        <v>36.151156799575979</v>
      </c>
      <c r="M8" s="42">
        <v>0.85481394694357238</v>
      </c>
      <c r="N8" s="42">
        <v>1.6952680159522726E-2</v>
      </c>
      <c r="O8" s="42">
        <v>5.7921099050865745</v>
      </c>
      <c r="P8" s="42">
        <v>5.1887561222350067</v>
      </c>
      <c r="Q8" s="42">
        <v>5.9690514467165832</v>
      </c>
      <c r="R8" s="42">
        <v>5.176684551763703</v>
      </c>
      <c r="S8" s="42">
        <v>4.9376507711796549</v>
      </c>
      <c r="T8" s="42">
        <v>4.8141139224729175</v>
      </c>
      <c r="U8" s="42">
        <v>4.0743495988120326</v>
      </c>
      <c r="V8" s="42">
        <v>4.2609219815599175</v>
      </c>
      <c r="W8" s="42">
        <v>3.9973662018582381</v>
      </c>
      <c r="X8" s="42">
        <v>4.8260974817789943</v>
      </c>
      <c r="Y8" s="42">
        <v>4.9465614292747784</v>
      </c>
      <c r="Z8" s="42">
        <v>5.7512602252023273</v>
      </c>
      <c r="AA8" s="42"/>
      <c r="AB8" s="42">
        <v>2.9063838867303295</v>
      </c>
      <c r="AC8" s="42">
        <v>2.434452645152712</v>
      </c>
      <c r="AD8" s="42">
        <v>2.3243052876515296</v>
      </c>
      <c r="AE8" s="42">
        <v>2.4178266920851721</v>
      </c>
      <c r="AF8" s="42">
        <v>2.4161259899764671</v>
      </c>
      <c r="AG8" s="42">
        <v>2.0032410114872508</v>
      </c>
      <c r="AH8" s="42">
        <v>2.1782073548304748</v>
      </c>
      <c r="AI8" s="42">
        <v>1.710125738986912</v>
      </c>
      <c r="AJ8" s="42">
        <v>2.1069431850702762</v>
      </c>
      <c r="AK8" s="42">
        <v>1.9657021678836704</v>
      </c>
      <c r="AL8" s="42">
        <v>2.5742797701838072</v>
      </c>
      <c r="AM8" s="36">
        <v>2.8275336229393262</v>
      </c>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row>
    <row r="9" spans="1:131">
      <c r="A9" s="9"/>
      <c r="B9" s="9"/>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7"/>
  <dimension ref="A1:EA96"/>
  <sheetViews>
    <sheetView workbookViewId="0">
      <selection activeCell="A15" sqref="A15:EA96"/>
    </sheetView>
  </sheetViews>
  <sheetFormatPr defaultRowHeight="12.75"/>
  <cols>
    <col min="1" max="1" width="71.42578125" bestFit="1" customWidth="1"/>
    <col min="2" max="2" width="18.7109375" customWidth="1"/>
    <col min="3" max="3" width="18" customWidth="1"/>
    <col min="15" max="15" width="11.140625" customWidth="1"/>
  </cols>
  <sheetData>
    <row r="1" spans="1:131">
      <c r="A1" s="1" t="s">
        <v>0</v>
      </c>
      <c r="B1" s="2"/>
      <c r="C1" s="2"/>
      <c r="D1" s="2"/>
      <c r="E1" s="2"/>
      <c r="F1" s="2"/>
      <c r="G1" s="2"/>
      <c r="H1" s="3"/>
      <c r="I1" s="4"/>
      <c r="J1" s="4"/>
      <c r="K1" s="4"/>
      <c r="L1" s="4"/>
      <c r="M1" s="4"/>
      <c r="N1" s="5"/>
      <c r="O1" s="6"/>
      <c r="P1" s="5"/>
    </row>
    <row r="2" spans="1:131">
      <c r="A2" s="10" t="s">
        <v>1</v>
      </c>
      <c r="B2" s="3"/>
      <c r="C2" s="3"/>
      <c r="D2" s="3"/>
      <c r="E2" s="3"/>
      <c r="F2" s="3"/>
      <c r="G2" s="3"/>
      <c r="H2" s="3"/>
      <c r="I2" s="4"/>
      <c r="J2" s="4"/>
      <c r="K2" s="4"/>
      <c r="L2" s="4"/>
      <c r="M2" s="4"/>
      <c r="N2" s="5"/>
      <c r="O2" s="5"/>
      <c r="P2" s="5"/>
    </row>
    <row r="3" spans="1:131">
      <c r="A3" s="10" t="s">
        <v>2</v>
      </c>
      <c r="B3" s="9">
        <v>2012</v>
      </c>
      <c r="C3" s="10"/>
      <c r="D3" s="9"/>
      <c r="E3" s="9"/>
      <c r="F3" s="9"/>
      <c r="G3" s="9"/>
      <c r="H3" s="9"/>
      <c r="I3" s="9"/>
      <c r="J3" s="11"/>
      <c r="K3" s="12"/>
      <c r="L3" s="9"/>
      <c r="M3" s="9"/>
      <c r="N3" s="9"/>
      <c r="O3" s="9"/>
      <c r="P3" s="9"/>
    </row>
    <row r="4" spans="1:131">
      <c r="A4" s="9"/>
      <c r="B4" s="9"/>
      <c r="C4" s="9"/>
      <c r="D4" s="9"/>
      <c r="E4" s="9"/>
      <c r="F4" s="9"/>
      <c r="G4" s="9"/>
      <c r="H4" s="9"/>
      <c r="I4" s="9"/>
      <c r="J4" s="9"/>
      <c r="K4" s="9"/>
      <c r="L4" s="9"/>
      <c r="M4" s="9"/>
      <c r="N4" s="9"/>
      <c r="O4" s="9"/>
      <c r="P4" s="9"/>
    </row>
    <row r="5" spans="1:131">
      <c r="A5" s="13">
        <v>1</v>
      </c>
      <c r="B5" s="13">
        <v>2</v>
      </c>
      <c r="C5" s="13">
        <v>3</v>
      </c>
      <c r="D5" s="13">
        <v>4</v>
      </c>
      <c r="E5" s="13">
        <v>5</v>
      </c>
      <c r="F5" s="13">
        <v>6</v>
      </c>
      <c r="G5" s="13">
        <v>7</v>
      </c>
      <c r="H5" s="13">
        <v>8</v>
      </c>
      <c r="I5" s="13">
        <v>9</v>
      </c>
      <c r="J5" s="13">
        <v>10</v>
      </c>
      <c r="K5" s="13">
        <v>11</v>
      </c>
      <c r="L5" s="13">
        <v>12</v>
      </c>
      <c r="M5" s="13">
        <v>13</v>
      </c>
      <c r="N5" s="13">
        <v>14</v>
      </c>
      <c r="O5" s="13">
        <v>15</v>
      </c>
      <c r="P5" s="13">
        <v>16</v>
      </c>
    </row>
    <row r="6" spans="1:131">
      <c r="A6" s="14" t="s">
        <v>3</v>
      </c>
      <c r="B6" s="15"/>
      <c r="C6" s="15"/>
      <c r="D6" s="15"/>
      <c r="E6" s="15"/>
      <c r="F6" s="15"/>
      <c r="G6" s="16"/>
      <c r="H6" s="17"/>
      <c r="I6" s="242" t="s">
        <v>4</v>
      </c>
      <c r="J6" s="243"/>
      <c r="K6" s="243"/>
      <c r="L6" s="243"/>
      <c r="M6" s="243"/>
      <c r="N6" s="244"/>
      <c r="O6" s="245" t="s">
        <v>5</v>
      </c>
      <c r="P6" s="246"/>
      <c r="Q6" s="179" t="s">
        <v>270</v>
      </c>
      <c r="R6" s="247" t="s">
        <v>271</v>
      </c>
      <c r="S6" s="247"/>
      <c r="T6" s="247"/>
    </row>
    <row r="7" spans="1:131" ht="38.25">
      <c r="A7" s="23" t="s">
        <v>6</v>
      </c>
      <c r="B7" s="23" t="s">
        <v>7</v>
      </c>
      <c r="C7" s="23" t="s">
        <v>8</v>
      </c>
      <c r="D7" s="23" t="s">
        <v>9</v>
      </c>
      <c r="E7" s="23" t="s">
        <v>10</v>
      </c>
      <c r="F7" s="23" t="s">
        <v>11</v>
      </c>
      <c r="G7" s="23" t="s">
        <v>12</v>
      </c>
      <c r="H7" s="23" t="s">
        <v>13</v>
      </c>
      <c r="I7" s="23" t="s">
        <v>14</v>
      </c>
      <c r="J7" s="23" t="s">
        <v>15</v>
      </c>
      <c r="K7" s="23" t="s">
        <v>16</v>
      </c>
      <c r="L7" s="23" t="s">
        <v>17</v>
      </c>
      <c r="M7" s="23" t="s">
        <v>18</v>
      </c>
      <c r="N7" s="23" t="s">
        <v>19</v>
      </c>
      <c r="O7" s="24" t="s">
        <v>20</v>
      </c>
      <c r="P7" s="23" t="s">
        <v>12</v>
      </c>
      <c r="Q7" s="180" t="s">
        <v>272</v>
      </c>
      <c r="R7" s="181" t="s">
        <v>273</v>
      </c>
      <c r="S7" s="181" t="s">
        <v>274</v>
      </c>
      <c r="T7" s="181" t="s">
        <v>275</v>
      </c>
    </row>
    <row r="8" spans="1:131">
      <c r="A8" t="str">
        <f>Raw!B8</f>
        <v>Single Family Bathroom Aerator 1.0 GPM AnyWH</v>
      </c>
      <c r="B8" t="str">
        <f>Raw!C8</f>
        <v>Aerator 2.48 to 1.0 GPM</v>
      </c>
      <c r="C8">
        <f>Raw!D8</f>
        <v>67.296825260416369</v>
      </c>
      <c r="D8">
        <f>Raw!E8</f>
        <v>15</v>
      </c>
      <c r="E8">
        <f>Raw!F8</f>
        <v>5</v>
      </c>
      <c r="F8">
        <f>Raw!G8</f>
        <v>0</v>
      </c>
      <c r="G8" t="s">
        <v>279</v>
      </c>
      <c r="H8" s="49">
        <f>Raw!I8</f>
        <v>20.9618918971392</v>
      </c>
      <c r="I8">
        <f>Raw!J8</f>
        <v>0</v>
      </c>
      <c r="J8">
        <f>Raw!K8</f>
        <v>0</v>
      </c>
      <c r="K8">
        <f>Raw!L8</f>
        <v>0</v>
      </c>
      <c r="L8">
        <f>Raw!M8</f>
        <v>0</v>
      </c>
      <c r="M8">
        <f>Raw!N8</f>
        <v>0</v>
      </c>
      <c r="N8">
        <f>Raw!O8</f>
        <v>0</v>
      </c>
      <c r="O8" s="48">
        <f>Raw!P8</f>
        <v>2.2907614903920233</v>
      </c>
      <c r="P8" t="s">
        <v>279</v>
      </c>
      <c r="Q8" t="s">
        <v>276</v>
      </c>
    </row>
    <row r="9" spans="1:131">
      <c r="A9" t="str">
        <f>Raw!B9</f>
        <v>Multifamily - Low Rise Bathroom Aerator 1.0 GPM AnyWH</v>
      </c>
      <c r="B9" t="str">
        <f>Raw!C9</f>
        <v>Aerator 2.48 to 1.0 GPM</v>
      </c>
      <c r="C9">
        <f>Raw!D9</f>
        <v>81.496283275721595</v>
      </c>
      <c r="D9">
        <f>Raw!E9</f>
        <v>15</v>
      </c>
      <c r="E9">
        <f>Raw!F9</f>
        <v>5</v>
      </c>
      <c r="F9">
        <f>Raw!G9</f>
        <v>0</v>
      </c>
      <c r="G9" t="s">
        <v>279</v>
      </c>
      <c r="H9" s="49">
        <f>Raw!I9</f>
        <v>14.796629574451199</v>
      </c>
      <c r="I9">
        <f>Raw!J9</f>
        <v>0</v>
      </c>
      <c r="J9">
        <f>Raw!K9</f>
        <v>0</v>
      </c>
      <c r="K9">
        <f>Raw!L9</f>
        <v>0</v>
      </c>
      <c r="L9">
        <f>Raw!M9</f>
        <v>0</v>
      </c>
      <c r="M9">
        <f>Raw!N9</f>
        <v>0</v>
      </c>
      <c r="N9">
        <f>Raw!O9</f>
        <v>0</v>
      </c>
      <c r="O9" s="48">
        <f>Raw!P9</f>
        <v>0.191297834544292</v>
      </c>
      <c r="P9" t="s">
        <v>279</v>
      </c>
      <c r="Q9" t="s">
        <v>276</v>
      </c>
    </row>
    <row r="10" spans="1:131">
      <c r="A10" t="str">
        <f>Raw!B10</f>
        <v>Multifamily - High Rise Bathroom Aerator 1.0 GPM AnyWH</v>
      </c>
      <c r="B10" t="str">
        <f>Raw!C10</f>
        <v>Aerator 2.48 to 1.0 GPM</v>
      </c>
      <c r="C10">
        <f>Raw!D10</f>
        <v>81.496283275721595</v>
      </c>
      <c r="D10">
        <f>Raw!E10</f>
        <v>15</v>
      </c>
      <c r="E10">
        <f>Raw!F10</f>
        <v>5</v>
      </c>
      <c r="F10">
        <f>Raw!G10</f>
        <v>0</v>
      </c>
      <c r="G10" t="s">
        <v>279</v>
      </c>
      <c r="H10" s="49">
        <f>Raw!I10</f>
        <v>14.796629574451199</v>
      </c>
      <c r="I10">
        <f>Raw!J10</f>
        <v>0</v>
      </c>
      <c r="J10">
        <f>Raw!K10</f>
        <v>0</v>
      </c>
      <c r="K10">
        <f>Raw!L10</f>
        <v>0</v>
      </c>
      <c r="L10">
        <f>Raw!M10</f>
        <v>0</v>
      </c>
      <c r="M10">
        <f>Raw!N10</f>
        <v>0</v>
      </c>
      <c r="N10">
        <f>Raw!O10</f>
        <v>0</v>
      </c>
      <c r="O10" s="48">
        <f>Raw!P10</f>
        <v>0.191297834544292</v>
      </c>
      <c r="P10" t="s">
        <v>279</v>
      </c>
      <c r="Q10" t="s">
        <v>276</v>
      </c>
    </row>
    <row r="11" spans="1:131">
      <c r="A11" t="str">
        <f>Raw!B11</f>
        <v>Manufactured Bathroom Aerator 1.0 GPM AnyWH</v>
      </c>
      <c r="B11" t="str">
        <f>Raw!C11</f>
        <v>Aerator 2.48 to 1.0 GPM</v>
      </c>
      <c r="C11">
        <f>Raw!D11</f>
        <v>100.01429488880039</v>
      </c>
      <c r="D11">
        <f>Raw!E11</f>
        <v>15</v>
      </c>
      <c r="E11">
        <f>Raw!F11</f>
        <v>5</v>
      </c>
      <c r="F11">
        <f>Raw!G11</f>
        <v>0</v>
      </c>
      <c r="G11" t="s">
        <v>279</v>
      </c>
      <c r="H11" s="49">
        <f>Raw!I11</f>
        <v>19.343510537433602</v>
      </c>
      <c r="I11">
        <f>Raw!J11</f>
        <v>0</v>
      </c>
      <c r="J11">
        <f>Raw!K11</f>
        <v>0</v>
      </c>
      <c r="K11">
        <f>Raw!L11</f>
        <v>0</v>
      </c>
      <c r="L11">
        <f>Raw!M11</f>
        <v>0</v>
      </c>
      <c r="M11">
        <f>Raw!N11</f>
        <v>0</v>
      </c>
      <c r="N11">
        <f>Raw!O11</f>
        <v>0</v>
      </c>
      <c r="O11" s="48">
        <f>Raw!P11</f>
        <v>0.52375677753916228</v>
      </c>
      <c r="P11" t="s">
        <v>279</v>
      </c>
      <c r="Q11" t="s">
        <v>276</v>
      </c>
    </row>
    <row r="12" spans="1:131">
      <c r="A12" t="str">
        <f>Raw!B12</f>
        <v>Single Family Bathroom Aerator 1.0 GPM HPWH</v>
      </c>
      <c r="B12" t="str">
        <f>Raw!C12</f>
        <v>Aerator 2.48 to 1.0 GPM</v>
      </c>
      <c r="C12">
        <f>Raw!D12</f>
        <v>63.424705497648468</v>
      </c>
      <c r="D12">
        <f>Raw!E12</f>
        <v>15</v>
      </c>
      <c r="E12">
        <f>Raw!F12</f>
        <v>5</v>
      </c>
      <c r="F12">
        <f>Raw!G12</f>
        <v>0</v>
      </c>
      <c r="G12" t="s">
        <v>336</v>
      </c>
      <c r="H12" s="49">
        <f>Raw!I12</f>
        <v>20.9618918971392</v>
      </c>
      <c r="I12">
        <f>Raw!J12</f>
        <v>0</v>
      </c>
      <c r="J12">
        <f>Raw!K12</f>
        <v>0</v>
      </c>
      <c r="K12">
        <f>Raw!L12</f>
        <v>0</v>
      </c>
      <c r="L12">
        <f>Raw!M12</f>
        <v>0</v>
      </c>
      <c r="M12">
        <f>Raw!N12</f>
        <v>0</v>
      </c>
      <c r="N12">
        <f>Raw!O12</f>
        <v>0</v>
      </c>
      <c r="O12" s="48"/>
      <c r="Q12" t="s">
        <v>276</v>
      </c>
    </row>
    <row r="15" spans="1:13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row>
    <row r="16" spans="1:131">
      <c r="A16" s="204" t="s">
        <v>360</v>
      </c>
      <c r="B16" s="205"/>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row>
    <row r="17" spans="1:131">
      <c r="A17" s="9" t="s">
        <v>361</v>
      </c>
      <c r="B17" s="9" t="s">
        <v>362</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row>
    <row r="18" spans="1:131">
      <c r="A18" s="9" t="s">
        <v>363</v>
      </c>
      <c r="B18" s="9" t="s">
        <v>593</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row>
    <row r="19" spans="1:13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row>
    <row r="20" spans="1:131" ht="13.5" thickBot="1">
      <c r="A20" s="34" t="s">
        <v>364</v>
      </c>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35"/>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row>
    <row r="21" spans="1:131">
      <c r="A21" s="9"/>
      <c r="B21" s="207" t="s">
        <v>365</v>
      </c>
      <c r="C21" s="208"/>
      <c r="D21" s="208" t="s">
        <v>365</v>
      </c>
      <c r="E21" s="209"/>
      <c r="F21" s="9"/>
      <c r="G21" s="207" t="s">
        <v>366</v>
      </c>
      <c r="H21" s="208"/>
      <c r="I21" s="208"/>
      <c r="J21" s="208"/>
      <c r="K21" s="208"/>
      <c r="L21" s="208"/>
      <c r="M21" s="208"/>
      <c r="N21" s="208"/>
      <c r="O21" s="209"/>
      <c r="P21" s="9"/>
      <c r="Q21" s="207" t="s">
        <v>367</v>
      </c>
      <c r="R21" s="208"/>
      <c r="S21" s="208"/>
      <c r="T21" s="208"/>
      <c r="U21" s="209"/>
      <c r="V21" s="9"/>
      <c r="W21" s="207" t="s">
        <v>368</v>
      </c>
      <c r="X21" s="209"/>
      <c r="Y21" s="9"/>
      <c r="Z21" s="207" t="s">
        <v>369</v>
      </c>
      <c r="AA21" s="208"/>
      <c r="AB21" s="20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row>
    <row r="22" spans="1:131">
      <c r="A22" s="9"/>
      <c r="B22" s="210" t="s">
        <v>370</v>
      </c>
      <c r="C22" s="211" t="s">
        <v>371</v>
      </c>
      <c r="D22" s="211" t="s">
        <v>370</v>
      </c>
      <c r="E22" s="212" t="s">
        <v>371</v>
      </c>
      <c r="F22" s="9"/>
      <c r="G22" s="210" t="s">
        <v>372</v>
      </c>
      <c r="H22" s="211" t="s">
        <v>373</v>
      </c>
      <c r="I22" s="211"/>
      <c r="J22" s="211"/>
      <c r="K22" s="211" t="s">
        <v>374</v>
      </c>
      <c r="L22" s="211"/>
      <c r="M22" s="211"/>
      <c r="N22" s="211"/>
      <c r="O22" s="212"/>
      <c r="P22" s="9"/>
      <c r="Q22" s="210"/>
      <c r="R22" s="211" t="s">
        <v>375</v>
      </c>
      <c r="S22" s="211" t="s">
        <v>376</v>
      </c>
      <c r="T22" s="211" t="s">
        <v>377</v>
      </c>
      <c r="U22" s="212" t="s">
        <v>378</v>
      </c>
      <c r="V22" s="9"/>
      <c r="W22" s="210" t="s">
        <v>379</v>
      </c>
      <c r="X22" s="212">
        <v>20</v>
      </c>
      <c r="Y22" s="9"/>
      <c r="Z22" s="210"/>
      <c r="AA22" s="211" t="s">
        <v>371</v>
      </c>
      <c r="AB22" s="212" t="s">
        <v>380</v>
      </c>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row>
    <row r="23" spans="1:131">
      <c r="A23" s="9"/>
      <c r="B23" s="210" t="s">
        <v>381</v>
      </c>
      <c r="C23" s="211" t="s">
        <v>382</v>
      </c>
      <c r="D23" s="211" t="s">
        <v>381</v>
      </c>
      <c r="E23" s="212" t="s">
        <v>382</v>
      </c>
      <c r="F23" s="9"/>
      <c r="G23" s="210" t="s">
        <v>383</v>
      </c>
      <c r="H23" s="211" t="s">
        <v>384</v>
      </c>
      <c r="I23" s="211"/>
      <c r="J23" s="211"/>
      <c r="K23" s="211" t="s">
        <v>385</v>
      </c>
      <c r="L23" s="211"/>
      <c r="M23" s="211"/>
      <c r="N23" s="211"/>
      <c r="O23" s="212"/>
      <c r="P23" s="9"/>
      <c r="Q23" s="210" t="s">
        <v>386</v>
      </c>
      <c r="R23" s="211">
        <v>4.3096045197740109E-2</v>
      </c>
      <c r="S23" s="211">
        <v>4.387844424080023E-2</v>
      </c>
      <c r="T23" s="211">
        <v>5.3289007766645871E-2</v>
      </c>
      <c r="U23" s="212">
        <v>5.447903102274565E-2</v>
      </c>
      <c r="V23" s="9"/>
      <c r="W23" s="210" t="s">
        <v>387</v>
      </c>
      <c r="X23" s="212">
        <v>2016</v>
      </c>
      <c r="Y23" s="9"/>
      <c r="Z23" s="210" t="s">
        <v>388</v>
      </c>
      <c r="AA23" s="211">
        <v>4.03890184699085E-3</v>
      </c>
      <c r="AB23" s="212">
        <v>0.01</v>
      </c>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row>
    <row r="24" spans="1:131">
      <c r="A24" s="9"/>
      <c r="B24" s="210" t="s">
        <v>389</v>
      </c>
      <c r="C24" s="211" t="s">
        <v>390</v>
      </c>
      <c r="D24" s="211" t="s">
        <v>389</v>
      </c>
      <c r="E24" s="212" t="s">
        <v>390</v>
      </c>
      <c r="F24" s="9"/>
      <c r="G24" s="210" t="s">
        <v>391</v>
      </c>
      <c r="H24" s="211" t="s">
        <v>392</v>
      </c>
      <c r="I24" s="211"/>
      <c r="J24" s="211"/>
      <c r="K24" s="211" t="s">
        <v>393</v>
      </c>
      <c r="L24" s="211"/>
      <c r="M24" s="211"/>
      <c r="N24" s="211"/>
      <c r="O24" s="212"/>
      <c r="P24" s="9"/>
      <c r="Q24" s="210" t="s">
        <v>394</v>
      </c>
      <c r="R24" s="211">
        <v>12</v>
      </c>
      <c r="S24" s="211">
        <v>12</v>
      </c>
      <c r="T24" s="211">
        <v>1</v>
      </c>
      <c r="U24" s="212">
        <v>1</v>
      </c>
      <c r="V24" s="9"/>
      <c r="W24" s="210" t="s">
        <v>395</v>
      </c>
      <c r="X24" s="212">
        <v>2016</v>
      </c>
      <c r="Y24" s="9"/>
      <c r="Z24" s="210" t="s">
        <v>396</v>
      </c>
      <c r="AA24" s="211">
        <v>26</v>
      </c>
      <c r="AB24" s="212">
        <v>0</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row>
    <row r="25" spans="1:131" ht="13.5" thickBot="1">
      <c r="A25" s="9"/>
      <c r="B25" s="213" t="s">
        <v>397</v>
      </c>
      <c r="C25" s="214" t="s">
        <v>390</v>
      </c>
      <c r="D25" s="214" t="s">
        <v>397</v>
      </c>
      <c r="E25" s="215" t="s">
        <v>390</v>
      </c>
      <c r="F25" s="9"/>
      <c r="G25" s="210" t="s">
        <v>398</v>
      </c>
      <c r="H25" s="211" t="s">
        <v>399</v>
      </c>
      <c r="I25" s="211"/>
      <c r="J25" s="211"/>
      <c r="K25" s="211" t="s">
        <v>385</v>
      </c>
      <c r="L25" s="211"/>
      <c r="M25" s="211"/>
      <c r="N25" s="211"/>
      <c r="O25" s="212"/>
      <c r="P25" s="9"/>
      <c r="Q25" s="210"/>
      <c r="R25" s="211" t="s">
        <v>375</v>
      </c>
      <c r="S25" s="211" t="s">
        <v>376</v>
      </c>
      <c r="T25" s="211" t="s">
        <v>377</v>
      </c>
      <c r="U25" s="212" t="s">
        <v>378</v>
      </c>
      <c r="V25" s="9"/>
      <c r="W25" s="210" t="s">
        <v>400</v>
      </c>
      <c r="X25" s="212">
        <v>2012</v>
      </c>
      <c r="Y25" s="9"/>
      <c r="Z25" s="210" t="s">
        <v>401</v>
      </c>
      <c r="AA25" s="211">
        <v>0.9</v>
      </c>
      <c r="AB25" s="212" t="s">
        <v>402</v>
      </c>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row>
    <row r="26" spans="1:131">
      <c r="A26" s="9"/>
      <c r="B26" s="9"/>
      <c r="C26" s="9"/>
      <c r="D26" s="9"/>
      <c r="E26" s="9"/>
      <c r="F26" s="9"/>
      <c r="G26" s="210" t="s">
        <v>403</v>
      </c>
      <c r="H26" s="211" t="s">
        <v>392</v>
      </c>
      <c r="I26" s="211"/>
      <c r="J26" s="211"/>
      <c r="K26" s="211"/>
      <c r="L26" s="211"/>
      <c r="M26" s="211"/>
      <c r="N26" s="211"/>
      <c r="O26" s="212"/>
      <c r="P26" s="9"/>
      <c r="Q26" s="210" t="s">
        <v>404</v>
      </c>
      <c r="R26" s="211">
        <v>0.35</v>
      </c>
      <c r="S26" s="211">
        <v>0.19500000000000001</v>
      </c>
      <c r="T26" s="211">
        <v>0.45499999999999996</v>
      </c>
      <c r="U26" s="212">
        <v>0</v>
      </c>
      <c r="V26" s="9"/>
      <c r="W26" s="210" t="s">
        <v>405</v>
      </c>
      <c r="X26" s="212">
        <v>0.04</v>
      </c>
      <c r="Y26" s="9"/>
      <c r="Z26" s="210" t="s">
        <v>406</v>
      </c>
      <c r="AA26" s="211">
        <v>4.7399348199455904E-2</v>
      </c>
      <c r="AB26" s="212">
        <v>0</v>
      </c>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row>
    <row r="27" spans="1:131">
      <c r="A27" s="9"/>
      <c r="B27" s="9" t="s">
        <v>407</v>
      </c>
      <c r="C27" s="9" t="s">
        <v>371</v>
      </c>
      <c r="D27" s="9"/>
      <c r="E27" s="9"/>
      <c r="F27" s="9"/>
      <c r="G27" s="210" t="s">
        <v>408</v>
      </c>
      <c r="H27" s="211" t="s">
        <v>409</v>
      </c>
      <c r="I27" s="211"/>
      <c r="J27" s="211"/>
      <c r="K27" s="211" t="s">
        <v>410</v>
      </c>
      <c r="L27" s="211"/>
      <c r="M27" s="211"/>
      <c r="N27" s="211"/>
      <c r="O27" s="212"/>
      <c r="P27" s="9"/>
      <c r="Q27" s="210" t="s">
        <v>411</v>
      </c>
      <c r="R27" s="211">
        <v>1</v>
      </c>
      <c r="S27" s="211">
        <v>0</v>
      </c>
      <c r="T27" s="211">
        <v>0</v>
      </c>
      <c r="U27" s="212">
        <v>0</v>
      </c>
      <c r="V27" s="9"/>
      <c r="W27" s="210" t="s">
        <v>412</v>
      </c>
      <c r="X27" s="212">
        <v>0</v>
      </c>
      <c r="Y27" s="9"/>
      <c r="Z27" s="210" t="s">
        <v>413</v>
      </c>
      <c r="AA27" s="211">
        <v>31</v>
      </c>
      <c r="AB27" s="212">
        <v>0</v>
      </c>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row>
    <row r="28" spans="1:131">
      <c r="A28" s="9"/>
      <c r="B28" s="9" t="s">
        <v>414</v>
      </c>
      <c r="C28" s="9" t="s">
        <v>415</v>
      </c>
      <c r="D28" s="9"/>
      <c r="E28" s="9"/>
      <c r="F28" s="9"/>
      <c r="G28" s="210" t="s">
        <v>416</v>
      </c>
      <c r="H28" s="211" t="s">
        <v>410</v>
      </c>
      <c r="I28" s="211"/>
      <c r="J28" s="211"/>
      <c r="K28" s="211" t="s">
        <v>417</v>
      </c>
      <c r="L28" s="211"/>
      <c r="M28" s="211"/>
      <c r="N28" s="211"/>
      <c r="O28" s="212"/>
      <c r="P28" s="9"/>
      <c r="Q28" s="210" t="s">
        <v>418</v>
      </c>
      <c r="R28" s="211">
        <v>1</v>
      </c>
      <c r="S28" s="211">
        <v>0</v>
      </c>
      <c r="T28" s="211">
        <v>0</v>
      </c>
      <c r="U28" s="212">
        <v>0</v>
      </c>
      <c r="V28" s="9"/>
      <c r="W28" s="210" t="s">
        <v>419</v>
      </c>
      <c r="X28" s="212">
        <v>0.2</v>
      </c>
      <c r="Y28" s="9"/>
      <c r="Z28" s="210" t="s">
        <v>420</v>
      </c>
      <c r="AA28" s="211">
        <v>0.7</v>
      </c>
      <c r="AB28" s="212" t="s">
        <v>402</v>
      </c>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row>
    <row r="29" spans="1:131">
      <c r="A29" s="9"/>
      <c r="B29" s="9" t="s">
        <v>421</v>
      </c>
      <c r="C29" s="9" t="s">
        <v>422</v>
      </c>
      <c r="D29" s="9"/>
      <c r="E29" s="9"/>
      <c r="F29" s="9"/>
      <c r="G29" s="210" t="s">
        <v>423</v>
      </c>
      <c r="H29" s="211" t="s">
        <v>417</v>
      </c>
      <c r="I29" s="211"/>
      <c r="J29" s="211"/>
      <c r="K29" s="211" t="s">
        <v>424</v>
      </c>
      <c r="L29" s="211"/>
      <c r="M29" s="211"/>
      <c r="N29" s="211"/>
      <c r="O29" s="212"/>
      <c r="P29" s="9"/>
      <c r="Q29" s="210" t="s">
        <v>425</v>
      </c>
      <c r="R29" s="211"/>
      <c r="S29" s="211">
        <v>0.3</v>
      </c>
      <c r="T29" s="211">
        <v>0.7</v>
      </c>
      <c r="U29" s="212">
        <v>0</v>
      </c>
      <c r="V29" s="9"/>
      <c r="W29" s="210" t="s">
        <v>426</v>
      </c>
      <c r="X29" s="212">
        <v>0</v>
      </c>
      <c r="Y29" s="9"/>
      <c r="Z29" s="210" t="s">
        <v>427</v>
      </c>
      <c r="AA29" s="211">
        <v>0</v>
      </c>
      <c r="AB29" s="212">
        <v>0</v>
      </c>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row>
    <row r="30" spans="1:131" ht="13.5" thickBot="1">
      <c r="A30" s="9"/>
      <c r="B30" s="9" t="s">
        <v>428</v>
      </c>
      <c r="C30" s="9" t="s">
        <v>429</v>
      </c>
      <c r="D30" s="9"/>
      <c r="E30" s="9"/>
      <c r="F30" s="9"/>
      <c r="G30" s="213" t="s">
        <v>430</v>
      </c>
      <c r="H30" s="214" t="s">
        <v>424</v>
      </c>
      <c r="I30" s="214"/>
      <c r="J30" s="214"/>
      <c r="K30" s="214"/>
      <c r="L30" s="214"/>
      <c r="M30" s="214"/>
      <c r="N30" s="214"/>
      <c r="O30" s="215"/>
      <c r="P30" s="9"/>
      <c r="Q30" s="213" t="s">
        <v>431</v>
      </c>
      <c r="R30" s="214"/>
      <c r="S30" s="214">
        <v>20</v>
      </c>
      <c r="T30" s="214"/>
      <c r="U30" s="215"/>
      <c r="V30" s="9"/>
      <c r="W30" s="213" t="s">
        <v>432</v>
      </c>
      <c r="X30" s="215">
        <v>2018</v>
      </c>
      <c r="Y30" s="9"/>
      <c r="Z30" s="213" t="s">
        <v>433</v>
      </c>
      <c r="AA30" s="214">
        <v>0</v>
      </c>
      <c r="AB30" s="215">
        <v>0</v>
      </c>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row>
    <row r="31" spans="1:13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row>
    <row r="32" spans="1:13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row>
    <row r="33" spans="1:13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row>
    <row r="34" spans="1:13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row>
    <row r="35" spans="1:13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row>
    <row r="36" spans="1:131">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row>
    <row r="37" spans="1:131">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row>
    <row r="38" spans="1:131" ht="13.5" thickBot="1">
      <c r="A38" s="34" t="s">
        <v>434</v>
      </c>
      <c r="B38" s="35"/>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row>
    <row r="39" spans="1:131" ht="26.25" thickBot="1">
      <c r="A39" s="216" t="s">
        <v>435</v>
      </c>
      <c r="B39" s="217"/>
      <c r="C39" s="218" t="s">
        <v>436</v>
      </c>
      <c r="D39" s="219"/>
      <c r="E39" s="219"/>
      <c r="F39" s="219"/>
      <c r="G39" s="219"/>
      <c r="H39" s="219"/>
      <c r="I39" s="219"/>
      <c r="J39" s="219"/>
      <c r="K39" s="220"/>
      <c r="L39" s="218" t="s">
        <v>437</v>
      </c>
      <c r="M39" s="219"/>
      <c r="N39" s="219"/>
      <c r="O39" s="219"/>
      <c r="P39" s="219"/>
      <c r="Q39" s="220"/>
      <c r="R39" s="218" t="s">
        <v>438</v>
      </c>
      <c r="S39" s="219"/>
      <c r="T39" s="219"/>
      <c r="U39" s="220"/>
      <c r="V39" s="218" t="s">
        <v>439</v>
      </c>
      <c r="W39" s="219"/>
      <c r="X39" s="219"/>
      <c r="Y39" s="220"/>
      <c r="Z39" s="218" t="s">
        <v>440</v>
      </c>
      <c r="AA39" s="219"/>
      <c r="AB39" s="219"/>
      <c r="AC39" s="220"/>
      <c r="AD39" s="218" t="s">
        <v>441</v>
      </c>
      <c r="AE39" s="219"/>
      <c r="AF39" s="219"/>
      <c r="AG39" s="220"/>
      <c r="AH39" s="218" t="s">
        <v>442</v>
      </c>
      <c r="AI39" s="219"/>
      <c r="AJ39" s="219"/>
      <c r="AK39" s="219"/>
      <c r="AL39" s="220"/>
      <c r="AM39" s="218" t="s">
        <v>443</v>
      </c>
      <c r="AN39" s="219"/>
      <c r="AO39" s="219"/>
      <c r="AP39" s="219"/>
      <c r="AQ39" s="219"/>
      <c r="AR39" s="219"/>
      <c r="AS39" s="220"/>
      <c r="AT39" s="218" t="s">
        <v>444</v>
      </c>
      <c r="AU39" s="219"/>
      <c r="AV39" s="219"/>
      <c r="AW39" s="219"/>
      <c r="AX39" s="219"/>
      <c r="AY39" s="219"/>
      <c r="AZ39" s="220"/>
      <c r="BA39" s="218" t="s">
        <v>445</v>
      </c>
      <c r="BB39" s="219"/>
      <c r="BC39" s="219"/>
      <c r="BD39" s="219"/>
      <c r="BE39" s="219"/>
      <c r="BF39" s="220"/>
      <c r="BG39" s="218" t="s">
        <v>446</v>
      </c>
      <c r="BH39" s="220"/>
      <c r="BI39" s="218" t="s">
        <v>447</v>
      </c>
      <c r="BJ39" s="219"/>
      <c r="BK39" s="219"/>
      <c r="BL39" s="219"/>
      <c r="BM39" s="220"/>
      <c r="BN39" s="218" t="s">
        <v>448</v>
      </c>
      <c r="BO39" s="219"/>
      <c r="BP39" s="219"/>
      <c r="BQ39" s="219"/>
      <c r="BR39" s="219"/>
      <c r="BS39" s="219"/>
      <c r="BT39" s="219"/>
      <c r="BU39" s="219"/>
      <c r="BV39" s="219"/>
      <c r="BW39" s="219"/>
      <c r="BX39" s="219"/>
      <c r="BY39" s="219"/>
      <c r="BZ39" s="219"/>
      <c r="CA39" s="219"/>
      <c r="CB39" s="219"/>
      <c r="CC39" s="220"/>
      <c r="CD39" s="218" t="s">
        <v>449</v>
      </c>
      <c r="CE39" s="220"/>
      <c r="CF39" s="218" t="s">
        <v>450</v>
      </c>
      <c r="CG39" s="219"/>
      <c r="CH39" s="219"/>
      <c r="CI39" s="219"/>
      <c r="CJ39" s="219"/>
      <c r="CK39" s="220"/>
      <c r="CL39" s="221"/>
      <c r="CM39" s="218" t="s">
        <v>5</v>
      </c>
      <c r="CN39" s="219"/>
      <c r="CO39" s="219"/>
      <c r="CP39" s="220"/>
      <c r="CQ39" s="218" t="s">
        <v>451</v>
      </c>
      <c r="CR39" s="219"/>
      <c r="CS39" s="219"/>
      <c r="CT39" s="219"/>
      <c r="CU39" s="220"/>
      <c r="CV39" s="218" t="s">
        <v>452</v>
      </c>
      <c r="CW39" s="220"/>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row>
    <row r="40" spans="1:131" ht="204">
      <c r="A40" s="37" t="s">
        <v>21</v>
      </c>
      <c r="B40" s="38" t="s">
        <v>22</v>
      </c>
      <c r="C40" s="39" t="s">
        <v>242</v>
      </c>
      <c r="D40" s="39" t="s">
        <v>453</v>
      </c>
      <c r="E40" s="39" t="s">
        <v>454</v>
      </c>
      <c r="F40" s="39" t="s">
        <v>455</v>
      </c>
      <c r="G40" s="39" t="s">
        <v>456</v>
      </c>
      <c r="H40" s="39" t="s">
        <v>457</v>
      </c>
      <c r="I40" s="39" t="s">
        <v>458</v>
      </c>
      <c r="J40" s="39" t="s">
        <v>459</v>
      </c>
      <c r="K40" s="39" t="s">
        <v>460</v>
      </c>
      <c r="L40" s="39" t="s">
        <v>461</v>
      </c>
      <c r="M40" s="39" t="s">
        <v>462</v>
      </c>
      <c r="N40" s="39" t="s">
        <v>463</v>
      </c>
      <c r="O40" s="39" t="s">
        <v>464</v>
      </c>
      <c r="P40" s="39" t="s">
        <v>465</v>
      </c>
      <c r="Q40" s="39" t="s">
        <v>466</v>
      </c>
      <c r="R40" s="39" t="s">
        <v>467</v>
      </c>
      <c r="S40" s="39" t="s">
        <v>468</v>
      </c>
      <c r="T40" s="39" t="s">
        <v>469</v>
      </c>
      <c r="U40" s="39" t="s">
        <v>375</v>
      </c>
      <c r="V40" s="39" t="s">
        <v>467</v>
      </c>
      <c r="W40" s="39" t="s">
        <v>468</v>
      </c>
      <c r="X40" s="39" t="s">
        <v>469</v>
      </c>
      <c r="Y40" s="39" t="s">
        <v>375</v>
      </c>
      <c r="Z40" s="39" t="s">
        <v>467</v>
      </c>
      <c r="AA40" s="39" t="s">
        <v>468</v>
      </c>
      <c r="AB40" s="39" t="s">
        <v>469</v>
      </c>
      <c r="AC40" s="39" t="s">
        <v>375</v>
      </c>
      <c r="AD40" s="39" t="s">
        <v>467</v>
      </c>
      <c r="AE40" s="39" t="s">
        <v>468</v>
      </c>
      <c r="AF40" s="39" t="s">
        <v>469</v>
      </c>
      <c r="AG40" s="39" t="s">
        <v>375</v>
      </c>
      <c r="AH40" s="39" t="s">
        <v>467</v>
      </c>
      <c r="AI40" s="39" t="s">
        <v>468</v>
      </c>
      <c r="AJ40" s="39" t="s">
        <v>469</v>
      </c>
      <c r="AK40" s="39" t="s">
        <v>375</v>
      </c>
      <c r="AL40" s="39" t="s">
        <v>470</v>
      </c>
      <c r="AM40" s="39" t="s">
        <v>471</v>
      </c>
      <c r="AN40" s="39" t="s">
        <v>472</v>
      </c>
      <c r="AO40" s="39" t="s">
        <v>473</v>
      </c>
      <c r="AP40" s="39" t="s">
        <v>474</v>
      </c>
      <c r="AQ40" s="39" t="s">
        <v>475</v>
      </c>
      <c r="AR40" s="39" t="s">
        <v>476</v>
      </c>
      <c r="AS40" s="39" t="s">
        <v>477</v>
      </c>
      <c r="AT40" s="39" t="s">
        <v>478</v>
      </c>
      <c r="AU40" s="39" t="s">
        <v>479</v>
      </c>
      <c r="AV40" s="39" t="s">
        <v>480</v>
      </c>
      <c r="AW40" s="39" t="s">
        <v>481</v>
      </c>
      <c r="AX40" s="39" t="s">
        <v>482</v>
      </c>
      <c r="AY40" s="39" t="s">
        <v>483</v>
      </c>
      <c r="AZ40" s="39" t="s">
        <v>484</v>
      </c>
      <c r="BA40" s="39" t="s">
        <v>485</v>
      </c>
      <c r="BB40" s="39" t="s">
        <v>486</v>
      </c>
      <c r="BC40" s="39" t="s">
        <v>487</v>
      </c>
      <c r="BD40" s="39" t="s">
        <v>488</v>
      </c>
      <c r="BE40" s="39" t="s">
        <v>489</v>
      </c>
      <c r="BF40" s="39" t="s">
        <v>490</v>
      </c>
      <c r="BG40" s="39" t="s">
        <v>491</v>
      </c>
      <c r="BH40" s="39" t="s">
        <v>492</v>
      </c>
      <c r="BI40" s="39" t="s">
        <v>493</v>
      </c>
      <c r="BJ40" s="39" t="s">
        <v>494</v>
      </c>
      <c r="BK40" s="39" t="s">
        <v>495</v>
      </c>
      <c r="BL40" s="39" t="s">
        <v>496</v>
      </c>
      <c r="BM40" s="39" t="s">
        <v>497</v>
      </c>
      <c r="BN40" s="39" t="s">
        <v>498</v>
      </c>
      <c r="BO40" s="39" t="s">
        <v>499</v>
      </c>
      <c r="BP40" s="39" t="s">
        <v>500</v>
      </c>
      <c r="BQ40" s="39" t="s">
        <v>501</v>
      </c>
      <c r="BR40" s="39" t="s">
        <v>502</v>
      </c>
      <c r="BS40" s="39" t="s">
        <v>503</v>
      </c>
      <c r="BT40" s="39" t="s">
        <v>504</v>
      </c>
      <c r="BU40" s="39" t="s">
        <v>505</v>
      </c>
      <c r="BV40" s="39" t="s">
        <v>506</v>
      </c>
      <c r="BW40" s="39" t="s">
        <v>507</v>
      </c>
      <c r="BX40" s="39" t="s">
        <v>508</v>
      </c>
      <c r="BY40" s="39" t="s">
        <v>509</v>
      </c>
      <c r="BZ40" s="39" t="s">
        <v>510</v>
      </c>
      <c r="CA40" s="39" t="s">
        <v>511</v>
      </c>
      <c r="CB40" s="39" t="s">
        <v>512</v>
      </c>
      <c r="CC40" s="39" t="s">
        <v>513</v>
      </c>
      <c r="CD40" s="39" t="s">
        <v>23</v>
      </c>
      <c r="CE40" s="39" t="s">
        <v>24</v>
      </c>
      <c r="CF40" s="39" t="s">
        <v>514</v>
      </c>
      <c r="CG40" s="39" t="s">
        <v>515</v>
      </c>
      <c r="CH40" s="39" t="s">
        <v>516</v>
      </c>
      <c r="CI40" s="39" t="s">
        <v>517</v>
      </c>
      <c r="CJ40" s="39" t="s">
        <v>518</v>
      </c>
      <c r="CK40" s="39" t="s">
        <v>519</v>
      </c>
      <c r="CL40" s="39"/>
      <c r="CM40" s="39" t="s">
        <v>520</v>
      </c>
      <c r="CN40" s="39" t="s">
        <v>521</v>
      </c>
      <c r="CO40" s="39" t="s">
        <v>522</v>
      </c>
      <c r="CP40" s="39" t="s">
        <v>523</v>
      </c>
      <c r="CQ40" s="39" t="s">
        <v>524</v>
      </c>
      <c r="CR40" s="39" t="s">
        <v>525</v>
      </c>
      <c r="CS40" s="39" t="s">
        <v>526</v>
      </c>
      <c r="CT40" s="39" t="s">
        <v>527</v>
      </c>
      <c r="CU40" s="39" t="s">
        <v>528</v>
      </c>
      <c r="CV40" s="39" t="s">
        <v>529</v>
      </c>
      <c r="CW40" s="222" t="s">
        <v>530</v>
      </c>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row>
    <row r="41" spans="1:131">
      <c r="A41" s="9" t="s">
        <v>340</v>
      </c>
      <c r="B41" s="9" t="s">
        <v>230</v>
      </c>
      <c r="C41" s="36">
        <v>15</v>
      </c>
      <c r="D41" s="36">
        <v>67.296825260416369</v>
      </c>
      <c r="E41" s="36">
        <v>2.2907614903920233</v>
      </c>
      <c r="F41" s="36">
        <v>5</v>
      </c>
      <c r="G41" s="36">
        <v>0</v>
      </c>
      <c r="H41" s="36">
        <v>0</v>
      </c>
      <c r="I41" s="36" t="s">
        <v>279</v>
      </c>
      <c r="J41" s="36"/>
      <c r="K41" s="36"/>
      <c r="L41" s="36">
        <v>72.337106520484056</v>
      </c>
      <c r="M41" s="36">
        <v>1.3998939688222571E-2</v>
      </c>
      <c r="N41" s="36">
        <v>1.3897901619287584E-2</v>
      </c>
      <c r="O41" s="36">
        <v>2.3136691052959435</v>
      </c>
      <c r="P41" s="36">
        <v>0</v>
      </c>
      <c r="Q41" s="36">
        <v>0</v>
      </c>
      <c r="R41" s="36">
        <v>0.99706679251086117</v>
      </c>
      <c r="S41" s="36">
        <v>2.304069704489538</v>
      </c>
      <c r="T41" s="36">
        <v>0</v>
      </c>
      <c r="U41" s="36">
        <v>2.9132864261411426</v>
      </c>
      <c r="V41" s="36" t="s">
        <v>531</v>
      </c>
      <c r="W41" s="36" t="s">
        <v>531</v>
      </c>
      <c r="X41" s="36" t="s">
        <v>531</v>
      </c>
      <c r="Y41" s="36" t="s">
        <v>531</v>
      </c>
      <c r="Z41" s="36">
        <v>0</v>
      </c>
      <c r="AA41" s="36">
        <v>0</v>
      </c>
      <c r="AB41" s="36">
        <v>0</v>
      </c>
      <c r="AC41" s="36">
        <v>0</v>
      </c>
      <c r="AD41" s="36">
        <v>0</v>
      </c>
      <c r="AE41" s="36">
        <v>0</v>
      </c>
      <c r="AF41" s="36">
        <v>0</v>
      </c>
      <c r="AG41" s="36">
        <v>0</v>
      </c>
      <c r="AH41" s="36">
        <v>0.99706679251086117</v>
      </c>
      <c r="AI41" s="36">
        <v>2.304069704489538</v>
      </c>
      <c r="AJ41" s="36">
        <v>0</v>
      </c>
      <c r="AK41" s="36">
        <v>2.9132864261411426</v>
      </c>
      <c r="AL41" s="36">
        <v>6.2144229231415418</v>
      </c>
      <c r="AM41" s="36">
        <v>37.349816301331977</v>
      </c>
      <c r="AN41" s="36">
        <v>4.9465041300080879</v>
      </c>
      <c r="AO41" s="36">
        <v>0</v>
      </c>
      <c r="AP41" s="36">
        <v>0</v>
      </c>
      <c r="AQ41" s="36">
        <v>42.296320431340064</v>
      </c>
      <c r="AR41" s="36">
        <v>0.99706679251086117</v>
      </c>
      <c r="AS41" s="40">
        <v>42.420749290854879</v>
      </c>
      <c r="AT41" s="36">
        <v>37.349816301331977</v>
      </c>
      <c r="AU41" s="36">
        <v>5.855187574007565</v>
      </c>
      <c r="AV41" s="36">
        <v>0</v>
      </c>
      <c r="AW41" s="36">
        <v>0</v>
      </c>
      <c r="AX41" s="36">
        <v>43.205003875339543</v>
      </c>
      <c r="AY41" s="36">
        <v>2.304069704489538</v>
      </c>
      <c r="AZ41" s="40">
        <v>18.751604515763347</v>
      </c>
      <c r="BA41" s="36">
        <v>37.349816301331977</v>
      </c>
      <c r="BB41" s="36">
        <v>10.801691704015653</v>
      </c>
      <c r="BC41" s="36">
        <v>0</v>
      </c>
      <c r="BD41" s="36">
        <v>0</v>
      </c>
      <c r="BE41" s="36">
        <v>48.15150800534763</v>
      </c>
      <c r="BF41" s="36">
        <v>3.3011364970003991</v>
      </c>
      <c r="BG41" s="36">
        <v>-7.6296109578616891</v>
      </c>
      <c r="BH41" s="40">
        <v>14.586342627486273</v>
      </c>
      <c r="BI41" s="36">
        <v>1.0142224829897721</v>
      </c>
      <c r="BJ41" s="36">
        <v>2.3437138958205086</v>
      </c>
      <c r="BK41" s="36">
        <v>0</v>
      </c>
      <c r="BL41" s="36">
        <v>2.9634128976861724</v>
      </c>
      <c r="BM41" s="36">
        <v>6.3213492764964538</v>
      </c>
      <c r="BN41" s="36">
        <v>37.349816301331977</v>
      </c>
      <c r="BO41" s="36">
        <v>16.852873352448448</v>
      </c>
      <c r="BP41" s="36">
        <v>10.801691704015653</v>
      </c>
      <c r="BQ41" s="36">
        <v>0</v>
      </c>
      <c r="BR41" s="36">
        <v>0</v>
      </c>
      <c r="BS41" s="36">
        <v>0</v>
      </c>
      <c r="BT41" s="36">
        <v>0</v>
      </c>
      <c r="BU41" s="36">
        <v>0</v>
      </c>
      <c r="BV41" s="36">
        <v>284.87895169005549</v>
      </c>
      <c r="BW41" s="36">
        <v>0</v>
      </c>
      <c r="BX41" s="36">
        <v>6.2144229231415418</v>
      </c>
      <c r="BY41" s="36"/>
      <c r="BZ41" s="36">
        <v>0</v>
      </c>
      <c r="CA41" s="36">
        <v>0</v>
      </c>
      <c r="CB41" s="36">
        <v>349.88333304785158</v>
      </c>
      <c r="CC41" s="36">
        <v>6.2144229231415418</v>
      </c>
      <c r="CD41" s="40">
        <v>56.301821967240208</v>
      </c>
      <c r="CE41" s="36">
        <v>-311.5896690755942</v>
      </c>
      <c r="CF41" s="36">
        <v>0.68720895078705324</v>
      </c>
      <c r="CG41" s="36">
        <v>0.27069928531962539</v>
      </c>
      <c r="CH41" s="36">
        <v>0.95790823610667863</v>
      </c>
      <c r="CI41" s="36">
        <v>3.436012559722993E-2</v>
      </c>
      <c r="CJ41" s="36">
        <v>1.353496426598127E-2</v>
      </c>
      <c r="CK41" s="36">
        <v>4.7895089863211199E-2</v>
      </c>
      <c r="CL41" s="36"/>
      <c r="CM41" s="36">
        <v>2.2907614903920233</v>
      </c>
      <c r="CN41" s="36" t="s">
        <v>279</v>
      </c>
      <c r="CO41" s="36">
        <v>0</v>
      </c>
      <c r="CP41" s="36">
        <v>0</v>
      </c>
      <c r="CQ41" s="36">
        <v>16.852873352448448</v>
      </c>
      <c r="CR41" s="36">
        <v>0</v>
      </c>
      <c r="CS41" s="36">
        <v>0</v>
      </c>
      <c r="CT41" s="36">
        <v>16.852873352448448</v>
      </c>
      <c r="CU41" s="36">
        <v>0</v>
      </c>
      <c r="CV41" s="36">
        <v>0</v>
      </c>
      <c r="CW41" s="40">
        <v>9999</v>
      </c>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row>
    <row r="42" spans="1:131">
      <c r="A42" s="9" t="s">
        <v>342</v>
      </c>
      <c r="B42" s="9" t="s">
        <v>230</v>
      </c>
      <c r="C42" s="36">
        <v>15</v>
      </c>
      <c r="D42" s="36">
        <v>81.496283275721595</v>
      </c>
      <c r="E42" s="36">
        <v>0.191297834544292</v>
      </c>
      <c r="F42" s="36">
        <v>5</v>
      </c>
      <c r="G42" s="36">
        <v>0</v>
      </c>
      <c r="H42" s="36">
        <v>0</v>
      </c>
      <c r="I42" s="36" t="s">
        <v>279</v>
      </c>
      <c r="J42" s="36"/>
      <c r="K42" s="36"/>
      <c r="L42" s="36">
        <v>87.60005099091866</v>
      </c>
      <c r="M42" s="36">
        <v>1.6952680159522726E-2</v>
      </c>
      <c r="N42" s="36">
        <v>1.6830323316451838E-2</v>
      </c>
      <c r="O42" s="36">
        <v>0.19321081288973493</v>
      </c>
      <c r="P42" s="36">
        <v>0</v>
      </c>
      <c r="Q42" s="36">
        <v>0</v>
      </c>
      <c r="R42" s="36">
        <v>0.99706679251086117</v>
      </c>
      <c r="S42" s="36">
        <v>2.304069704489538</v>
      </c>
      <c r="T42" s="36">
        <v>0</v>
      </c>
      <c r="U42" s="36">
        <v>2.9132864261411426</v>
      </c>
      <c r="V42" s="36" t="s">
        <v>531</v>
      </c>
      <c r="W42" s="36" t="s">
        <v>531</v>
      </c>
      <c r="X42" s="36" t="s">
        <v>531</v>
      </c>
      <c r="Y42" s="36" t="s">
        <v>531</v>
      </c>
      <c r="Z42" s="36">
        <v>0</v>
      </c>
      <c r="AA42" s="36">
        <v>0</v>
      </c>
      <c r="AB42" s="36">
        <v>0</v>
      </c>
      <c r="AC42" s="36">
        <v>0</v>
      </c>
      <c r="AD42" s="36">
        <v>0</v>
      </c>
      <c r="AE42" s="36">
        <v>0</v>
      </c>
      <c r="AF42" s="36">
        <v>0</v>
      </c>
      <c r="AG42" s="36">
        <v>0</v>
      </c>
      <c r="AH42" s="36">
        <v>0.99706679251086117</v>
      </c>
      <c r="AI42" s="36">
        <v>2.304069704489538</v>
      </c>
      <c r="AJ42" s="36">
        <v>0</v>
      </c>
      <c r="AK42" s="36">
        <v>2.9132864261411426</v>
      </c>
      <c r="AL42" s="36">
        <v>6.2144229231415418</v>
      </c>
      <c r="AM42" s="36">
        <v>45.230532017086219</v>
      </c>
      <c r="AN42" s="36">
        <v>5.9902038505340895</v>
      </c>
      <c r="AO42" s="36">
        <v>0</v>
      </c>
      <c r="AP42" s="36">
        <v>0</v>
      </c>
      <c r="AQ42" s="36">
        <v>51.220735867620306</v>
      </c>
      <c r="AR42" s="36">
        <v>0.99706679251086117</v>
      </c>
      <c r="AS42" s="40">
        <v>51.371418898260373</v>
      </c>
      <c r="AT42" s="36">
        <v>45.230532017086219</v>
      </c>
      <c r="AU42" s="36">
        <v>7.0906171772188777</v>
      </c>
      <c r="AV42" s="36">
        <v>0</v>
      </c>
      <c r="AW42" s="36">
        <v>0</v>
      </c>
      <c r="AX42" s="36">
        <v>52.321149194305093</v>
      </c>
      <c r="AY42" s="36">
        <v>2.304069704489538</v>
      </c>
      <c r="AZ42" s="40">
        <v>22.70814511052162</v>
      </c>
      <c r="BA42" s="36">
        <v>45.230532017086219</v>
      </c>
      <c r="BB42" s="36">
        <v>13.080821027752968</v>
      </c>
      <c r="BC42" s="36">
        <v>0</v>
      </c>
      <c r="BD42" s="36">
        <v>0</v>
      </c>
      <c r="BE42" s="36">
        <v>58.31135304483918</v>
      </c>
      <c r="BF42" s="36">
        <v>3.3011364970003991</v>
      </c>
      <c r="BG42" s="36">
        <v>-8.2146790703259871</v>
      </c>
      <c r="BH42" s="40">
        <v>17.664023616661776</v>
      </c>
      <c r="BI42" s="36">
        <v>0.83751001235269462</v>
      </c>
      <c r="BJ42" s="36">
        <v>1.9353582539932819</v>
      </c>
      <c r="BK42" s="36">
        <v>0</v>
      </c>
      <c r="BL42" s="36">
        <v>2.4470843569066392</v>
      </c>
      <c r="BM42" s="36">
        <v>5.2199526232526159</v>
      </c>
      <c r="BN42" s="36">
        <v>45.230532017086219</v>
      </c>
      <c r="BO42" s="36">
        <v>1.4073565457139203</v>
      </c>
      <c r="BP42" s="36">
        <v>13.080821027752968</v>
      </c>
      <c r="BQ42" s="36">
        <v>0</v>
      </c>
      <c r="BR42" s="36">
        <v>0</v>
      </c>
      <c r="BS42" s="36">
        <v>0</v>
      </c>
      <c r="BT42" s="36">
        <v>0</v>
      </c>
      <c r="BU42" s="36">
        <v>0</v>
      </c>
      <c r="BV42" s="36">
        <v>201.09102472239206</v>
      </c>
      <c r="BW42" s="36">
        <v>0</v>
      </c>
      <c r="BX42" s="36">
        <v>6.2144229231415418</v>
      </c>
      <c r="BY42" s="36"/>
      <c r="BZ42" s="36">
        <v>0</v>
      </c>
      <c r="CA42" s="36">
        <v>0</v>
      </c>
      <c r="CB42" s="36">
        <v>260.80973431294518</v>
      </c>
      <c r="CC42" s="36">
        <v>6.2144229231415418</v>
      </c>
      <c r="CD42" s="40">
        <v>41.968455886986774</v>
      </c>
      <c r="CE42" s="36">
        <v>-175.86093557193027</v>
      </c>
      <c r="CF42" s="36">
        <v>0.83220828183547335</v>
      </c>
      <c r="CG42" s="36">
        <v>2.2605665108099013E-2</v>
      </c>
      <c r="CH42" s="36">
        <v>0.85481394694357238</v>
      </c>
      <c r="CI42" s="36">
        <v>4.161002422068636E-2</v>
      </c>
      <c r="CJ42" s="36">
        <v>1.1302832554049491E-3</v>
      </c>
      <c r="CK42" s="36">
        <v>4.274030747609131E-2</v>
      </c>
      <c r="CL42" s="36"/>
      <c r="CM42" s="36">
        <v>0.191297834544292</v>
      </c>
      <c r="CN42" s="36" t="s">
        <v>279</v>
      </c>
      <c r="CO42" s="36">
        <v>0</v>
      </c>
      <c r="CP42" s="36">
        <v>0</v>
      </c>
      <c r="CQ42" s="36">
        <v>1.4073565457139203</v>
      </c>
      <c r="CR42" s="36">
        <v>0</v>
      </c>
      <c r="CS42" s="36">
        <v>0</v>
      </c>
      <c r="CT42" s="36">
        <v>1.4073565457139203</v>
      </c>
      <c r="CU42" s="36">
        <v>0</v>
      </c>
      <c r="CV42" s="36">
        <v>0</v>
      </c>
      <c r="CW42" s="40">
        <v>9999</v>
      </c>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row>
    <row r="43" spans="1:131">
      <c r="A43" s="9" t="s">
        <v>343</v>
      </c>
      <c r="B43" s="9" t="s">
        <v>230</v>
      </c>
      <c r="C43" s="36">
        <v>15</v>
      </c>
      <c r="D43" s="36">
        <v>81.496283275721595</v>
      </c>
      <c r="E43" s="36">
        <v>0.191297834544292</v>
      </c>
      <c r="F43" s="36">
        <v>5</v>
      </c>
      <c r="G43" s="36">
        <v>0</v>
      </c>
      <c r="H43" s="36">
        <v>0</v>
      </c>
      <c r="I43" s="36" t="s">
        <v>279</v>
      </c>
      <c r="J43" s="36"/>
      <c r="K43" s="36"/>
      <c r="L43" s="36">
        <v>87.60005099091866</v>
      </c>
      <c r="M43" s="36">
        <v>1.6952680159522726E-2</v>
      </c>
      <c r="N43" s="36">
        <v>1.6830323316451838E-2</v>
      </c>
      <c r="O43" s="36">
        <v>0.19321081288973493</v>
      </c>
      <c r="P43" s="36">
        <v>0</v>
      </c>
      <c r="Q43" s="36">
        <v>0</v>
      </c>
      <c r="R43" s="36">
        <v>0.99706679251086117</v>
      </c>
      <c r="S43" s="36">
        <v>2.304069704489538</v>
      </c>
      <c r="T43" s="36">
        <v>0</v>
      </c>
      <c r="U43" s="36">
        <v>2.9132864261411426</v>
      </c>
      <c r="V43" s="36" t="s">
        <v>531</v>
      </c>
      <c r="W43" s="36" t="s">
        <v>531</v>
      </c>
      <c r="X43" s="36" t="s">
        <v>531</v>
      </c>
      <c r="Y43" s="36" t="s">
        <v>531</v>
      </c>
      <c r="Z43" s="36">
        <v>0</v>
      </c>
      <c r="AA43" s="36">
        <v>0</v>
      </c>
      <c r="AB43" s="36">
        <v>0</v>
      </c>
      <c r="AC43" s="36">
        <v>0</v>
      </c>
      <c r="AD43" s="36">
        <v>0</v>
      </c>
      <c r="AE43" s="36">
        <v>0</v>
      </c>
      <c r="AF43" s="36">
        <v>0</v>
      </c>
      <c r="AG43" s="36">
        <v>0</v>
      </c>
      <c r="AH43" s="36">
        <v>0.99706679251086117</v>
      </c>
      <c r="AI43" s="36">
        <v>2.304069704489538</v>
      </c>
      <c r="AJ43" s="36">
        <v>0</v>
      </c>
      <c r="AK43" s="36">
        <v>2.9132864261411426</v>
      </c>
      <c r="AL43" s="36">
        <v>6.2144229231415418</v>
      </c>
      <c r="AM43" s="36">
        <v>45.230532017086219</v>
      </c>
      <c r="AN43" s="36">
        <v>5.9902038505340895</v>
      </c>
      <c r="AO43" s="36">
        <v>0</v>
      </c>
      <c r="AP43" s="36">
        <v>0</v>
      </c>
      <c r="AQ43" s="36">
        <v>51.220735867620306</v>
      </c>
      <c r="AR43" s="36">
        <v>0.99706679251086117</v>
      </c>
      <c r="AS43" s="40">
        <v>51.371418898260373</v>
      </c>
      <c r="AT43" s="36">
        <v>45.230532017086219</v>
      </c>
      <c r="AU43" s="36">
        <v>7.0906171772188777</v>
      </c>
      <c r="AV43" s="36">
        <v>0</v>
      </c>
      <c r="AW43" s="36">
        <v>0</v>
      </c>
      <c r="AX43" s="36">
        <v>52.321149194305093</v>
      </c>
      <c r="AY43" s="36">
        <v>2.304069704489538</v>
      </c>
      <c r="AZ43" s="40">
        <v>22.70814511052162</v>
      </c>
      <c r="BA43" s="36">
        <v>45.230532017086219</v>
      </c>
      <c r="BB43" s="36">
        <v>13.080821027752968</v>
      </c>
      <c r="BC43" s="36">
        <v>0</v>
      </c>
      <c r="BD43" s="36">
        <v>0</v>
      </c>
      <c r="BE43" s="36">
        <v>58.31135304483918</v>
      </c>
      <c r="BF43" s="36">
        <v>3.3011364970003991</v>
      </c>
      <c r="BG43" s="36">
        <v>-8.2146790703259871</v>
      </c>
      <c r="BH43" s="40">
        <v>17.664023616661776</v>
      </c>
      <c r="BI43" s="36">
        <v>0.83751001235269462</v>
      </c>
      <c r="BJ43" s="36">
        <v>1.9353582539932819</v>
      </c>
      <c r="BK43" s="36">
        <v>0</v>
      </c>
      <c r="BL43" s="36">
        <v>2.4470843569066392</v>
      </c>
      <c r="BM43" s="36">
        <v>5.2199526232526159</v>
      </c>
      <c r="BN43" s="36">
        <v>45.230532017086219</v>
      </c>
      <c r="BO43" s="36">
        <v>1.4073565457139203</v>
      </c>
      <c r="BP43" s="36">
        <v>13.080821027752968</v>
      </c>
      <c r="BQ43" s="36">
        <v>0</v>
      </c>
      <c r="BR43" s="36">
        <v>0</v>
      </c>
      <c r="BS43" s="36">
        <v>0</v>
      </c>
      <c r="BT43" s="36">
        <v>0</v>
      </c>
      <c r="BU43" s="36">
        <v>0</v>
      </c>
      <c r="BV43" s="36">
        <v>201.09102472239206</v>
      </c>
      <c r="BW43" s="36">
        <v>0</v>
      </c>
      <c r="BX43" s="36">
        <v>6.2144229231415418</v>
      </c>
      <c r="BY43" s="36"/>
      <c r="BZ43" s="36">
        <v>0</v>
      </c>
      <c r="CA43" s="36">
        <v>0</v>
      </c>
      <c r="CB43" s="36">
        <v>260.80973431294518</v>
      </c>
      <c r="CC43" s="36">
        <v>6.2144229231415418</v>
      </c>
      <c r="CD43" s="40">
        <v>41.968455886986774</v>
      </c>
      <c r="CE43" s="36">
        <v>-175.86093557193027</v>
      </c>
      <c r="CF43" s="36">
        <v>0.83220828183547335</v>
      </c>
      <c r="CG43" s="36">
        <v>2.2605665108099013E-2</v>
      </c>
      <c r="CH43" s="36">
        <v>0.85481394694357238</v>
      </c>
      <c r="CI43" s="36">
        <v>4.161002422068636E-2</v>
      </c>
      <c r="CJ43" s="36">
        <v>1.1302832554049491E-3</v>
      </c>
      <c r="CK43" s="36">
        <v>4.274030747609131E-2</v>
      </c>
      <c r="CL43" s="36"/>
      <c r="CM43" s="36">
        <v>0.191297834544292</v>
      </c>
      <c r="CN43" s="36" t="s">
        <v>279</v>
      </c>
      <c r="CO43" s="36">
        <v>0</v>
      </c>
      <c r="CP43" s="36">
        <v>0</v>
      </c>
      <c r="CQ43" s="36">
        <v>1.4073565457139203</v>
      </c>
      <c r="CR43" s="36">
        <v>0</v>
      </c>
      <c r="CS43" s="36">
        <v>0</v>
      </c>
      <c r="CT43" s="36">
        <v>1.4073565457139203</v>
      </c>
      <c r="CU43" s="36">
        <v>0</v>
      </c>
      <c r="CV43" s="36">
        <v>0</v>
      </c>
      <c r="CW43" s="40">
        <v>9999</v>
      </c>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row>
    <row r="44" spans="1:131">
      <c r="A44" s="9" t="s">
        <v>341</v>
      </c>
      <c r="B44" s="9" t="s">
        <v>230</v>
      </c>
      <c r="C44" s="36">
        <v>15</v>
      </c>
      <c r="D44" s="36">
        <v>100.01429488880039</v>
      </c>
      <c r="E44" s="36">
        <v>0.52375677753916228</v>
      </c>
      <c r="F44" s="36">
        <v>5</v>
      </c>
      <c r="G44" s="36">
        <v>0</v>
      </c>
      <c r="H44" s="36">
        <v>0</v>
      </c>
      <c r="I44" s="36" t="s">
        <v>279</v>
      </c>
      <c r="J44" s="36"/>
      <c r="K44" s="36"/>
      <c r="L44" s="36">
        <v>107.50499261958046</v>
      </c>
      <c r="M44" s="36">
        <v>2.0804756787419384E-2</v>
      </c>
      <c r="N44" s="36">
        <v>2.0654597382687365E-2</v>
      </c>
      <c r="O44" s="36">
        <v>0.52899434531455392</v>
      </c>
      <c r="P44" s="36">
        <v>0</v>
      </c>
      <c r="Q44" s="36">
        <v>0</v>
      </c>
      <c r="R44" s="36">
        <v>0.99706679251086117</v>
      </c>
      <c r="S44" s="36">
        <v>2.304069704489538</v>
      </c>
      <c r="T44" s="36">
        <v>0</v>
      </c>
      <c r="U44" s="36">
        <v>2.9132864261411426</v>
      </c>
      <c r="V44" s="36" t="s">
        <v>531</v>
      </c>
      <c r="W44" s="36" t="s">
        <v>531</v>
      </c>
      <c r="X44" s="36" t="s">
        <v>531</v>
      </c>
      <c r="Y44" s="36" t="s">
        <v>531</v>
      </c>
      <c r="Z44" s="36">
        <v>0</v>
      </c>
      <c r="AA44" s="36">
        <v>0</v>
      </c>
      <c r="AB44" s="36">
        <v>0</v>
      </c>
      <c r="AC44" s="36">
        <v>0</v>
      </c>
      <c r="AD44" s="36">
        <v>0</v>
      </c>
      <c r="AE44" s="36">
        <v>0</v>
      </c>
      <c r="AF44" s="36">
        <v>0</v>
      </c>
      <c r="AG44" s="36">
        <v>0</v>
      </c>
      <c r="AH44" s="36">
        <v>0.99706679251086117</v>
      </c>
      <c r="AI44" s="36">
        <v>2.304069704489538</v>
      </c>
      <c r="AJ44" s="36">
        <v>0</v>
      </c>
      <c r="AK44" s="36">
        <v>2.9132864261411426</v>
      </c>
      <c r="AL44" s="36">
        <v>6.2144229231415418</v>
      </c>
      <c r="AM44" s="36">
        <v>55.508050003083198</v>
      </c>
      <c r="AN44" s="36">
        <v>7.3513292909864845</v>
      </c>
      <c r="AO44" s="36">
        <v>0</v>
      </c>
      <c r="AP44" s="36">
        <v>0</v>
      </c>
      <c r="AQ44" s="36">
        <v>62.859379294069683</v>
      </c>
      <c r="AR44" s="36">
        <v>0.99706679251086117</v>
      </c>
      <c r="AS44" s="40">
        <v>63.044301310822114</v>
      </c>
      <c r="AT44" s="36">
        <v>55.508050003083198</v>
      </c>
      <c r="AU44" s="36">
        <v>8.7017842875937372</v>
      </c>
      <c r="AV44" s="36">
        <v>0</v>
      </c>
      <c r="AW44" s="36">
        <v>0</v>
      </c>
      <c r="AX44" s="36">
        <v>64.209834290676937</v>
      </c>
      <c r="AY44" s="36">
        <v>2.304069704489538</v>
      </c>
      <c r="AZ44" s="40">
        <v>27.868008578717237</v>
      </c>
      <c r="BA44" s="36">
        <v>55.508050003083198</v>
      </c>
      <c r="BB44" s="36">
        <v>16.053113578580223</v>
      </c>
      <c r="BC44" s="36">
        <v>0</v>
      </c>
      <c r="BD44" s="36">
        <v>0</v>
      </c>
      <c r="BE44" s="36">
        <v>71.561163581663422</v>
      </c>
      <c r="BF44" s="36">
        <v>3.3011364970003991</v>
      </c>
      <c r="BG44" s="36">
        <v>-8.7280857469897981</v>
      </c>
      <c r="BH44" s="40">
        <v>21.677735424357028</v>
      </c>
      <c r="BI44" s="36">
        <v>0.68244197780762827</v>
      </c>
      <c r="BJ44" s="36">
        <v>1.577019611874547</v>
      </c>
      <c r="BK44" s="36">
        <v>0</v>
      </c>
      <c r="BL44" s="36">
        <v>1.993997759738068</v>
      </c>
      <c r="BM44" s="36">
        <v>4.2534593494202433</v>
      </c>
      <c r="BN44" s="36">
        <v>55.508050003083198</v>
      </c>
      <c r="BO44" s="36">
        <v>3.8532194103906723</v>
      </c>
      <c r="BP44" s="36">
        <v>16.053113578580223</v>
      </c>
      <c r="BQ44" s="36">
        <v>0</v>
      </c>
      <c r="BR44" s="36">
        <v>0</v>
      </c>
      <c r="BS44" s="36">
        <v>0</v>
      </c>
      <c r="BT44" s="36">
        <v>0</v>
      </c>
      <c r="BU44" s="36">
        <v>0</v>
      </c>
      <c r="BV44" s="36">
        <v>262.88462086104391</v>
      </c>
      <c r="BW44" s="36">
        <v>0</v>
      </c>
      <c r="BX44" s="36">
        <v>6.2144229231415418</v>
      </c>
      <c r="BY44" s="36"/>
      <c r="BZ44" s="36">
        <v>0</v>
      </c>
      <c r="CA44" s="36">
        <v>0</v>
      </c>
      <c r="CB44" s="36">
        <v>338.29900385309804</v>
      </c>
      <c r="CC44" s="36">
        <v>6.2144229231415418</v>
      </c>
      <c r="CD44" s="40">
        <v>54.437718197988318</v>
      </c>
      <c r="CE44" s="36">
        <v>-189.30269887496229</v>
      </c>
      <c r="CF44" s="36">
        <v>1.0213069990787009</v>
      </c>
      <c r="CG44" s="36">
        <v>6.1892338401802728E-2</v>
      </c>
      <c r="CH44" s="36">
        <v>1.0831993374805036</v>
      </c>
      <c r="CI44" s="36">
        <v>5.1064871494300723E-2</v>
      </c>
      <c r="CJ44" s="36">
        <v>3.0946169200901396E-3</v>
      </c>
      <c r="CK44" s="36">
        <v>5.4159488414390861E-2</v>
      </c>
      <c r="CL44" s="36"/>
      <c r="CM44" s="36">
        <v>0.52375677753916228</v>
      </c>
      <c r="CN44" s="36" t="s">
        <v>279</v>
      </c>
      <c r="CO44" s="36">
        <v>0</v>
      </c>
      <c r="CP44" s="36">
        <v>0</v>
      </c>
      <c r="CQ44" s="36">
        <v>3.8532194103906723</v>
      </c>
      <c r="CR44" s="36">
        <v>0</v>
      </c>
      <c r="CS44" s="36">
        <v>0</v>
      </c>
      <c r="CT44" s="36">
        <v>3.8532194103906723</v>
      </c>
      <c r="CU44" s="36">
        <v>0</v>
      </c>
      <c r="CV44" s="36">
        <v>0</v>
      </c>
      <c r="CW44" s="40">
        <v>9999</v>
      </c>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row>
    <row r="45" spans="1:131">
      <c r="A45" s="9" t="s">
        <v>290</v>
      </c>
      <c r="B45" s="9" t="s">
        <v>230</v>
      </c>
      <c r="C45" s="36">
        <v>15</v>
      </c>
      <c r="D45" s="36">
        <v>63.424705497648468</v>
      </c>
      <c r="E45" s="36">
        <v>0</v>
      </c>
      <c r="F45" s="36">
        <v>5</v>
      </c>
      <c r="G45" s="36">
        <v>0</v>
      </c>
      <c r="H45" s="36">
        <v>0</v>
      </c>
      <c r="I45" s="36" t="s">
        <v>336</v>
      </c>
      <c r="J45" s="36"/>
      <c r="K45" s="36"/>
      <c r="L45" s="36">
        <v>68.226290676354807</v>
      </c>
      <c r="M45" s="36">
        <v>1.4392877014777969E-2</v>
      </c>
      <c r="N45" s="36">
        <v>1.4288995682878568E-2</v>
      </c>
      <c r="O45" s="36">
        <v>0</v>
      </c>
      <c r="P45" s="36">
        <v>0</v>
      </c>
      <c r="Q45" s="36">
        <v>0</v>
      </c>
      <c r="R45" s="36">
        <v>0.99706679251086117</v>
      </c>
      <c r="S45" s="36">
        <v>2.304069704489538</v>
      </c>
      <c r="T45" s="36">
        <v>0</v>
      </c>
      <c r="U45" s="36">
        <v>2.9132864261411426</v>
      </c>
      <c r="V45" s="36" t="s">
        <v>531</v>
      </c>
      <c r="W45" s="36" t="s">
        <v>531</v>
      </c>
      <c r="X45" s="36" t="s">
        <v>531</v>
      </c>
      <c r="Y45" s="36" t="s">
        <v>531</v>
      </c>
      <c r="Z45" s="36">
        <v>0</v>
      </c>
      <c r="AA45" s="36">
        <v>0</v>
      </c>
      <c r="AB45" s="36">
        <v>0</v>
      </c>
      <c r="AC45" s="36">
        <v>0</v>
      </c>
      <c r="AD45" s="36">
        <v>0</v>
      </c>
      <c r="AE45" s="36">
        <v>0</v>
      </c>
      <c r="AF45" s="36">
        <v>0</v>
      </c>
      <c r="AG45" s="36">
        <v>0</v>
      </c>
      <c r="AH45" s="36">
        <v>0.99706679251086117</v>
      </c>
      <c r="AI45" s="36">
        <v>2.304069704489538</v>
      </c>
      <c r="AJ45" s="36">
        <v>0</v>
      </c>
      <c r="AK45" s="36">
        <v>2.9132864261411426</v>
      </c>
      <c r="AL45" s="36">
        <v>6.2144229231415418</v>
      </c>
      <c r="AM45" s="36">
        <v>35.35667977513701</v>
      </c>
      <c r="AN45" s="36">
        <v>5.0857012875192389</v>
      </c>
      <c r="AO45" s="36">
        <v>0</v>
      </c>
      <c r="AP45" s="36">
        <v>0</v>
      </c>
      <c r="AQ45" s="36">
        <v>40.442381062656253</v>
      </c>
      <c r="AR45" s="36">
        <v>0.99706679251086117</v>
      </c>
      <c r="AS45" s="40">
        <v>40.561355935656344</v>
      </c>
      <c r="AT45" s="36">
        <v>35.35667977513701</v>
      </c>
      <c r="AU45" s="36">
        <v>6.0199555486367773</v>
      </c>
      <c r="AV45" s="36">
        <v>0</v>
      </c>
      <c r="AW45" s="36">
        <v>0</v>
      </c>
      <c r="AX45" s="36">
        <v>41.37663532377379</v>
      </c>
      <c r="AY45" s="36">
        <v>2.304069704489538</v>
      </c>
      <c r="AZ45" s="40">
        <v>17.958065783839078</v>
      </c>
      <c r="BA45" s="36">
        <v>35.35667977513701</v>
      </c>
      <c r="BB45" s="36">
        <v>11.105656836156015</v>
      </c>
      <c r="BC45" s="36">
        <v>0</v>
      </c>
      <c r="BD45" s="36">
        <v>0</v>
      </c>
      <c r="BE45" s="36">
        <v>46.462336611293026</v>
      </c>
      <c r="BF45" s="36">
        <v>3.3011364970003991</v>
      </c>
      <c r="BG45" s="36">
        <v>-8.4171403917387391</v>
      </c>
      <c r="BH45" s="40">
        <v>14.074648731887141</v>
      </c>
      <c r="BI45" s="36">
        <v>1.0753320906089858</v>
      </c>
      <c r="BJ45" s="36">
        <v>2.4849289043096614</v>
      </c>
      <c r="BK45" s="36">
        <v>0</v>
      </c>
      <c r="BL45" s="36">
        <v>3.1419664226065476</v>
      </c>
      <c r="BM45" s="36">
        <v>6.7022274175251955</v>
      </c>
      <c r="BN45" s="36">
        <v>35.35667977513701</v>
      </c>
      <c r="BO45" s="36">
        <v>0</v>
      </c>
      <c r="BP45" s="36">
        <v>11.105656836156015</v>
      </c>
      <c r="BQ45" s="36">
        <v>0</v>
      </c>
      <c r="BR45" s="36">
        <v>0</v>
      </c>
      <c r="BS45" s="36">
        <v>0</v>
      </c>
      <c r="BT45" s="36">
        <v>0</v>
      </c>
      <c r="BU45" s="36">
        <v>0</v>
      </c>
      <c r="BV45" s="36">
        <v>284.87895169005549</v>
      </c>
      <c r="BW45" s="36">
        <v>0</v>
      </c>
      <c r="BX45" s="36">
        <v>6.2144229231415418</v>
      </c>
      <c r="BY45" s="36"/>
      <c r="BZ45" s="36">
        <v>0</v>
      </c>
      <c r="CA45" s="36">
        <v>0</v>
      </c>
      <c r="CB45" s="36">
        <v>331.34128830134853</v>
      </c>
      <c r="CC45" s="36">
        <v>6.2144229231415418</v>
      </c>
      <c r="CD45" s="40">
        <v>53.318110530824228</v>
      </c>
      <c r="CE45" s="36">
        <v>-312.51585332214216</v>
      </c>
      <c r="CF45" s="36">
        <v>0.64815453637110443</v>
      </c>
      <c r="CG45" s="36">
        <v>0</v>
      </c>
      <c r="CH45" s="36">
        <v>0.64815453637110443</v>
      </c>
      <c r="CI45" s="36">
        <v>3.2407488071268531E-2</v>
      </c>
      <c r="CJ45" s="36">
        <v>0</v>
      </c>
      <c r="CK45" s="36">
        <v>3.2407488071268531E-2</v>
      </c>
      <c r="CL45" s="36"/>
      <c r="CM45" s="36">
        <v>0</v>
      </c>
      <c r="CN45" s="36"/>
      <c r="CO45" s="36">
        <v>0</v>
      </c>
      <c r="CP45" s="36">
        <v>0</v>
      </c>
      <c r="CQ45" s="36">
        <v>0</v>
      </c>
      <c r="CR45" s="36">
        <v>0</v>
      </c>
      <c r="CS45" s="36">
        <v>0</v>
      </c>
      <c r="CT45" s="36">
        <v>0</v>
      </c>
      <c r="CU45" s="36">
        <v>0</v>
      </c>
      <c r="CV45" s="36">
        <v>9999</v>
      </c>
      <c r="CW45" s="40">
        <v>9999</v>
      </c>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row>
    <row r="46" spans="1:131">
      <c r="A46" s="9"/>
      <c r="B46" s="9"/>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row>
    <row r="47" spans="1:131">
      <c r="A47" s="9"/>
      <c r="B47" s="9"/>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row>
    <row r="48" spans="1:131" ht="13.5" thickBot="1">
      <c r="A48" s="34" t="s">
        <v>532</v>
      </c>
      <c r="B48" s="35"/>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row>
    <row r="49" spans="1:131" ht="26.25" thickBot="1">
      <c r="A49" s="216" t="s">
        <v>435</v>
      </c>
      <c r="B49" s="217"/>
      <c r="C49" s="218" t="s">
        <v>436</v>
      </c>
      <c r="D49" s="219"/>
      <c r="E49" s="219"/>
      <c r="F49" s="219"/>
      <c r="G49" s="219"/>
      <c r="H49" s="219"/>
      <c r="I49" s="219"/>
      <c r="J49" s="219"/>
      <c r="K49" s="220"/>
      <c r="L49" s="218" t="s">
        <v>437</v>
      </c>
      <c r="M49" s="219"/>
      <c r="N49" s="219"/>
      <c r="O49" s="219"/>
      <c r="P49" s="219"/>
      <c r="Q49" s="220"/>
      <c r="R49" s="218" t="s">
        <v>438</v>
      </c>
      <c r="S49" s="219"/>
      <c r="T49" s="219"/>
      <c r="U49" s="220"/>
      <c r="V49" s="218" t="s">
        <v>439</v>
      </c>
      <c r="W49" s="219"/>
      <c r="X49" s="219"/>
      <c r="Y49" s="220"/>
      <c r="Z49" s="218" t="s">
        <v>440</v>
      </c>
      <c r="AA49" s="219"/>
      <c r="AB49" s="219"/>
      <c r="AC49" s="220"/>
      <c r="AD49" s="218" t="s">
        <v>441</v>
      </c>
      <c r="AE49" s="219"/>
      <c r="AF49" s="219"/>
      <c r="AG49" s="220"/>
      <c r="AH49" s="218" t="s">
        <v>442</v>
      </c>
      <c r="AI49" s="219"/>
      <c r="AJ49" s="219"/>
      <c r="AK49" s="219"/>
      <c r="AL49" s="220"/>
      <c r="AM49" s="218" t="s">
        <v>443</v>
      </c>
      <c r="AN49" s="219"/>
      <c r="AO49" s="219"/>
      <c r="AP49" s="219"/>
      <c r="AQ49" s="219"/>
      <c r="AR49" s="219"/>
      <c r="AS49" s="220"/>
      <c r="AT49" s="218" t="s">
        <v>444</v>
      </c>
      <c r="AU49" s="219"/>
      <c r="AV49" s="219"/>
      <c r="AW49" s="219"/>
      <c r="AX49" s="219"/>
      <c r="AY49" s="219"/>
      <c r="AZ49" s="220"/>
      <c r="BA49" s="218" t="s">
        <v>445</v>
      </c>
      <c r="BB49" s="219"/>
      <c r="BC49" s="219"/>
      <c r="BD49" s="219"/>
      <c r="BE49" s="219"/>
      <c r="BF49" s="220"/>
      <c r="BG49" s="218" t="s">
        <v>446</v>
      </c>
      <c r="BH49" s="220"/>
      <c r="BI49" s="218" t="s">
        <v>447</v>
      </c>
      <c r="BJ49" s="219"/>
      <c r="BK49" s="219"/>
      <c r="BL49" s="219"/>
      <c r="BM49" s="220"/>
      <c r="BN49" s="218" t="s">
        <v>448</v>
      </c>
      <c r="BO49" s="219"/>
      <c r="BP49" s="219"/>
      <c r="BQ49" s="219"/>
      <c r="BR49" s="219"/>
      <c r="BS49" s="219"/>
      <c r="BT49" s="219"/>
      <c r="BU49" s="219"/>
      <c r="BV49" s="219"/>
      <c r="BW49" s="219"/>
      <c r="BX49" s="219"/>
      <c r="BY49" s="219"/>
      <c r="BZ49" s="219"/>
      <c r="CA49" s="219"/>
      <c r="CB49" s="219"/>
      <c r="CC49" s="220"/>
      <c r="CD49" s="218" t="s">
        <v>449</v>
      </c>
      <c r="CE49" s="220"/>
      <c r="CF49" s="218" t="s">
        <v>450</v>
      </c>
      <c r="CG49" s="219"/>
      <c r="CH49" s="219"/>
      <c r="CI49" s="219"/>
      <c r="CJ49" s="219"/>
      <c r="CK49" s="220"/>
      <c r="CL49" s="221"/>
      <c r="CM49" s="218" t="s">
        <v>5</v>
      </c>
      <c r="CN49" s="219"/>
      <c r="CO49" s="219"/>
      <c r="CP49" s="220"/>
      <c r="CQ49" s="218" t="s">
        <v>451</v>
      </c>
      <c r="CR49" s="219"/>
      <c r="CS49" s="219"/>
      <c r="CT49" s="219"/>
      <c r="CU49" s="220"/>
      <c r="CV49" s="218" t="s">
        <v>452</v>
      </c>
      <c r="CW49" s="220"/>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row>
    <row r="50" spans="1:131" ht="204">
      <c r="A50" s="37" t="s">
        <v>21</v>
      </c>
      <c r="B50" s="38" t="s">
        <v>22</v>
      </c>
      <c r="C50" s="39" t="s">
        <v>242</v>
      </c>
      <c r="D50" s="39" t="s">
        <v>453</v>
      </c>
      <c r="E50" s="39" t="s">
        <v>454</v>
      </c>
      <c r="F50" s="39" t="s">
        <v>455</v>
      </c>
      <c r="G50" s="39" t="s">
        <v>456</v>
      </c>
      <c r="H50" s="39" t="s">
        <v>457</v>
      </c>
      <c r="I50" s="39" t="s">
        <v>458</v>
      </c>
      <c r="J50" s="39" t="s">
        <v>459</v>
      </c>
      <c r="K50" s="39" t="s">
        <v>460</v>
      </c>
      <c r="L50" s="39" t="s">
        <v>461</v>
      </c>
      <c r="M50" s="39" t="s">
        <v>462</v>
      </c>
      <c r="N50" s="39" t="s">
        <v>463</v>
      </c>
      <c r="O50" s="39" t="s">
        <v>464</v>
      </c>
      <c r="P50" s="39" t="s">
        <v>465</v>
      </c>
      <c r="Q50" s="39" t="s">
        <v>466</v>
      </c>
      <c r="R50" s="39" t="s">
        <v>467</v>
      </c>
      <c r="S50" s="39" t="s">
        <v>468</v>
      </c>
      <c r="T50" s="39" t="s">
        <v>469</v>
      </c>
      <c r="U50" s="39" t="s">
        <v>375</v>
      </c>
      <c r="V50" s="39" t="s">
        <v>467</v>
      </c>
      <c r="W50" s="39" t="s">
        <v>468</v>
      </c>
      <c r="X50" s="39" t="s">
        <v>469</v>
      </c>
      <c r="Y50" s="39" t="s">
        <v>375</v>
      </c>
      <c r="Z50" s="39" t="s">
        <v>467</v>
      </c>
      <c r="AA50" s="39" t="s">
        <v>468</v>
      </c>
      <c r="AB50" s="39" t="s">
        <v>469</v>
      </c>
      <c r="AC50" s="39" t="s">
        <v>375</v>
      </c>
      <c r="AD50" s="39" t="s">
        <v>467</v>
      </c>
      <c r="AE50" s="39" t="s">
        <v>468</v>
      </c>
      <c r="AF50" s="39" t="s">
        <v>469</v>
      </c>
      <c r="AG50" s="39" t="s">
        <v>375</v>
      </c>
      <c r="AH50" s="39" t="s">
        <v>467</v>
      </c>
      <c r="AI50" s="39" t="s">
        <v>468</v>
      </c>
      <c r="AJ50" s="39" t="s">
        <v>469</v>
      </c>
      <c r="AK50" s="39" t="s">
        <v>375</v>
      </c>
      <c r="AL50" s="39" t="s">
        <v>470</v>
      </c>
      <c r="AM50" s="39" t="s">
        <v>471</v>
      </c>
      <c r="AN50" s="39" t="s">
        <v>472</v>
      </c>
      <c r="AO50" s="39" t="s">
        <v>473</v>
      </c>
      <c r="AP50" s="39" t="s">
        <v>474</v>
      </c>
      <c r="AQ50" s="39" t="s">
        <v>475</v>
      </c>
      <c r="AR50" s="39" t="s">
        <v>476</v>
      </c>
      <c r="AS50" s="39" t="s">
        <v>477</v>
      </c>
      <c r="AT50" s="39" t="s">
        <v>478</v>
      </c>
      <c r="AU50" s="39" t="s">
        <v>479</v>
      </c>
      <c r="AV50" s="39" t="s">
        <v>480</v>
      </c>
      <c r="AW50" s="39" t="s">
        <v>481</v>
      </c>
      <c r="AX50" s="39" t="s">
        <v>482</v>
      </c>
      <c r="AY50" s="39" t="s">
        <v>483</v>
      </c>
      <c r="AZ50" s="39" t="s">
        <v>484</v>
      </c>
      <c r="BA50" s="39" t="s">
        <v>485</v>
      </c>
      <c r="BB50" s="39" t="s">
        <v>486</v>
      </c>
      <c r="BC50" s="39" t="s">
        <v>487</v>
      </c>
      <c r="BD50" s="39" t="s">
        <v>488</v>
      </c>
      <c r="BE50" s="39" t="s">
        <v>489</v>
      </c>
      <c r="BF50" s="39" t="s">
        <v>490</v>
      </c>
      <c r="BG50" s="39" t="s">
        <v>491</v>
      </c>
      <c r="BH50" s="39" t="s">
        <v>492</v>
      </c>
      <c r="BI50" s="39" t="s">
        <v>493</v>
      </c>
      <c r="BJ50" s="39" t="s">
        <v>494</v>
      </c>
      <c r="BK50" s="39" t="s">
        <v>495</v>
      </c>
      <c r="BL50" s="39" t="s">
        <v>496</v>
      </c>
      <c r="BM50" s="39" t="s">
        <v>497</v>
      </c>
      <c r="BN50" s="39" t="s">
        <v>498</v>
      </c>
      <c r="BO50" s="39" t="s">
        <v>499</v>
      </c>
      <c r="BP50" s="39" t="s">
        <v>500</v>
      </c>
      <c r="BQ50" s="39" t="s">
        <v>501</v>
      </c>
      <c r="BR50" s="39" t="s">
        <v>502</v>
      </c>
      <c r="BS50" s="39" t="s">
        <v>503</v>
      </c>
      <c r="BT50" s="39" t="s">
        <v>504</v>
      </c>
      <c r="BU50" s="39" t="s">
        <v>505</v>
      </c>
      <c r="BV50" s="39" t="s">
        <v>506</v>
      </c>
      <c r="BW50" s="39" t="s">
        <v>507</v>
      </c>
      <c r="BX50" s="39" t="s">
        <v>508</v>
      </c>
      <c r="BY50" s="39" t="s">
        <v>509</v>
      </c>
      <c r="BZ50" s="39" t="s">
        <v>510</v>
      </c>
      <c r="CA50" s="39" t="s">
        <v>511</v>
      </c>
      <c r="CB50" s="39" t="s">
        <v>512</v>
      </c>
      <c r="CC50" s="39" t="s">
        <v>513</v>
      </c>
      <c r="CD50" s="39" t="s">
        <v>23</v>
      </c>
      <c r="CE50" s="39" t="s">
        <v>24</v>
      </c>
      <c r="CF50" s="39" t="s">
        <v>514</v>
      </c>
      <c r="CG50" s="39" t="s">
        <v>515</v>
      </c>
      <c r="CH50" s="39" t="s">
        <v>516</v>
      </c>
      <c r="CI50" s="39" t="s">
        <v>517</v>
      </c>
      <c r="CJ50" s="39" t="s">
        <v>518</v>
      </c>
      <c r="CK50" s="39" t="s">
        <v>519</v>
      </c>
      <c r="CL50" s="39"/>
      <c r="CM50" s="39" t="s">
        <v>520</v>
      </c>
      <c r="CN50" s="39" t="s">
        <v>521</v>
      </c>
      <c r="CO50" s="39" t="s">
        <v>522</v>
      </c>
      <c r="CP50" s="39" t="s">
        <v>523</v>
      </c>
      <c r="CQ50" s="39" t="s">
        <v>524</v>
      </c>
      <c r="CR50" s="39" t="s">
        <v>525</v>
      </c>
      <c r="CS50" s="39" t="s">
        <v>526</v>
      </c>
      <c r="CT50" s="39" t="s">
        <v>527</v>
      </c>
      <c r="CU50" s="39" t="s">
        <v>528</v>
      </c>
      <c r="CV50" s="39" t="s">
        <v>529</v>
      </c>
      <c r="CW50" s="39" t="s">
        <v>530</v>
      </c>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row>
    <row r="51" spans="1:131">
      <c r="A51" s="9" t="s">
        <v>340</v>
      </c>
      <c r="B51" s="9"/>
      <c r="C51" s="36">
        <v>15</v>
      </c>
      <c r="D51" s="36">
        <v>67.296825260416369</v>
      </c>
      <c r="E51" s="36">
        <v>2.2907614903920233</v>
      </c>
      <c r="F51" s="36">
        <v>5</v>
      </c>
      <c r="G51" s="36">
        <v>0</v>
      </c>
      <c r="H51" s="36">
        <v>0</v>
      </c>
      <c r="I51" s="36"/>
      <c r="J51" s="36"/>
      <c r="K51" s="36"/>
      <c r="L51" s="36">
        <v>72.337106520484056</v>
      </c>
      <c r="M51" s="36">
        <v>1.3998939688222571E-2</v>
      </c>
      <c r="N51" s="36">
        <v>1.3897901619287584E-2</v>
      </c>
      <c r="O51" s="36">
        <v>2.3136691052959435</v>
      </c>
      <c r="P51" s="36">
        <v>0</v>
      </c>
      <c r="Q51" s="36">
        <v>0</v>
      </c>
      <c r="R51" s="36">
        <v>0.99706679251086117</v>
      </c>
      <c r="S51" s="36">
        <v>2.304069704489538</v>
      </c>
      <c r="T51" s="36">
        <v>0</v>
      </c>
      <c r="U51" s="36">
        <v>2.9132864261411426</v>
      </c>
      <c r="V51" s="36">
        <v>0.3</v>
      </c>
      <c r="W51" s="36">
        <v>0.7</v>
      </c>
      <c r="X51" s="36">
        <v>0</v>
      </c>
      <c r="Y51" s="36">
        <v>0</v>
      </c>
      <c r="Z51" s="36">
        <v>0</v>
      </c>
      <c r="AA51" s="36">
        <v>0</v>
      </c>
      <c r="AB51" s="36">
        <v>0</v>
      </c>
      <c r="AC51" s="36">
        <v>0</v>
      </c>
      <c r="AD51" s="36">
        <v>0</v>
      </c>
      <c r="AE51" s="36">
        <v>0</v>
      </c>
      <c r="AF51" s="36">
        <v>0</v>
      </c>
      <c r="AG51" s="36">
        <v>0</v>
      </c>
      <c r="AH51" s="36">
        <v>1.2970667925108612</v>
      </c>
      <c r="AI51" s="36">
        <v>3.0040697044895381</v>
      </c>
      <c r="AJ51" s="36">
        <v>0</v>
      </c>
      <c r="AK51" s="36">
        <v>2.9132864261411426</v>
      </c>
      <c r="AL51" s="36">
        <v>7.2144229231415418</v>
      </c>
      <c r="AM51" s="36">
        <v>37.349816301331977</v>
      </c>
      <c r="AN51" s="36">
        <v>4.9465041300080879</v>
      </c>
      <c r="AO51" s="36">
        <v>0</v>
      </c>
      <c r="AP51" s="36">
        <v>0</v>
      </c>
      <c r="AQ51" s="36">
        <v>42.296320431340064</v>
      </c>
      <c r="AR51" s="36">
        <v>1.2970667925108612</v>
      </c>
      <c r="AS51" s="40">
        <v>32.60920769505082</v>
      </c>
      <c r="AT51" s="36">
        <v>37.349816301331977</v>
      </c>
      <c r="AU51" s="36">
        <v>5.855187574007565</v>
      </c>
      <c r="AV51" s="36">
        <v>0</v>
      </c>
      <c r="AW51" s="36">
        <v>0</v>
      </c>
      <c r="AX51" s="36">
        <v>43.205003875339543</v>
      </c>
      <c r="AY51" s="36">
        <v>3.0040697044895381</v>
      </c>
      <c r="AZ51" s="40">
        <v>14.382157581353821</v>
      </c>
      <c r="BA51" s="36">
        <v>37.349816301331977</v>
      </c>
      <c r="BB51" s="36">
        <v>10.801691704015653</v>
      </c>
      <c r="BC51" s="36">
        <v>0</v>
      </c>
      <c r="BD51" s="36">
        <v>0</v>
      </c>
      <c r="BE51" s="36">
        <v>48.15150800534763</v>
      </c>
      <c r="BF51" s="36">
        <v>4.3011364970003996</v>
      </c>
      <c r="BG51" s="36">
        <v>-6.6124047981462422</v>
      </c>
      <c r="BH51" s="40">
        <v>11.195066243289036</v>
      </c>
      <c r="BI51" s="36">
        <v>1.3193843309044062</v>
      </c>
      <c r="BJ51" s="36">
        <v>3.0557582076213223</v>
      </c>
      <c r="BK51" s="36">
        <v>0</v>
      </c>
      <c r="BL51" s="36">
        <v>2.9634128976861724</v>
      </c>
      <c r="BM51" s="36">
        <v>7.3385554362119008</v>
      </c>
      <c r="BN51" s="36">
        <v>37.349816301331977</v>
      </c>
      <c r="BO51" s="36">
        <v>16.852873352448448</v>
      </c>
      <c r="BP51" s="36">
        <v>10.801691704015653</v>
      </c>
      <c r="BQ51" s="36">
        <v>0</v>
      </c>
      <c r="BR51" s="36">
        <v>0</v>
      </c>
      <c r="BS51" s="36">
        <v>0</v>
      </c>
      <c r="BT51" s="36">
        <v>0</v>
      </c>
      <c r="BU51" s="36">
        <v>0</v>
      </c>
      <c r="BV51" s="36">
        <v>284.87895169005549</v>
      </c>
      <c r="BW51" s="36">
        <v>0</v>
      </c>
      <c r="BX51" s="36">
        <v>6.2144229231415418</v>
      </c>
      <c r="BY51" s="36">
        <v>1</v>
      </c>
      <c r="BZ51" s="36">
        <v>0</v>
      </c>
      <c r="CA51" s="36">
        <v>0</v>
      </c>
      <c r="CB51" s="36">
        <v>349.88333304785158</v>
      </c>
      <c r="CC51" s="36">
        <v>7.2144229231415418</v>
      </c>
      <c r="CD51" s="40">
        <v>48.497757447174145</v>
      </c>
      <c r="CE51" s="36">
        <v>-310.57246291587876</v>
      </c>
      <c r="CF51" s="36">
        <v>0.68720895078705324</v>
      </c>
      <c r="CG51" s="36">
        <v>0.27069928531962539</v>
      </c>
      <c r="CH51" s="36">
        <v>0.95790823610667863</v>
      </c>
      <c r="CI51" s="36">
        <v>3.436012559722993E-2</v>
      </c>
      <c r="CJ51" s="36">
        <v>1.353496426598127E-2</v>
      </c>
      <c r="CK51" s="36">
        <v>4.7895089863211199E-2</v>
      </c>
      <c r="CL51" s="36"/>
      <c r="CM51" s="36">
        <v>2.3136691052959435</v>
      </c>
      <c r="CN51" s="36"/>
      <c r="CO51" s="36">
        <v>0</v>
      </c>
      <c r="CP51" s="36">
        <v>0</v>
      </c>
      <c r="CQ51" s="36">
        <v>16.852873352448448</v>
      </c>
      <c r="CR51" s="36">
        <v>0</v>
      </c>
      <c r="CS51" s="36">
        <v>0</v>
      </c>
      <c r="CT51" s="36">
        <v>16.852873352448448</v>
      </c>
      <c r="CU51" s="36">
        <v>0</v>
      </c>
      <c r="CV51" s="36">
        <v>0</v>
      </c>
      <c r="CW51" s="40">
        <v>9999</v>
      </c>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row>
    <row r="52" spans="1:131">
      <c r="A52" s="9" t="s">
        <v>341</v>
      </c>
      <c r="B52" s="9"/>
      <c r="C52" s="36">
        <v>15</v>
      </c>
      <c r="D52" s="36">
        <v>100.01429488880039</v>
      </c>
      <c r="E52" s="36">
        <v>0.52375677753916228</v>
      </c>
      <c r="F52" s="36">
        <v>5</v>
      </c>
      <c r="G52" s="36">
        <v>0</v>
      </c>
      <c r="H52" s="36">
        <v>0</v>
      </c>
      <c r="I52" s="36"/>
      <c r="J52" s="36"/>
      <c r="K52" s="36"/>
      <c r="L52" s="36">
        <v>107.50499261958046</v>
      </c>
      <c r="M52" s="36">
        <v>2.0804756787419384E-2</v>
      </c>
      <c r="N52" s="36">
        <v>2.0654597382687365E-2</v>
      </c>
      <c r="O52" s="36">
        <v>0.52899434531455392</v>
      </c>
      <c r="P52" s="36">
        <v>0</v>
      </c>
      <c r="Q52" s="36">
        <v>0</v>
      </c>
      <c r="R52" s="36">
        <v>0.99706679251086117</v>
      </c>
      <c r="S52" s="36">
        <v>2.304069704489538</v>
      </c>
      <c r="T52" s="36">
        <v>0</v>
      </c>
      <c r="U52" s="36">
        <v>2.9132864261411426</v>
      </c>
      <c r="V52" s="36">
        <v>0.3</v>
      </c>
      <c r="W52" s="36">
        <v>0.7</v>
      </c>
      <c r="X52" s="36">
        <v>0</v>
      </c>
      <c r="Y52" s="36">
        <v>0</v>
      </c>
      <c r="Z52" s="36">
        <v>0</v>
      </c>
      <c r="AA52" s="36">
        <v>0</v>
      </c>
      <c r="AB52" s="36">
        <v>0</v>
      </c>
      <c r="AC52" s="36">
        <v>0</v>
      </c>
      <c r="AD52" s="36">
        <v>0</v>
      </c>
      <c r="AE52" s="36">
        <v>0</v>
      </c>
      <c r="AF52" s="36">
        <v>0</v>
      </c>
      <c r="AG52" s="36">
        <v>0</v>
      </c>
      <c r="AH52" s="36">
        <v>1.2970667925108612</v>
      </c>
      <c r="AI52" s="36">
        <v>3.0040697044895381</v>
      </c>
      <c r="AJ52" s="36">
        <v>0</v>
      </c>
      <c r="AK52" s="36">
        <v>2.9132864261411426</v>
      </c>
      <c r="AL52" s="36">
        <v>7.2144229231415418</v>
      </c>
      <c r="AM52" s="36">
        <v>55.508050003083198</v>
      </c>
      <c r="AN52" s="36">
        <v>7.3513292909864845</v>
      </c>
      <c r="AO52" s="36">
        <v>0</v>
      </c>
      <c r="AP52" s="36">
        <v>0</v>
      </c>
      <c r="AQ52" s="36">
        <v>62.859379294069683</v>
      </c>
      <c r="AR52" s="36">
        <v>1.2970667925108612</v>
      </c>
      <c r="AS52" s="40">
        <v>48.462715765304985</v>
      </c>
      <c r="AT52" s="36">
        <v>55.508050003083198</v>
      </c>
      <c r="AU52" s="36">
        <v>8.7017842875937372</v>
      </c>
      <c r="AV52" s="36">
        <v>0</v>
      </c>
      <c r="AW52" s="36">
        <v>0</v>
      </c>
      <c r="AX52" s="36">
        <v>64.209834290676937</v>
      </c>
      <c r="AY52" s="36">
        <v>3.0040697044895381</v>
      </c>
      <c r="AZ52" s="40">
        <v>21.374282425842608</v>
      </c>
      <c r="BA52" s="36">
        <v>55.508050003083198</v>
      </c>
      <c r="BB52" s="36">
        <v>16.053113578580223</v>
      </c>
      <c r="BC52" s="36">
        <v>0</v>
      </c>
      <c r="BD52" s="36">
        <v>0</v>
      </c>
      <c r="BE52" s="36">
        <v>71.561163581663422</v>
      </c>
      <c r="BF52" s="36">
        <v>4.3011364970003996</v>
      </c>
      <c r="BG52" s="36">
        <v>-8.0436361364586215</v>
      </c>
      <c r="BH52" s="40">
        <v>16.637733685403841</v>
      </c>
      <c r="BI52" s="36">
        <v>0.88777686096698116</v>
      </c>
      <c r="BJ52" s="36">
        <v>2.0561343392463707</v>
      </c>
      <c r="BK52" s="36">
        <v>0</v>
      </c>
      <c r="BL52" s="36">
        <v>1.993997759738068</v>
      </c>
      <c r="BM52" s="36">
        <v>4.9379089599514199</v>
      </c>
      <c r="BN52" s="36">
        <v>55.508050003083198</v>
      </c>
      <c r="BO52" s="36">
        <v>3.8532194103906723</v>
      </c>
      <c r="BP52" s="36">
        <v>16.053113578580223</v>
      </c>
      <c r="BQ52" s="36">
        <v>0</v>
      </c>
      <c r="BR52" s="36">
        <v>0</v>
      </c>
      <c r="BS52" s="36">
        <v>0</v>
      </c>
      <c r="BT52" s="36">
        <v>0</v>
      </c>
      <c r="BU52" s="36">
        <v>0</v>
      </c>
      <c r="BV52" s="36">
        <v>262.88462086104391</v>
      </c>
      <c r="BW52" s="36">
        <v>0</v>
      </c>
      <c r="BX52" s="36">
        <v>6.2144229231415418</v>
      </c>
      <c r="BY52" s="36">
        <v>1</v>
      </c>
      <c r="BZ52" s="36">
        <v>0</v>
      </c>
      <c r="CA52" s="36">
        <v>0</v>
      </c>
      <c r="CB52" s="36">
        <v>338.29900385309804</v>
      </c>
      <c r="CC52" s="36">
        <v>7.2144229231415418</v>
      </c>
      <c r="CD52" s="40">
        <v>46.892039385152202</v>
      </c>
      <c r="CE52" s="36">
        <v>-188.61824926443111</v>
      </c>
      <c r="CF52" s="36">
        <v>1.0213069990787009</v>
      </c>
      <c r="CG52" s="36">
        <v>6.1892338401802728E-2</v>
      </c>
      <c r="CH52" s="36">
        <v>1.0831993374805036</v>
      </c>
      <c r="CI52" s="36">
        <v>5.1064871494300723E-2</v>
      </c>
      <c r="CJ52" s="36">
        <v>3.0946169200901396E-3</v>
      </c>
      <c r="CK52" s="36">
        <v>5.4159488414390861E-2</v>
      </c>
      <c r="CL52" s="36"/>
      <c r="CM52" s="36">
        <v>0.52899434531455392</v>
      </c>
      <c r="CN52" s="36"/>
      <c r="CO52" s="36">
        <v>0</v>
      </c>
      <c r="CP52" s="36">
        <v>0</v>
      </c>
      <c r="CQ52" s="36">
        <v>3.8532194103906723</v>
      </c>
      <c r="CR52" s="36">
        <v>0</v>
      </c>
      <c r="CS52" s="36">
        <v>0</v>
      </c>
      <c r="CT52" s="36">
        <v>3.8532194103906723</v>
      </c>
      <c r="CU52" s="36">
        <v>0</v>
      </c>
      <c r="CV52" s="36">
        <v>0</v>
      </c>
      <c r="CW52" s="40">
        <v>9999</v>
      </c>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row>
    <row r="53" spans="1:131">
      <c r="A53" s="9" t="s">
        <v>290</v>
      </c>
      <c r="B53" s="9"/>
      <c r="C53" s="36">
        <v>15</v>
      </c>
      <c r="D53" s="36">
        <v>63.424705497648468</v>
      </c>
      <c r="E53" s="36">
        <v>0</v>
      </c>
      <c r="F53" s="36">
        <v>5</v>
      </c>
      <c r="G53" s="36">
        <v>0</v>
      </c>
      <c r="H53" s="36">
        <v>0</v>
      </c>
      <c r="I53" s="36"/>
      <c r="J53" s="36"/>
      <c r="K53" s="36"/>
      <c r="L53" s="36">
        <v>68.226290676354807</v>
      </c>
      <c r="M53" s="36">
        <v>1.4392877014777969E-2</v>
      </c>
      <c r="N53" s="36">
        <v>1.4288995682878568E-2</v>
      </c>
      <c r="O53" s="36">
        <v>0</v>
      </c>
      <c r="P53" s="36">
        <v>0</v>
      </c>
      <c r="Q53" s="36">
        <v>0</v>
      </c>
      <c r="R53" s="36">
        <v>0.99706679251086117</v>
      </c>
      <c r="S53" s="36">
        <v>2.304069704489538</v>
      </c>
      <c r="T53" s="36">
        <v>0</v>
      </c>
      <c r="U53" s="36">
        <v>2.9132864261411426</v>
      </c>
      <c r="V53" s="36">
        <v>0.3</v>
      </c>
      <c r="W53" s="36">
        <v>0.7</v>
      </c>
      <c r="X53" s="36">
        <v>0</v>
      </c>
      <c r="Y53" s="36">
        <v>0</v>
      </c>
      <c r="Z53" s="36">
        <v>0</v>
      </c>
      <c r="AA53" s="36">
        <v>0</v>
      </c>
      <c r="AB53" s="36">
        <v>0</v>
      </c>
      <c r="AC53" s="36">
        <v>0</v>
      </c>
      <c r="AD53" s="36">
        <v>0</v>
      </c>
      <c r="AE53" s="36">
        <v>0</v>
      </c>
      <c r="AF53" s="36">
        <v>0</v>
      </c>
      <c r="AG53" s="36">
        <v>0</v>
      </c>
      <c r="AH53" s="36">
        <v>1.2970667925108612</v>
      </c>
      <c r="AI53" s="36">
        <v>3.0040697044895381</v>
      </c>
      <c r="AJ53" s="36">
        <v>0</v>
      </c>
      <c r="AK53" s="36">
        <v>2.9132864261411426</v>
      </c>
      <c r="AL53" s="36">
        <v>7.2144229231415418</v>
      </c>
      <c r="AM53" s="36">
        <v>35.35667977513701</v>
      </c>
      <c r="AN53" s="36">
        <v>5.0857012875192389</v>
      </c>
      <c r="AO53" s="36">
        <v>0</v>
      </c>
      <c r="AP53" s="36">
        <v>0</v>
      </c>
      <c r="AQ53" s="36">
        <v>40.442381062656253</v>
      </c>
      <c r="AR53" s="36">
        <v>1.2970667925108612</v>
      </c>
      <c r="AS53" s="40">
        <v>31.179875466835377</v>
      </c>
      <c r="AT53" s="36">
        <v>35.35667977513701</v>
      </c>
      <c r="AU53" s="36">
        <v>6.0199555486367773</v>
      </c>
      <c r="AV53" s="36">
        <v>0</v>
      </c>
      <c r="AW53" s="36">
        <v>0</v>
      </c>
      <c r="AX53" s="36">
        <v>41.37663532377379</v>
      </c>
      <c r="AY53" s="36">
        <v>3.0040697044895381</v>
      </c>
      <c r="AZ53" s="40">
        <v>13.773527046305555</v>
      </c>
      <c r="BA53" s="36">
        <v>35.35667977513701</v>
      </c>
      <c r="BB53" s="36">
        <v>11.105656836156015</v>
      </c>
      <c r="BC53" s="36">
        <v>0</v>
      </c>
      <c r="BD53" s="36">
        <v>0</v>
      </c>
      <c r="BE53" s="36">
        <v>46.462336611293026</v>
      </c>
      <c r="BF53" s="36">
        <v>4.3011364970003996</v>
      </c>
      <c r="BG53" s="36">
        <v>-7.3386448499295165</v>
      </c>
      <c r="BH53" s="40">
        <v>10.802339484853766</v>
      </c>
      <c r="BI53" s="36">
        <v>1.3988807531517529</v>
      </c>
      <c r="BJ53" s="36">
        <v>3.2398757835761183</v>
      </c>
      <c r="BK53" s="36">
        <v>0</v>
      </c>
      <c r="BL53" s="36">
        <v>3.1419664226065476</v>
      </c>
      <c r="BM53" s="36">
        <v>7.780722959334418</v>
      </c>
      <c r="BN53" s="36">
        <v>35.35667977513701</v>
      </c>
      <c r="BO53" s="36">
        <v>0</v>
      </c>
      <c r="BP53" s="36">
        <v>11.105656836156015</v>
      </c>
      <c r="BQ53" s="36">
        <v>0</v>
      </c>
      <c r="BR53" s="36">
        <v>0</v>
      </c>
      <c r="BS53" s="36">
        <v>0</v>
      </c>
      <c r="BT53" s="36">
        <v>0</v>
      </c>
      <c r="BU53" s="36">
        <v>0</v>
      </c>
      <c r="BV53" s="36">
        <v>284.87895169005549</v>
      </c>
      <c r="BW53" s="36">
        <v>0</v>
      </c>
      <c r="BX53" s="36">
        <v>6.2144229231415418</v>
      </c>
      <c r="BY53" s="36">
        <v>1</v>
      </c>
      <c r="BZ53" s="36">
        <v>0</v>
      </c>
      <c r="CA53" s="36">
        <v>0</v>
      </c>
      <c r="CB53" s="36">
        <v>331.34128830134853</v>
      </c>
      <c r="CC53" s="36">
        <v>7.2144229231415418</v>
      </c>
      <c r="CD53" s="40">
        <v>45.92762190840137</v>
      </c>
      <c r="CE53" s="36">
        <v>-311.43735778033295</v>
      </c>
      <c r="CF53" s="36">
        <v>0.64815453637110443</v>
      </c>
      <c r="CG53" s="36">
        <v>0</v>
      </c>
      <c r="CH53" s="36">
        <v>0.64815453637110443</v>
      </c>
      <c r="CI53" s="36">
        <v>3.2407488071268531E-2</v>
      </c>
      <c r="CJ53" s="36">
        <v>0</v>
      </c>
      <c r="CK53" s="36">
        <v>3.2407488071268531E-2</v>
      </c>
      <c r="CL53" s="36"/>
      <c r="CM53" s="36">
        <v>0</v>
      </c>
      <c r="CN53" s="36"/>
      <c r="CO53" s="36">
        <v>0</v>
      </c>
      <c r="CP53" s="36">
        <v>0</v>
      </c>
      <c r="CQ53" s="36">
        <v>0</v>
      </c>
      <c r="CR53" s="36">
        <v>0</v>
      </c>
      <c r="CS53" s="36">
        <v>0</v>
      </c>
      <c r="CT53" s="36">
        <v>0</v>
      </c>
      <c r="CU53" s="36">
        <v>0</v>
      </c>
      <c r="CV53" s="36">
        <v>9999</v>
      </c>
      <c r="CW53" s="40">
        <v>9999</v>
      </c>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row>
    <row r="54" spans="1:131">
      <c r="A54" s="9" t="s">
        <v>342</v>
      </c>
      <c r="B54" s="9"/>
      <c r="C54" s="36">
        <v>14.999999999999998</v>
      </c>
      <c r="D54" s="36">
        <v>81.496283275721595</v>
      </c>
      <c r="E54" s="36">
        <v>0.191297834544292</v>
      </c>
      <c r="F54" s="36">
        <v>5</v>
      </c>
      <c r="G54" s="36">
        <v>0</v>
      </c>
      <c r="H54" s="36">
        <v>0</v>
      </c>
      <c r="I54" s="36"/>
      <c r="J54" s="36"/>
      <c r="K54" s="36"/>
      <c r="L54" s="36">
        <v>87.60005099091866</v>
      </c>
      <c r="M54" s="36">
        <v>1.6952680159522726E-2</v>
      </c>
      <c r="N54" s="36">
        <v>1.6830323316451838E-2</v>
      </c>
      <c r="O54" s="36">
        <v>0.19321081288973493</v>
      </c>
      <c r="P54" s="36">
        <v>0</v>
      </c>
      <c r="Q54" s="36">
        <v>0</v>
      </c>
      <c r="R54" s="36">
        <v>0.99706679251086117</v>
      </c>
      <c r="S54" s="36">
        <v>2.304069704489538</v>
      </c>
      <c r="T54" s="36">
        <v>0</v>
      </c>
      <c r="U54" s="36">
        <v>2.9132864261411426</v>
      </c>
      <c r="V54" s="36">
        <v>0.3</v>
      </c>
      <c r="W54" s="36">
        <v>0.7</v>
      </c>
      <c r="X54" s="36">
        <v>0</v>
      </c>
      <c r="Y54" s="36">
        <v>0</v>
      </c>
      <c r="Z54" s="36">
        <v>0</v>
      </c>
      <c r="AA54" s="36">
        <v>0</v>
      </c>
      <c r="AB54" s="36">
        <v>0</v>
      </c>
      <c r="AC54" s="36">
        <v>0</v>
      </c>
      <c r="AD54" s="36">
        <v>0</v>
      </c>
      <c r="AE54" s="36">
        <v>0</v>
      </c>
      <c r="AF54" s="36">
        <v>0</v>
      </c>
      <c r="AG54" s="36">
        <v>0</v>
      </c>
      <c r="AH54" s="36">
        <v>1.2970667925108612</v>
      </c>
      <c r="AI54" s="36">
        <v>3.0040697044895381</v>
      </c>
      <c r="AJ54" s="36">
        <v>0</v>
      </c>
      <c r="AK54" s="36">
        <v>2.9132864261411426</v>
      </c>
      <c r="AL54" s="36">
        <v>7.2144229231415418</v>
      </c>
      <c r="AM54" s="36">
        <v>45.230532017086219</v>
      </c>
      <c r="AN54" s="36">
        <v>5.9902038505340895</v>
      </c>
      <c r="AO54" s="36">
        <v>0</v>
      </c>
      <c r="AP54" s="36">
        <v>0</v>
      </c>
      <c r="AQ54" s="36">
        <v>51.220735867620306</v>
      </c>
      <c r="AR54" s="36">
        <v>1.2970667925108612</v>
      </c>
      <c r="AS54" s="40">
        <v>39.489667119198415</v>
      </c>
      <c r="AT54" s="36">
        <v>45.230532017086219</v>
      </c>
      <c r="AU54" s="36">
        <v>7.0906171772188777</v>
      </c>
      <c r="AV54" s="36">
        <v>0</v>
      </c>
      <c r="AW54" s="36">
        <v>0</v>
      </c>
      <c r="AX54" s="36">
        <v>52.321149194305093</v>
      </c>
      <c r="AY54" s="36">
        <v>3.0040697044895381</v>
      </c>
      <c r="AZ54" s="40">
        <v>17.416756048007777</v>
      </c>
      <c r="BA54" s="36">
        <v>45.230532017086219</v>
      </c>
      <c r="BB54" s="36">
        <v>13.080821027752968</v>
      </c>
      <c r="BC54" s="36">
        <v>0</v>
      </c>
      <c r="BD54" s="36">
        <v>0</v>
      </c>
      <c r="BE54" s="36">
        <v>58.31135304483918</v>
      </c>
      <c r="BF54" s="36">
        <v>4.3011364970003996</v>
      </c>
      <c r="BG54" s="36">
        <v>-7.3747052404448032</v>
      </c>
      <c r="BH54" s="40">
        <v>13.557196588740059</v>
      </c>
      <c r="BI54" s="36">
        <v>1.0895021613170495</v>
      </c>
      <c r="BJ54" s="36">
        <v>2.5233399349101102</v>
      </c>
      <c r="BK54" s="36">
        <v>0</v>
      </c>
      <c r="BL54" s="36">
        <v>2.4470843569066392</v>
      </c>
      <c r="BM54" s="36">
        <v>6.059926453133798</v>
      </c>
      <c r="BN54" s="36">
        <v>45.230532017086219</v>
      </c>
      <c r="BO54" s="36">
        <v>1.4073565457139203</v>
      </c>
      <c r="BP54" s="36">
        <v>13.080821027752968</v>
      </c>
      <c r="BQ54" s="36">
        <v>0</v>
      </c>
      <c r="BR54" s="36">
        <v>0</v>
      </c>
      <c r="BS54" s="36">
        <v>0</v>
      </c>
      <c r="BT54" s="36">
        <v>0</v>
      </c>
      <c r="BU54" s="36">
        <v>0</v>
      </c>
      <c r="BV54" s="36">
        <v>201.09102472239206</v>
      </c>
      <c r="BW54" s="36">
        <v>0</v>
      </c>
      <c r="BX54" s="36">
        <v>6.2144229231415418</v>
      </c>
      <c r="BY54" s="36">
        <v>1</v>
      </c>
      <c r="BZ54" s="36">
        <v>0</v>
      </c>
      <c r="CA54" s="36">
        <v>0</v>
      </c>
      <c r="CB54" s="36">
        <v>260.80973431294518</v>
      </c>
      <c r="CC54" s="36">
        <v>7.2144229231415418</v>
      </c>
      <c r="CD54" s="40">
        <v>36.151156799575979</v>
      </c>
      <c r="CE54" s="36">
        <v>-175.02096174204908</v>
      </c>
      <c r="CF54" s="36">
        <v>0.83220828183547335</v>
      </c>
      <c r="CG54" s="36">
        <v>2.2605665108099013E-2</v>
      </c>
      <c r="CH54" s="36">
        <v>0.85481394694357238</v>
      </c>
      <c r="CI54" s="36">
        <v>4.161002422068636E-2</v>
      </c>
      <c r="CJ54" s="36">
        <v>1.1302832554049491E-3</v>
      </c>
      <c r="CK54" s="36">
        <v>4.274030747609131E-2</v>
      </c>
      <c r="CL54" s="36"/>
      <c r="CM54" s="36">
        <v>0.19321081288973493</v>
      </c>
      <c r="CN54" s="36"/>
      <c r="CO54" s="36">
        <v>0</v>
      </c>
      <c r="CP54" s="36">
        <v>0</v>
      </c>
      <c r="CQ54" s="36">
        <v>1.4073565457139203</v>
      </c>
      <c r="CR54" s="36">
        <v>0</v>
      </c>
      <c r="CS54" s="36">
        <v>0</v>
      </c>
      <c r="CT54" s="36">
        <v>1.4073565457139203</v>
      </c>
      <c r="CU54" s="36">
        <v>0</v>
      </c>
      <c r="CV54" s="36">
        <v>0</v>
      </c>
      <c r="CW54" s="40">
        <v>9999</v>
      </c>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row>
    <row r="55" spans="1:131">
      <c r="A55" s="9" t="s">
        <v>343</v>
      </c>
      <c r="B55" s="9"/>
      <c r="C55" s="36">
        <v>14.999999999999998</v>
      </c>
      <c r="D55" s="36">
        <v>81.496283275721595</v>
      </c>
      <c r="E55" s="36">
        <v>0.191297834544292</v>
      </c>
      <c r="F55" s="36">
        <v>5</v>
      </c>
      <c r="G55" s="36">
        <v>0</v>
      </c>
      <c r="H55" s="36">
        <v>0</v>
      </c>
      <c r="I55" s="36"/>
      <c r="J55" s="36"/>
      <c r="K55" s="36"/>
      <c r="L55" s="36">
        <v>87.60005099091866</v>
      </c>
      <c r="M55" s="36">
        <v>1.6952680159522726E-2</v>
      </c>
      <c r="N55" s="36">
        <v>1.6830323316451838E-2</v>
      </c>
      <c r="O55" s="36">
        <v>0.19321081288973493</v>
      </c>
      <c r="P55" s="36">
        <v>0</v>
      </c>
      <c r="Q55" s="36">
        <v>0</v>
      </c>
      <c r="R55" s="36">
        <v>0.99706679251086117</v>
      </c>
      <c r="S55" s="36">
        <v>2.304069704489538</v>
      </c>
      <c r="T55" s="36">
        <v>0</v>
      </c>
      <c r="U55" s="36">
        <v>2.9132864261411426</v>
      </c>
      <c r="V55" s="36">
        <v>0.3</v>
      </c>
      <c r="W55" s="36">
        <v>0.7</v>
      </c>
      <c r="X55" s="36">
        <v>0</v>
      </c>
      <c r="Y55" s="36">
        <v>0</v>
      </c>
      <c r="Z55" s="36">
        <v>0</v>
      </c>
      <c r="AA55" s="36">
        <v>0</v>
      </c>
      <c r="AB55" s="36">
        <v>0</v>
      </c>
      <c r="AC55" s="36">
        <v>0</v>
      </c>
      <c r="AD55" s="36">
        <v>0</v>
      </c>
      <c r="AE55" s="36">
        <v>0</v>
      </c>
      <c r="AF55" s="36">
        <v>0</v>
      </c>
      <c r="AG55" s="36">
        <v>0</v>
      </c>
      <c r="AH55" s="36">
        <v>1.2970667925108612</v>
      </c>
      <c r="AI55" s="36">
        <v>3.0040697044895381</v>
      </c>
      <c r="AJ55" s="36">
        <v>0</v>
      </c>
      <c r="AK55" s="36">
        <v>2.9132864261411426</v>
      </c>
      <c r="AL55" s="36">
        <v>7.2144229231415418</v>
      </c>
      <c r="AM55" s="36">
        <v>45.230532017086219</v>
      </c>
      <c r="AN55" s="36">
        <v>5.9902038505340895</v>
      </c>
      <c r="AO55" s="36">
        <v>0</v>
      </c>
      <c r="AP55" s="36">
        <v>0</v>
      </c>
      <c r="AQ55" s="36">
        <v>51.220735867620306</v>
      </c>
      <c r="AR55" s="36">
        <v>1.2970667925108612</v>
      </c>
      <c r="AS55" s="40">
        <v>39.489667119198415</v>
      </c>
      <c r="AT55" s="36">
        <v>45.230532017086219</v>
      </c>
      <c r="AU55" s="36">
        <v>7.0906171772188777</v>
      </c>
      <c r="AV55" s="36">
        <v>0</v>
      </c>
      <c r="AW55" s="36">
        <v>0</v>
      </c>
      <c r="AX55" s="36">
        <v>52.321149194305093</v>
      </c>
      <c r="AY55" s="36">
        <v>3.0040697044895381</v>
      </c>
      <c r="AZ55" s="40">
        <v>17.416756048007777</v>
      </c>
      <c r="BA55" s="36">
        <v>45.230532017086219</v>
      </c>
      <c r="BB55" s="36">
        <v>13.080821027752968</v>
      </c>
      <c r="BC55" s="36">
        <v>0</v>
      </c>
      <c r="BD55" s="36">
        <v>0</v>
      </c>
      <c r="BE55" s="36">
        <v>58.31135304483918</v>
      </c>
      <c r="BF55" s="36">
        <v>4.3011364970003996</v>
      </c>
      <c r="BG55" s="36">
        <v>-7.3747052404448032</v>
      </c>
      <c r="BH55" s="40">
        <v>13.557196588740059</v>
      </c>
      <c r="BI55" s="36">
        <v>1.0895021613170495</v>
      </c>
      <c r="BJ55" s="36">
        <v>2.5233399349101102</v>
      </c>
      <c r="BK55" s="36">
        <v>0</v>
      </c>
      <c r="BL55" s="36">
        <v>2.4470843569066392</v>
      </c>
      <c r="BM55" s="36">
        <v>6.059926453133798</v>
      </c>
      <c r="BN55" s="36">
        <v>45.230532017086219</v>
      </c>
      <c r="BO55" s="36">
        <v>1.4073565457139203</v>
      </c>
      <c r="BP55" s="36">
        <v>13.080821027752968</v>
      </c>
      <c r="BQ55" s="36">
        <v>0</v>
      </c>
      <c r="BR55" s="36">
        <v>0</v>
      </c>
      <c r="BS55" s="36">
        <v>0</v>
      </c>
      <c r="BT55" s="36">
        <v>0</v>
      </c>
      <c r="BU55" s="36">
        <v>0</v>
      </c>
      <c r="BV55" s="36">
        <v>201.09102472239206</v>
      </c>
      <c r="BW55" s="36">
        <v>0</v>
      </c>
      <c r="BX55" s="36">
        <v>6.2144229231415418</v>
      </c>
      <c r="BY55" s="36">
        <v>1</v>
      </c>
      <c r="BZ55" s="36">
        <v>0</v>
      </c>
      <c r="CA55" s="36">
        <v>0</v>
      </c>
      <c r="CB55" s="36">
        <v>260.80973431294518</v>
      </c>
      <c r="CC55" s="36">
        <v>7.2144229231415418</v>
      </c>
      <c r="CD55" s="40">
        <v>36.151156799575979</v>
      </c>
      <c r="CE55" s="36">
        <v>-175.02096174204908</v>
      </c>
      <c r="CF55" s="36">
        <v>0.83220828183547335</v>
      </c>
      <c r="CG55" s="36">
        <v>2.2605665108099013E-2</v>
      </c>
      <c r="CH55" s="36">
        <v>0.85481394694357238</v>
      </c>
      <c r="CI55" s="36">
        <v>4.161002422068636E-2</v>
      </c>
      <c r="CJ55" s="36">
        <v>1.1302832554049491E-3</v>
      </c>
      <c r="CK55" s="36">
        <v>4.274030747609131E-2</v>
      </c>
      <c r="CL55" s="36"/>
      <c r="CM55" s="36">
        <v>0.19321081288973493</v>
      </c>
      <c r="CN55" s="36"/>
      <c r="CO55" s="36">
        <v>0</v>
      </c>
      <c r="CP55" s="36">
        <v>0</v>
      </c>
      <c r="CQ55" s="36">
        <v>1.4073565457139203</v>
      </c>
      <c r="CR55" s="36">
        <v>0</v>
      </c>
      <c r="CS55" s="36">
        <v>0</v>
      </c>
      <c r="CT55" s="36">
        <v>1.4073565457139203</v>
      </c>
      <c r="CU55" s="36">
        <v>0</v>
      </c>
      <c r="CV55" s="36">
        <v>0</v>
      </c>
      <c r="CW55" s="40">
        <v>9999</v>
      </c>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row>
    <row r="56" spans="1:131">
      <c r="A56" s="9"/>
      <c r="B56" s="9"/>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row>
    <row r="57" spans="1:131">
      <c r="A57" s="9"/>
      <c r="B57" s="9"/>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row>
    <row r="58" spans="1:131" ht="13.5" thickBot="1">
      <c r="A58" s="34" t="s">
        <v>533</v>
      </c>
      <c r="B58" s="35"/>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row>
    <row r="59" spans="1:131" ht="13.5" thickBot="1">
      <c r="A59" s="223" t="s">
        <v>534</v>
      </c>
      <c r="B59" s="224"/>
      <c r="C59" s="225"/>
      <c r="D59" s="225"/>
      <c r="E59" s="225"/>
      <c r="F59" s="225"/>
      <c r="G59" s="225"/>
      <c r="H59" s="225"/>
      <c r="I59" s="225"/>
      <c r="J59" s="225"/>
      <c r="K59" s="225"/>
      <c r="L59" s="41"/>
      <c r="M59" s="226"/>
      <c r="N59" s="227" t="s">
        <v>535</v>
      </c>
      <c r="O59" s="225"/>
      <c r="P59" s="225"/>
      <c r="Q59" s="225"/>
      <c r="R59" s="225"/>
      <c r="S59" s="225"/>
      <c r="T59" s="225"/>
      <c r="U59" s="225"/>
      <c r="V59" s="225"/>
      <c r="W59" s="225"/>
      <c r="X59" s="225"/>
      <c r="Y59" s="41"/>
      <c r="Z59" s="226"/>
      <c r="AA59" s="227" t="s">
        <v>536</v>
      </c>
      <c r="AB59" s="225"/>
      <c r="AC59" s="225"/>
      <c r="AD59" s="225"/>
      <c r="AE59" s="225"/>
      <c r="AF59" s="225"/>
      <c r="AG59" s="225"/>
      <c r="AH59" s="225"/>
      <c r="AI59" s="225"/>
      <c r="AJ59" s="225"/>
      <c r="AK59" s="225"/>
      <c r="AL59" s="41"/>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row>
    <row r="60" spans="1:131" ht="191.25">
      <c r="A60" s="37"/>
      <c r="B60" s="38" t="s">
        <v>537</v>
      </c>
      <c r="C60" s="39" t="s">
        <v>538</v>
      </c>
      <c r="D60" s="39" t="s">
        <v>25</v>
      </c>
      <c r="E60" s="39" t="s">
        <v>26</v>
      </c>
      <c r="F60" s="39" t="s">
        <v>27</v>
      </c>
      <c r="G60" s="39" t="s">
        <v>28</v>
      </c>
      <c r="H60" s="39" t="s">
        <v>29</v>
      </c>
      <c r="I60" s="39" t="s">
        <v>30</v>
      </c>
      <c r="J60" s="39" t="s">
        <v>31</v>
      </c>
      <c r="K60" s="39" t="s">
        <v>24</v>
      </c>
      <c r="L60" s="39" t="s">
        <v>23</v>
      </c>
      <c r="M60" s="39" t="s">
        <v>32</v>
      </c>
      <c r="N60" s="39" t="s">
        <v>33</v>
      </c>
      <c r="O60" s="39" t="s">
        <v>34</v>
      </c>
      <c r="P60" s="39" t="s">
        <v>35</v>
      </c>
      <c r="Q60" s="39" t="s">
        <v>36</v>
      </c>
      <c r="R60" s="39" t="s">
        <v>37</v>
      </c>
      <c r="S60" s="39" t="s">
        <v>38</v>
      </c>
      <c r="T60" s="39" t="s">
        <v>39</v>
      </c>
      <c r="U60" s="39" t="s">
        <v>40</v>
      </c>
      <c r="V60" s="39" t="s">
        <v>41</v>
      </c>
      <c r="W60" s="39" t="s">
        <v>42</v>
      </c>
      <c r="X60" s="39" t="s">
        <v>43</v>
      </c>
      <c r="Y60" s="39" t="s">
        <v>44</v>
      </c>
      <c r="Z60" s="39"/>
      <c r="AA60" s="39" t="s">
        <v>33</v>
      </c>
      <c r="AB60" s="39" t="s">
        <v>34</v>
      </c>
      <c r="AC60" s="39" t="s">
        <v>35</v>
      </c>
      <c r="AD60" s="39" t="s">
        <v>36</v>
      </c>
      <c r="AE60" s="39" t="s">
        <v>37</v>
      </c>
      <c r="AF60" s="39" t="s">
        <v>38</v>
      </c>
      <c r="AG60" s="39" t="s">
        <v>39</v>
      </c>
      <c r="AH60" s="39" t="s">
        <v>40</v>
      </c>
      <c r="AI60" s="39" t="s">
        <v>41</v>
      </c>
      <c r="AJ60" s="39" t="s">
        <v>42</v>
      </c>
      <c r="AK60" s="39" t="s">
        <v>43</v>
      </c>
      <c r="AL60" s="39" t="s">
        <v>44</v>
      </c>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row>
    <row r="61" spans="1:131">
      <c r="A61" s="9"/>
      <c r="B61" s="50" t="s">
        <v>539</v>
      </c>
      <c r="C61" s="228">
        <v>423.2684917982566</v>
      </c>
      <c r="D61" s="228">
        <v>25</v>
      </c>
      <c r="E61" s="228">
        <v>0</v>
      </c>
      <c r="F61" s="228">
        <v>25</v>
      </c>
      <c r="G61" s="228">
        <v>31.072114615707708</v>
      </c>
      <c r="H61" s="228">
        <v>1541.1430938281883</v>
      </c>
      <c r="I61" s="228">
        <v>517.40208459547341</v>
      </c>
      <c r="J61" s="228">
        <v>-8.2777237620406314</v>
      </c>
      <c r="K61" s="228">
        <v>-224.49847665453737</v>
      </c>
      <c r="L61" s="40">
        <v>49.414526358892132</v>
      </c>
      <c r="M61" s="36">
        <v>4.3988900038454313</v>
      </c>
      <c r="N61" s="42">
        <v>28.777933528865912</v>
      </c>
      <c r="O61" s="42">
        <v>25.80899007081328</v>
      </c>
      <c r="P61" s="42">
        <v>29.541303991597701</v>
      </c>
      <c r="Q61" s="42">
        <v>25.178224345104685</v>
      </c>
      <c r="R61" s="42">
        <v>23.498894389661054</v>
      </c>
      <c r="S61" s="42">
        <v>22.460453097477941</v>
      </c>
      <c r="T61" s="42">
        <v>19.03137555646834</v>
      </c>
      <c r="U61" s="42">
        <v>19.838101637225225</v>
      </c>
      <c r="V61" s="42">
        <v>18.751973326133395</v>
      </c>
      <c r="W61" s="42">
        <v>22.981732792742303</v>
      </c>
      <c r="X61" s="42">
        <v>23.834576983551027</v>
      </c>
      <c r="Y61" s="42">
        <v>28.47188580664336</v>
      </c>
      <c r="Z61" s="42"/>
      <c r="AA61" s="42">
        <v>14.567688601095904</v>
      </c>
      <c r="AB61" s="42">
        <v>12.214929967361998</v>
      </c>
      <c r="AC61" s="42">
        <v>11.572347921923663</v>
      </c>
      <c r="AD61" s="42">
        <v>11.803884332557635</v>
      </c>
      <c r="AE61" s="42">
        <v>11.495470074557472</v>
      </c>
      <c r="AF61" s="42">
        <v>9.4045386875062995</v>
      </c>
      <c r="AG61" s="42">
        <v>10.178324102136063</v>
      </c>
      <c r="AH61" s="42">
        <v>8.048769948930655</v>
      </c>
      <c r="AI61" s="42">
        <v>9.8798478463649353</v>
      </c>
      <c r="AJ61" s="42">
        <v>9.3800269931018931</v>
      </c>
      <c r="AK61" s="42">
        <v>12.401649543402476</v>
      </c>
      <c r="AL61" s="42">
        <v>14.145568253033449</v>
      </c>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row>
    <row r="62" spans="1:131">
      <c r="A62" s="9"/>
      <c r="B62" s="50" t="s">
        <v>540</v>
      </c>
      <c r="C62" s="228">
        <v>423.2684917982566</v>
      </c>
      <c r="D62" s="228">
        <v>25</v>
      </c>
      <c r="E62" s="228">
        <v>5</v>
      </c>
      <c r="F62" s="228">
        <v>30</v>
      </c>
      <c r="G62" s="228">
        <v>36.072114615707711</v>
      </c>
      <c r="H62" s="228">
        <v>1541.1430938281883</v>
      </c>
      <c r="I62" s="228">
        <v>620.88250151456805</v>
      </c>
      <c r="J62" s="228">
        <v>-7.408514834912407</v>
      </c>
      <c r="K62" s="228">
        <v>-223.62926772740917</v>
      </c>
      <c r="L62" s="40">
        <v>42.565118320948272</v>
      </c>
      <c r="M62" s="36">
        <v>4.3988900038454313</v>
      </c>
      <c r="N62" s="42">
        <v>11.094675251174881</v>
      </c>
      <c r="O62" s="42">
        <v>9.9677653439042437</v>
      </c>
      <c r="P62" s="42">
        <v>11.317844814412606</v>
      </c>
      <c r="Q62" s="42">
        <v>9.3738540118379312</v>
      </c>
      <c r="R62" s="42">
        <v>8.4242919904330904</v>
      </c>
      <c r="S62" s="42">
        <v>7.7630075613431373</v>
      </c>
      <c r="T62" s="42">
        <v>6.5924236978151836</v>
      </c>
      <c r="U62" s="42">
        <v>6.8295460097075082</v>
      </c>
      <c r="V62" s="42">
        <v>6.5480510704635115</v>
      </c>
      <c r="W62" s="42">
        <v>8.2477015602433337</v>
      </c>
      <c r="X62" s="42">
        <v>8.7327704270984423</v>
      </c>
      <c r="Y62" s="42">
        <v>10.9133412259973</v>
      </c>
      <c r="Z62" s="42"/>
      <c r="AA62" s="42">
        <v>5.6945253211591886</v>
      </c>
      <c r="AB62" s="42">
        <v>4.7825684282209249</v>
      </c>
      <c r="AC62" s="42">
        <v>4.4762652523510091</v>
      </c>
      <c r="AD62" s="42">
        <v>4.4222816752443865</v>
      </c>
      <c r="AE62" s="42">
        <v>4.1190596451429453</v>
      </c>
      <c r="AF62" s="42">
        <v>3.2886623006505848</v>
      </c>
      <c r="AG62" s="42">
        <v>3.5282770779924926</v>
      </c>
      <c r="AH62" s="42">
        <v>2.8277717936166833</v>
      </c>
      <c r="AI62" s="42">
        <v>3.447369677174918</v>
      </c>
      <c r="AJ62" s="42">
        <v>3.3787563505717513</v>
      </c>
      <c r="AK62" s="42">
        <v>4.5423970773505644</v>
      </c>
      <c r="AL62" s="42">
        <v>5.5131341033668466</v>
      </c>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row>
    <row r="63" spans="1:131">
      <c r="A63" s="9"/>
      <c r="B63" s="50" t="s">
        <v>541</v>
      </c>
      <c r="C63" s="229"/>
      <c r="D63" s="229"/>
      <c r="E63" s="229"/>
      <c r="F63" s="229"/>
      <c r="G63" s="229"/>
      <c r="H63" s="229"/>
      <c r="I63" s="229"/>
      <c r="J63" s="229"/>
      <c r="K63" s="229"/>
      <c r="L63" s="230"/>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row>
    <row r="64" spans="1:131">
      <c r="A64" s="9"/>
      <c r="B64" s="9" t="s">
        <v>79</v>
      </c>
      <c r="C64" s="36">
        <v>423.2684917982566</v>
      </c>
      <c r="D64" s="36">
        <v>25</v>
      </c>
      <c r="E64" s="36">
        <v>5</v>
      </c>
      <c r="F64" s="36">
        <v>30</v>
      </c>
      <c r="G64" s="36">
        <v>36.072114615707711</v>
      </c>
      <c r="H64" s="36">
        <v>1541.1430938281883</v>
      </c>
      <c r="I64" s="36">
        <v>620.88250151456805</v>
      </c>
      <c r="J64" s="36">
        <v>-7.408514834912407</v>
      </c>
      <c r="K64" s="36">
        <v>-223.62926772740917</v>
      </c>
      <c r="L64" s="40">
        <v>42.565118320948272</v>
      </c>
      <c r="M64" s="36">
        <v>4.3988900038454313</v>
      </c>
      <c r="N64" s="42">
        <v>28.777933528865908</v>
      </c>
      <c r="O64" s="42">
        <v>25.808990070813277</v>
      </c>
      <c r="P64" s="42">
        <v>29.541303991597697</v>
      </c>
      <c r="Q64" s="42">
        <v>25.178224345104685</v>
      </c>
      <c r="R64" s="42">
        <v>23.498894389661054</v>
      </c>
      <c r="S64" s="42">
        <v>22.460453097477941</v>
      </c>
      <c r="T64" s="42">
        <v>19.03137555646834</v>
      </c>
      <c r="U64" s="42">
        <v>19.838101637225225</v>
      </c>
      <c r="V64" s="42">
        <v>18.751973326133395</v>
      </c>
      <c r="W64" s="42">
        <v>22.981732792742303</v>
      </c>
      <c r="X64" s="42">
        <v>23.834576983551024</v>
      </c>
      <c r="Y64" s="42">
        <v>28.47188580664336</v>
      </c>
      <c r="Z64" s="42"/>
      <c r="AA64" s="42">
        <v>14.567688601095902</v>
      </c>
      <c r="AB64" s="42">
        <v>12.214929967362</v>
      </c>
      <c r="AC64" s="42">
        <v>11.572347921923662</v>
      </c>
      <c r="AD64" s="42">
        <v>11.803884332557633</v>
      </c>
      <c r="AE64" s="42">
        <v>11.495470074557474</v>
      </c>
      <c r="AF64" s="42">
        <v>9.4045386875062995</v>
      </c>
      <c r="AG64" s="42">
        <v>10.178324102136063</v>
      </c>
      <c r="AH64" s="42">
        <v>8.0487699489306568</v>
      </c>
      <c r="AI64" s="42">
        <v>9.8798478463649371</v>
      </c>
      <c r="AJ64" s="42">
        <v>9.3800269931018931</v>
      </c>
      <c r="AK64" s="42">
        <v>12.401649543402476</v>
      </c>
      <c r="AL64" s="42">
        <v>14.145568253033449</v>
      </c>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row>
    <row r="65" spans="1:131">
      <c r="A65" s="9"/>
      <c r="B65" s="9" t="s">
        <v>542</v>
      </c>
      <c r="C65" s="231">
        <v>0</v>
      </c>
      <c r="D65" s="231">
        <v>0</v>
      </c>
      <c r="E65" s="231">
        <v>0</v>
      </c>
      <c r="F65" s="231">
        <v>0</v>
      </c>
      <c r="G65" s="231">
        <v>0</v>
      </c>
      <c r="H65" s="231">
        <v>0</v>
      </c>
      <c r="I65" s="231">
        <v>0</v>
      </c>
      <c r="J65" s="231">
        <v>0</v>
      </c>
      <c r="K65" s="231">
        <v>0</v>
      </c>
      <c r="L65" s="232">
        <v>0</v>
      </c>
      <c r="M65" s="231">
        <v>0</v>
      </c>
      <c r="N65" s="231">
        <v>0</v>
      </c>
      <c r="O65" s="231">
        <v>0</v>
      </c>
      <c r="P65" s="231">
        <v>0</v>
      </c>
      <c r="Q65" s="231">
        <v>0</v>
      </c>
      <c r="R65" s="231">
        <v>0</v>
      </c>
      <c r="S65" s="231">
        <v>0</v>
      </c>
      <c r="T65" s="231">
        <v>0</v>
      </c>
      <c r="U65" s="231">
        <v>0</v>
      </c>
      <c r="V65" s="231">
        <v>0</v>
      </c>
      <c r="W65" s="231">
        <v>0</v>
      </c>
      <c r="X65" s="231">
        <v>0</v>
      </c>
      <c r="Y65" s="231">
        <v>0</v>
      </c>
      <c r="Z65" s="231"/>
      <c r="AA65" s="231">
        <v>0</v>
      </c>
      <c r="AB65" s="231">
        <v>0</v>
      </c>
      <c r="AC65" s="231">
        <v>0</v>
      </c>
      <c r="AD65" s="231">
        <v>0</v>
      </c>
      <c r="AE65" s="231">
        <v>0</v>
      </c>
      <c r="AF65" s="231">
        <v>0</v>
      </c>
      <c r="AG65" s="231">
        <v>0</v>
      </c>
      <c r="AH65" s="231">
        <v>0</v>
      </c>
      <c r="AI65" s="231">
        <v>0</v>
      </c>
      <c r="AJ65" s="231">
        <v>0</v>
      </c>
      <c r="AK65" s="231">
        <v>0</v>
      </c>
      <c r="AL65" s="231">
        <v>0</v>
      </c>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row>
    <row r="66" spans="1:131">
      <c r="A66" s="9"/>
      <c r="B66" s="9" t="s">
        <v>84</v>
      </c>
      <c r="C66" s="231">
        <v>0</v>
      </c>
      <c r="D66" s="231">
        <v>0</v>
      </c>
      <c r="E66" s="231">
        <v>0</v>
      </c>
      <c r="F66" s="231">
        <v>0</v>
      </c>
      <c r="G66" s="231">
        <v>0</v>
      </c>
      <c r="H66" s="231">
        <v>0</v>
      </c>
      <c r="I66" s="231">
        <v>0</v>
      </c>
      <c r="J66" s="231">
        <v>0</v>
      </c>
      <c r="K66" s="231">
        <v>0</v>
      </c>
      <c r="L66" s="232">
        <v>0</v>
      </c>
      <c r="M66" s="231">
        <v>0</v>
      </c>
      <c r="N66" s="231">
        <v>0</v>
      </c>
      <c r="O66" s="231">
        <v>0</v>
      </c>
      <c r="P66" s="231">
        <v>0</v>
      </c>
      <c r="Q66" s="231">
        <v>0</v>
      </c>
      <c r="R66" s="231">
        <v>0</v>
      </c>
      <c r="S66" s="231">
        <v>0</v>
      </c>
      <c r="T66" s="231">
        <v>0</v>
      </c>
      <c r="U66" s="231">
        <v>0</v>
      </c>
      <c r="V66" s="231">
        <v>0</v>
      </c>
      <c r="W66" s="231">
        <v>0</v>
      </c>
      <c r="X66" s="231">
        <v>0</v>
      </c>
      <c r="Y66" s="231">
        <v>0</v>
      </c>
      <c r="Z66" s="231"/>
      <c r="AA66" s="231">
        <v>0</v>
      </c>
      <c r="AB66" s="231">
        <v>0</v>
      </c>
      <c r="AC66" s="231">
        <v>0</v>
      </c>
      <c r="AD66" s="231">
        <v>0</v>
      </c>
      <c r="AE66" s="231">
        <v>0</v>
      </c>
      <c r="AF66" s="231">
        <v>0</v>
      </c>
      <c r="AG66" s="231">
        <v>0</v>
      </c>
      <c r="AH66" s="231">
        <v>0</v>
      </c>
      <c r="AI66" s="231">
        <v>0</v>
      </c>
      <c r="AJ66" s="231">
        <v>0</v>
      </c>
      <c r="AK66" s="231">
        <v>0</v>
      </c>
      <c r="AL66" s="231">
        <v>0</v>
      </c>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row>
    <row r="67" spans="1:131">
      <c r="A67" s="9"/>
      <c r="B67" s="9" t="s">
        <v>87</v>
      </c>
      <c r="C67" s="231">
        <v>0</v>
      </c>
      <c r="D67" s="231">
        <v>0</v>
      </c>
      <c r="E67" s="231">
        <v>0</v>
      </c>
      <c r="F67" s="231">
        <v>0</v>
      </c>
      <c r="G67" s="231">
        <v>0</v>
      </c>
      <c r="H67" s="231">
        <v>0</v>
      </c>
      <c r="I67" s="231">
        <v>0</v>
      </c>
      <c r="J67" s="231">
        <v>0</v>
      </c>
      <c r="K67" s="231">
        <v>0</v>
      </c>
      <c r="L67" s="232">
        <v>0</v>
      </c>
      <c r="M67" s="231">
        <v>0</v>
      </c>
      <c r="N67" s="231">
        <v>0</v>
      </c>
      <c r="O67" s="231">
        <v>0</v>
      </c>
      <c r="P67" s="231">
        <v>0</v>
      </c>
      <c r="Q67" s="231">
        <v>0</v>
      </c>
      <c r="R67" s="231">
        <v>0</v>
      </c>
      <c r="S67" s="231">
        <v>0</v>
      </c>
      <c r="T67" s="231">
        <v>0</v>
      </c>
      <c r="U67" s="231">
        <v>0</v>
      </c>
      <c r="V67" s="231">
        <v>0</v>
      </c>
      <c r="W67" s="231">
        <v>0</v>
      </c>
      <c r="X67" s="231">
        <v>0</v>
      </c>
      <c r="Y67" s="231">
        <v>0</v>
      </c>
      <c r="Z67" s="231"/>
      <c r="AA67" s="231">
        <v>0</v>
      </c>
      <c r="AB67" s="231">
        <v>0</v>
      </c>
      <c r="AC67" s="231">
        <v>0</v>
      </c>
      <c r="AD67" s="231">
        <v>0</v>
      </c>
      <c r="AE67" s="231">
        <v>0</v>
      </c>
      <c r="AF67" s="231">
        <v>0</v>
      </c>
      <c r="AG67" s="231">
        <v>0</v>
      </c>
      <c r="AH67" s="231">
        <v>0</v>
      </c>
      <c r="AI67" s="231">
        <v>0</v>
      </c>
      <c r="AJ67" s="231">
        <v>0</v>
      </c>
      <c r="AK67" s="231">
        <v>0</v>
      </c>
      <c r="AL67" s="231">
        <v>0</v>
      </c>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row>
    <row r="68" spans="1:131">
      <c r="A68" s="9"/>
      <c r="B68" s="9" t="s">
        <v>90</v>
      </c>
      <c r="C68" s="231">
        <v>0</v>
      </c>
      <c r="D68" s="231">
        <v>0</v>
      </c>
      <c r="E68" s="231">
        <v>0</v>
      </c>
      <c r="F68" s="231">
        <v>0</v>
      </c>
      <c r="G68" s="231">
        <v>0</v>
      </c>
      <c r="H68" s="231">
        <v>0</v>
      </c>
      <c r="I68" s="231">
        <v>0</v>
      </c>
      <c r="J68" s="231">
        <v>0</v>
      </c>
      <c r="K68" s="231">
        <v>0</v>
      </c>
      <c r="L68" s="232">
        <v>0</v>
      </c>
      <c r="M68" s="231">
        <v>0</v>
      </c>
      <c r="N68" s="231">
        <v>0</v>
      </c>
      <c r="O68" s="231">
        <v>0</v>
      </c>
      <c r="P68" s="231">
        <v>0</v>
      </c>
      <c r="Q68" s="231">
        <v>0</v>
      </c>
      <c r="R68" s="231">
        <v>0</v>
      </c>
      <c r="S68" s="231">
        <v>0</v>
      </c>
      <c r="T68" s="231">
        <v>0</v>
      </c>
      <c r="U68" s="231">
        <v>0</v>
      </c>
      <c r="V68" s="231">
        <v>0</v>
      </c>
      <c r="W68" s="231">
        <v>0</v>
      </c>
      <c r="X68" s="231">
        <v>0</v>
      </c>
      <c r="Y68" s="231">
        <v>0</v>
      </c>
      <c r="Z68" s="231"/>
      <c r="AA68" s="231">
        <v>0</v>
      </c>
      <c r="AB68" s="231">
        <v>0</v>
      </c>
      <c r="AC68" s="231">
        <v>0</v>
      </c>
      <c r="AD68" s="231">
        <v>0</v>
      </c>
      <c r="AE68" s="231">
        <v>0</v>
      </c>
      <c r="AF68" s="231">
        <v>0</v>
      </c>
      <c r="AG68" s="231">
        <v>0</v>
      </c>
      <c r="AH68" s="231">
        <v>0</v>
      </c>
      <c r="AI68" s="231">
        <v>0</v>
      </c>
      <c r="AJ68" s="231">
        <v>0</v>
      </c>
      <c r="AK68" s="231">
        <v>0</v>
      </c>
      <c r="AL68" s="231">
        <v>0</v>
      </c>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row>
    <row r="69" spans="1:131">
      <c r="A69" s="9"/>
      <c r="B69" s="9" t="s">
        <v>93</v>
      </c>
      <c r="C69" s="231">
        <v>0</v>
      </c>
      <c r="D69" s="231">
        <v>0</v>
      </c>
      <c r="E69" s="231">
        <v>0</v>
      </c>
      <c r="F69" s="231">
        <v>0</v>
      </c>
      <c r="G69" s="231">
        <v>0</v>
      </c>
      <c r="H69" s="231">
        <v>0</v>
      </c>
      <c r="I69" s="231">
        <v>0</v>
      </c>
      <c r="J69" s="231">
        <v>0</v>
      </c>
      <c r="K69" s="231">
        <v>0</v>
      </c>
      <c r="L69" s="232">
        <v>0</v>
      </c>
      <c r="M69" s="231">
        <v>0</v>
      </c>
      <c r="N69" s="231">
        <v>0</v>
      </c>
      <c r="O69" s="231">
        <v>0</v>
      </c>
      <c r="P69" s="231">
        <v>0</v>
      </c>
      <c r="Q69" s="231">
        <v>0</v>
      </c>
      <c r="R69" s="231">
        <v>0</v>
      </c>
      <c r="S69" s="231">
        <v>0</v>
      </c>
      <c r="T69" s="231">
        <v>0</v>
      </c>
      <c r="U69" s="231">
        <v>0</v>
      </c>
      <c r="V69" s="231">
        <v>0</v>
      </c>
      <c r="W69" s="231">
        <v>0</v>
      </c>
      <c r="X69" s="231">
        <v>0</v>
      </c>
      <c r="Y69" s="231">
        <v>0</v>
      </c>
      <c r="Z69" s="231"/>
      <c r="AA69" s="231">
        <v>0</v>
      </c>
      <c r="AB69" s="231">
        <v>0</v>
      </c>
      <c r="AC69" s="231">
        <v>0</v>
      </c>
      <c r="AD69" s="231">
        <v>0</v>
      </c>
      <c r="AE69" s="231">
        <v>0</v>
      </c>
      <c r="AF69" s="231">
        <v>0</v>
      </c>
      <c r="AG69" s="231">
        <v>0</v>
      </c>
      <c r="AH69" s="231">
        <v>0</v>
      </c>
      <c r="AI69" s="231">
        <v>0</v>
      </c>
      <c r="AJ69" s="231">
        <v>0</v>
      </c>
      <c r="AK69" s="231">
        <v>0</v>
      </c>
      <c r="AL69" s="231">
        <v>0</v>
      </c>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row>
    <row r="70" spans="1:131">
      <c r="A70" s="9"/>
      <c r="B70" s="9" t="s">
        <v>96</v>
      </c>
      <c r="C70" s="231">
        <v>0</v>
      </c>
      <c r="D70" s="231">
        <v>0</v>
      </c>
      <c r="E70" s="231">
        <v>0</v>
      </c>
      <c r="F70" s="231">
        <v>0</v>
      </c>
      <c r="G70" s="231">
        <v>0</v>
      </c>
      <c r="H70" s="231">
        <v>0</v>
      </c>
      <c r="I70" s="231">
        <v>0</v>
      </c>
      <c r="J70" s="231">
        <v>0</v>
      </c>
      <c r="K70" s="231">
        <v>0</v>
      </c>
      <c r="L70" s="232">
        <v>0</v>
      </c>
      <c r="M70" s="231">
        <v>0</v>
      </c>
      <c r="N70" s="231">
        <v>0</v>
      </c>
      <c r="O70" s="231">
        <v>0</v>
      </c>
      <c r="P70" s="231">
        <v>0</v>
      </c>
      <c r="Q70" s="231">
        <v>0</v>
      </c>
      <c r="R70" s="231">
        <v>0</v>
      </c>
      <c r="S70" s="231">
        <v>0</v>
      </c>
      <c r="T70" s="231">
        <v>0</v>
      </c>
      <c r="U70" s="231">
        <v>0</v>
      </c>
      <c r="V70" s="231">
        <v>0</v>
      </c>
      <c r="W70" s="231">
        <v>0</v>
      </c>
      <c r="X70" s="231">
        <v>0</v>
      </c>
      <c r="Y70" s="231">
        <v>0</v>
      </c>
      <c r="Z70" s="231"/>
      <c r="AA70" s="231">
        <v>0</v>
      </c>
      <c r="AB70" s="231">
        <v>0</v>
      </c>
      <c r="AC70" s="231">
        <v>0</v>
      </c>
      <c r="AD70" s="231">
        <v>0</v>
      </c>
      <c r="AE70" s="231">
        <v>0</v>
      </c>
      <c r="AF70" s="231">
        <v>0</v>
      </c>
      <c r="AG70" s="231">
        <v>0</v>
      </c>
      <c r="AH70" s="231">
        <v>0</v>
      </c>
      <c r="AI70" s="231">
        <v>0</v>
      </c>
      <c r="AJ70" s="231">
        <v>0</v>
      </c>
      <c r="AK70" s="231">
        <v>0</v>
      </c>
      <c r="AL70" s="231">
        <v>0</v>
      </c>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row>
    <row r="71" spans="1:131">
      <c r="A71" s="9"/>
      <c r="B71" s="9" t="s">
        <v>99</v>
      </c>
      <c r="C71" s="231">
        <v>0</v>
      </c>
      <c r="D71" s="231">
        <v>0</v>
      </c>
      <c r="E71" s="231">
        <v>0</v>
      </c>
      <c r="F71" s="231">
        <v>0</v>
      </c>
      <c r="G71" s="231">
        <v>0</v>
      </c>
      <c r="H71" s="231">
        <v>0</v>
      </c>
      <c r="I71" s="231">
        <v>0</v>
      </c>
      <c r="J71" s="231">
        <v>0</v>
      </c>
      <c r="K71" s="231">
        <v>0</v>
      </c>
      <c r="L71" s="232">
        <v>0</v>
      </c>
      <c r="M71" s="231">
        <v>0</v>
      </c>
      <c r="N71" s="231">
        <v>0</v>
      </c>
      <c r="O71" s="231">
        <v>0</v>
      </c>
      <c r="P71" s="231">
        <v>0</v>
      </c>
      <c r="Q71" s="231">
        <v>0</v>
      </c>
      <c r="R71" s="231">
        <v>0</v>
      </c>
      <c r="S71" s="231">
        <v>0</v>
      </c>
      <c r="T71" s="231">
        <v>0</v>
      </c>
      <c r="U71" s="231">
        <v>0</v>
      </c>
      <c r="V71" s="231">
        <v>0</v>
      </c>
      <c r="W71" s="231">
        <v>0</v>
      </c>
      <c r="X71" s="231">
        <v>0</v>
      </c>
      <c r="Y71" s="231">
        <v>0</v>
      </c>
      <c r="Z71" s="231"/>
      <c r="AA71" s="231">
        <v>0</v>
      </c>
      <c r="AB71" s="231">
        <v>0</v>
      </c>
      <c r="AC71" s="231">
        <v>0</v>
      </c>
      <c r="AD71" s="231">
        <v>0</v>
      </c>
      <c r="AE71" s="231">
        <v>0</v>
      </c>
      <c r="AF71" s="231">
        <v>0</v>
      </c>
      <c r="AG71" s="231">
        <v>0</v>
      </c>
      <c r="AH71" s="231">
        <v>0</v>
      </c>
      <c r="AI71" s="231">
        <v>0</v>
      </c>
      <c r="AJ71" s="231">
        <v>0</v>
      </c>
      <c r="AK71" s="231">
        <v>0</v>
      </c>
      <c r="AL71" s="231">
        <v>0</v>
      </c>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row>
    <row r="72" spans="1:131">
      <c r="A72" s="9"/>
      <c r="B72" s="9" t="s">
        <v>102</v>
      </c>
      <c r="C72" s="231">
        <v>0</v>
      </c>
      <c r="D72" s="231">
        <v>0</v>
      </c>
      <c r="E72" s="231">
        <v>0</v>
      </c>
      <c r="F72" s="231">
        <v>0</v>
      </c>
      <c r="G72" s="231">
        <v>0</v>
      </c>
      <c r="H72" s="231">
        <v>0</v>
      </c>
      <c r="I72" s="231">
        <v>0</v>
      </c>
      <c r="J72" s="231">
        <v>0</v>
      </c>
      <c r="K72" s="231">
        <v>0</v>
      </c>
      <c r="L72" s="232">
        <v>0</v>
      </c>
      <c r="M72" s="231">
        <v>0</v>
      </c>
      <c r="N72" s="231">
        <v>0</v>
      </c>
      <c r="O72" s="231">
        <v>0</v>
      </c>
      <c r="P72" s="231">
        <v>0</v>
      </c>
      <c r="Q72" s="231">
        <v>0</v>
      </c>
      <c r="R72" s="231">
        <v>0</v>
      </c>
      <c r="S72" s="231">
        <v>0</v>
      </c>
      <c r="T72" s="231">
        <v>0</v>
      </c>
      <c r="U72" s="231">
        <v>0</v>
      </c>
      <c r="V72" s="231">
        <v>0</v>
      </c>
      <c r="W72" s="231">
        <v>0</v>
      </c>
      <c r="X72" s="231">
        <v>0</v>
      </c>
      <c r="Y72" s="231">
        <v>0</v>
      </c>
      <c r="Z72" s="231"/>
      <c r="AA72" s="231">
        <v>0</v>
      </c>
      <c r="AB72" s="231">
        <v>0</v>
      </c>
      <c r="AC72" s="231">
        <v>0</v>
      </c>
      <c r="AD72" s="231">
        <v>0</v>
      </c>
      <c r="AE72" s="231">
        <v>0</v>
      </c>
      <c r="AF72" s="231">
        <v>0</v>
      </c>
      <c r="AG72" s="231">
        <v>0</v>
      </c>
      <c r="AH72" s="231">
        <v>0</v>
      </c>
      <c r="AI72" s="231">
        <v>0</v>
      </c>
      <c r="AJ72" s="231">
        <v>0</v>
      </c>
      <c r="AK72" s="231">
        <v>0</v>
      </c>
      <c r="AL72" s="231">
        <v>0</v>
      </c>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row>
    <row r="73" spans="1:131">
      <c r="A73" s="9"/>
      <c r="B73" s="9" t="s">
        <v>105</v>
      </c>
      <c r="C73" s="231">
        <v>0</v>
      </c>
      <c r="D73" s="231">
        <v>0</v>
      </c>
      <c r="E73" s="231">
        <v>0</v>
      </c>
      <c r="F73" s="231">
        <v>0</v>
      </c>
      <c r="G73" s="231">
        <v>0</v>
      </c>
      <c r="H73" s="231">
        <v>0</v>
      </c>
      <c r="I73" s="231">
        <v>0</v>
      </c>
      <c r="J73" s="231">
        <v>0</v>
      </c>
      <c r="K73" s="231">
        <v>0</v>
      </c>
      <c r="L73" s="232">
        <v>0</v>
      </c>
      <c r="M73" s="231">
        <v>0</v>
      </c>
      <c r="N73" s="231">
        <v>0</v>
      </c>
      <c r="O73" s="231">
        <v>0</v>
      </c>
      <c r="P73" s="231">
        <v>0</v>
      </c>
      <c r="Q73" s="231">
        <v>0</v>
      </c>
      <c r="R73" s="231">
        <v>0</v>
      </c>
      <c r="S73" s="231">
        <v>0</v>
      </c>
      <c r="T73" s="231">
        <v>0</v>
      </c>
      <c r="U73" s="231">
        <v>0</v>
      </c>
      <c r="V73" s="231">
        <v>0</v>
      </c>
      <c r="W73" s="231">
        <v>0</v>
      </c>
      <c r="X73" s="231">
        <v>0</v>
      </c>
      <c r="Y73" s="231">
        <v>0</v>
      </c>
      <c r="Z73" s="231"/>
      <c r="AA73" s="231">
        <v>0</v>
      </c>
      <c r="AB73" s="231">
        <v>0</v>
      </c>
      <c r="AC73" s="231">
        <v>0</v>
      </c>
      <c r="AD73" s="231">
        <v>0</v>
      </c>
      <c r="AE73" s="231">
        <v>0</v>
      </c>
      <c r="AF73" s="231">
        <v>0</v>
      </c>
      <c r="AG73" s="231">
        <v>0</v>
      </c>
      <c r="AH73" s="231">
        <v>0</v>
      </c>
      <c r="AI73" s="231">
        <v>0</v>
      </c>
      <c r="AJ73" s="231">
        <v>0</v>
      </c>
      <c r="AK73" s="231">
        <v>0</v>
      </c>
      <c r="AL73" s="231">
        <v>0</v>
      </c>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row>
    <row r="74" spans="1:131">
      <c r="A74" s="9"/>
      <c r="B74" s="9" t="s">
        <v>108</v>
      </c>
      <c r="C74" s="231">
        <v>0</v>
      </c>
      <c r="D74" s="231">
        <v>0</v>
      </c>
      <c r="E74" s="231">
        <v>0</v>
      </c>
      <c r="F74" s="231">
        <v>0</v>
      </c>
      <c r="G74" s="231">
        <v>0</v>
      </c>
      <c r="H74" s="231">
        <v>0</v>
      </c>
      <c r="I74" s="231">
        <v>0</v>
      </c>
      <c r="J74" s="231">
        <v>0</v>
      </c>
      <c r="K74" s="231">
        <v>0</v>
      </c>
      <c r="L74" s="232">
        <v>0</v>
      </c>
      <c r="M74" s="231">
        <v>0</v>
      </c>
      <c r="N74" s="231">
        <v>0</v>
      </c>
      <c r="O74" s="231">
        <v>0</v>
      </c>
      <c r="P74" s="231">
        <v>0</v>
      </c>
      <c r="Q74" s="231">
        <v>0</v>
      </c>
      <c r="R74" s="231">
        <v>0</v>
      </c>
      <c r="S74" s="231">
        <v>0</v>
      </c>
      <c r="T74" s="231">
        <v>0</v>
      </c>
      <c r="U74" s="231">
        <v>0</v>
      </c>
      <c r="V74" s="231">
        <v>0</v>
      </c>
      <c r="W74" s="231">
        <v>0</v>
      </c>
      <c r="X74" s="231">
        <v>0</v>
      </c>
      <c r="Y74" s="231">
        <v>0</v>
      </c>
      <c r="Z74" s="231"/>
      <c r="AA74" s="231">
        <v>0</v>
      </c>
      <c r="AB74" s="231">
        <v>0</v>
      </c>
      <c r="AC74" s="231">
        <v>0</v>
      </c>
      <c r="AD74" s="231">
        <v>0</v>
      </c>
      <c r="AE74" s="231">
        <v>0</v>
      </c>
      <c r="AF74" s="231">
        <v>0</v>
      </c>
      <c r="AG74" s="231">
        <v>0</v>
      </c>
      <c r="AH74" s="231">
        <v>0</v>
      </c>
      <c r="AI74" s="231">
        <v>0</v>
      </c>
      <c r="AJ74" s="231">
        <v>0</v>
      </c>
      <c r="AK74" s="231">
        <v>0</v>
      </c>
      <c r="AL74" s="231">
        <v>0</v>
      </c>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row>
    <row r="75" spans="1:131">
      <c r="A75" s="9"/>
      <c r="B75" s="9" t="s">
        <v>111</v>
      </c>
      <c r="C75" s="231">
        <v>0</v>
      </c>
      <c r="D75" s="231">
        <v>0</v>
      </c>
      <c r="E75" s="231">
        <v>0</v>
      </c>
      <c r="F75" s="231">
        <v>0</v>
      </c>
      <c r="G75" s="231">
        <v>0</v>
      </c>
      <c r="H75" s="231">
        <v>0</v>
      </c>
      <c r="I75" s="231">
        <v>0</v>
      </c>
      <c r="J75" s="231">
        <v>0</v>
      </c>
      <c r="K75" s="231">
        <v>0</v>
      </c>
      <c r="L75" s="232">
        <v>0</v>
      </c>
      <c r="M75" s="231">
        <v>0</v>
      </c>
      <c r="N75" s="231">
        <v>0</v>
      </c>
      <c r="O75" s="231">
        <v>0</v>
      </c>
      <c r="P75" s="231">
        <v>0</v>
      </c>
      <c r="Q75" s="231">
        <v>0</v>
      </c>
      <c r="R75" s="231">
        <v>0</v>
      </c>
      <c r="S75" s="231">
        <v>0</v>
      </c>
      <c r="T75" s="231">
        <v>0</v>
      </c>
      <c r="U75" s="231">
        <v>0</v>
      </c>
      <c r="V75" s="231">
        <v>0</v>
      </c>
      <c r="W75" s="231">
        <v>0</v>
      </c>
      <c r="X75" s="231">
        <v>0</v>
      </c>
      <c r="Y75" s="231">
        <v>0</v>
      </c>
      <c r="Z75" s="231"/>
      <c r="AA75" s="231">
        <v>0</v>
      </c>
      <c r="AB75" s="231">
        <v>0</v>
      </c>
      <c r="AC75" s="231">
        <v>0</v>
      </c>
      <c r="AD75" s="231">
        <v>0</v>
      </c>
      <c r="AE75" s="231">
        <v>0</v>
      </c>
      <c r="AF75" s="231">
        <v>0</v>
      </c>
      <c r="AG75" s="231">
        <v>0</v>
      </c>
      <c r="AH75" s="231">
        <v>0</v>
      </c>
      <c r="AI75" s="231">
        <v>0</v>
      </c>
      <c r="AJ75" s="231">
        <v>0</v>
      </c>
      <c r="AK75" s="231">
        <v>0</v>
      </c>
      <c r="AL75" s="231">
        <v>0</v>
      </c>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row>
    <row r="76" spans="1:131">
      <c r="A76" s="9"/>
      <c r="B76" s="9" t="s">
        <v>114</v>
      </c>
      <c r="C76" s="231">
        <v>0</v>
      </c>
      <c r="D76" s="231">
        <v>0</v>
      </c>
      <c r="E76" s="231">
        <v>0</v>
      </c>
      <c r="F76" s="231">
        <v>0</v>
      </c>
      <c r="G76" s="231">
        <v>0</v>
      </c>
      <c r="H76" s="231">
        <v>0</v>
      </c>
      <c r="I76" s="231">
        <v>0</v>
      </c>
      <c r="J76" s="231">
        <v>0</v>
      </c>
      <c r="K76" s="231">
        <v>0</v>
      </c>
      <c r="L76" s="232">
        <v>0</v>
      </c>
      <c r="M76" s="231">
        <v>0</v>
      </c>
      <c r="N76" s="231">
        <v>0</v>
      </c>
      <c r="O76" s="231">
        <v>0</v>
      </c>
      <c r="P76" s="231">
        <v>0</v>
      </c>
      <c r="Q76" s="231">
        <v>0</v>
      </c>
      <c r="R76" s="231">
        <v>0</v>
      </c>
      <c r="S76" s="231">
        <v>0</v>
      </c>
      <c r="T76" s="231">
        <v>0</v>
      </c>
      <c r="U76" s="231">
        <v>0</v>
      </c>
      <c r="V76" s="231">
        <v>0</v>
      </c>
      <c r="W76" s="231">
        <v>0</v>
      </c>
      <c r="X76" s="231">
        <v>0</v>
      </c>
      <c r="Y76" s="231">
        <v>0</v>
      </c>
      <c r="Z76" s="231"/>
      <c r="AA76" s="231">
        <v>0</v>
      </c>
      <c r="AB76" s="231">
        <v>0</v>
      </c>
      <c r="AC76" s="231">
        <v>0</v>
      </c>
      <c r="AD76" s="231">
        <v>0</v>
      </c>
      <c r="AE76" s="231">
        <v>0</v>
      </c>
      <c r="AF76" s="231">
        <v>0</v>
      </c>
      <c r="AG76" s="231">
        <v>0</v>
      </c>
      <c r="AH76" s="231">
        <v>0</v>
      </c>
      <c r="AI76" s="231">
        <v>0</v>
      </c>
      <c r="AJ76" s="231">
        <v>0</v>
      </c>
      <c r="AK76" s="231">
        <v>0</v>
      </c>
      <c r="AL76" s="231">
        <v>0</v>
      </c>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row>
    <row r="77" spans="1:131">
      <c r="A77" s="9"/>
      <c r="B77" s="9" t="s">
        <v>117</v>
      </c>
      <c r="C77" s="231">
        <v>0</v>
      </c>
      <c r="D77" s="231">
        <v>0</v>
      </c>
      <c r="E77" s="231">
        <v>0</v>
      </c>
      <c r="F77" s="231">
        <v>0</v>
      </c>
      <c r="G77" s="231">
        <v>0</v>
      </c>
      <c r="H77" s="231">
        <v>0</v>
      </c>
      <c r="I77" s="231">
        <v>0</v>
      </c>
      <c r="J77" s="231">
        <v>0</v>
      </c>
      <c r="K77" s="231">
        <v>0</v>
      </c>
      <c r="L77" s="232">
        <v>0</v>
      </c>
      <c r="M77" s="231">
        <v>0</v>
      </c>
      <c r="N77" s="231">
        <v>0</v>
      </c>
      <c r="O77" s="231">
        <v>0</v>
      </c>
      <c r="P77" s="231">
        <v>0</v>
      </c>
      <c r="Q77" s="231">
        <v>0</v>
      </c>
      <c r="R77" s="231">
        <v>0</v>
      </c>
      <c r="S77" s="231">
        <v>0</v>
      </c>
      <c r="T77" s="231">
        <v>0</v>
      </c>
      <c r="U77" s="231">
        <v>0</v>
      </c>
      <c r="V77" s="231">
        <v>0</v>
      </c>
      <c r="W77" s="231">
        <v>0</v>
      </c>
      <c r="X77" s="231">
        <v>0</v>
      </c>
      <c r="Y77" s="231">
        <v>0</v>
      </c>
      <c r="Z77" s="231"/>
      <c r="AA77" s="231">
        <v>0</v>
      </c>
      <c r="AB77" s="231">
        <v>0</v>
      </c>
      <c r="AC77" s="231">
        <v>0</v>
      </c>
      <c r="AD77" s="231">
        <v>0</v>
      </c>
      <c r="AE77" s="231">
        <v>0</v>
      </c>
      <c r="AF77" s="231">
        <v>0</v>
      </c>
      <c r="AG77" s="231">
        <v>0</v>
      </c>
      <c r="AH77" s="231">
        <v>0</v>
      </c>
      <c r="AI77" s="231">
        <v>0</v>
      </c>
      <c r="AJ77" s="231">
        <v>0</v>
      </c>
      <c r="AK77" s="231">
        <v>0</v>
      </c>
      <c r="AL77" s="231">
        <v>0</v>
      </c>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row>
    <row r="78" spans="1:131">
      <c r="A78" s="9"/>
      <c r="B78" s="9" t="s">
        <v>120</v>
      </c>
      <c r="C78" s="231">
        <v>0</v>
      </c>
      <c r="D78" s="231">
        <v>0</v>
      </c>
      <c r="E78" s="231">
        <v>0</v>
      </c>
      <c r="F78" s="231">
        <v>0</v>
      </c>
      <c r="G78" s="231">
        <v>0</v>
      </c>
      <c r="H78" s="231">
        <v>0</v>
      </c>
      <c r="I78" s="231">
        <v>0</v>
      </c>
      <c r="J78" s="231">
        <v>0</v>
      </c>
      <c r="K78" s="231">
        <v>0</v>
      </c>
      <c r="L78" s="232">
        <v>0</v>
      </c>
      <c r="M78" s="231">
        <v>0</v>
      </c>
      <c r="N78" s="231">
        <v>0</v>
      </c>
      <c r="O78" s="231">
        <v>0</v>
      </c>
      <c r="P78" s="231">
        <v>0</v>
      </c>
      <c r="Q78" s="231">
        <v>0</v>
      </c>
      <c r="R78" s="231">
        <v>0</v>
      </c>
      <c r="S78" s="231">
        <v>0</v>
      </c>
      <c r="T78" s="231">
        <v>0</v>
      </c>
      <c r="U78" s="231">
        <v>0</v>
      </c>
      <c r="V78" s="231">
        <v>0</v>
      </c>
      <c r="W78" s="231">
        <v>0</v>
      </c>
      <c r="X78" s="231">
        <v>0</v>
      </c>
      <c r="Y78" s="231">
        <v>0</v>
      </c>
      <c r="Z78" s="231"/>
      <c r="AA78" s="231">
        <v>0</v>
      </c>
      <c r="AB78" s="231">
        <v>0</v>
      </c>
      <c r="AC78" s="231">
        <v>0</v>
      </c>
      <c r="AD78" s="231">
        <v>0</v>
      </c>
      <c r="AE78" s="231">
        <v>0</v>
      </c>
      <c r="AF78" s="231">
        <v>0</v>
      </c>
      <c r="AG78" s="231">
        <v>0</v>
      </c>
      <c r="AH78" s="231">
        <v>0</v>
      </c>
      <c r="AI78" s="231">
        <v>0</v>
      </c>
      <c r="AJ78" s="231">
        <v>0</v>
      </c>
      <c r="AK78" s="231">
        <v>0</v>
      </c>
      <c r="AL78" s="231">
        <v>0</v>
      </c>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row>
    <row r="79" spans="1:131">
      <c r="A79" s="9"/>
      <c r="B79" s="9" t="s">
        <v>123</v>
      </c>
      <c r="C79" s="231">
        <v>0</v>
      </c>
      <c r="D79" s="231">
        <v>0</v>
      </c>
      <c r="E79" s="231">
        <v>0</v>
      </c>
      <c r="F79" s="231">
        <v>0</v>
      </c>
      <c r="G79" s="231">
        <v>0</v>
      </c>
      <c r="H79" s="231">
        <v>0</v>
      </c>
      <c r="I79" s="231">
        <v>0</v>
      </c>
      <c r="J79" s="231">
        <v>0</v>
      </c>
      <c r="K79" s="231">
        <v>0</v>
      </c>
      <c r="L79" s="232">
        <v>0</v>
      </c>
      <c r="M79" s="231">
        <v>0</v>
      </c>
      <c r="N79" s="231">
        <v>0</v>
      </c>
      <c r="O79" s="231">
        <v>0</v>
      </c>
      <c r="P79" s="231">
        <v>0</v>
      </c>
      <c r="Q79" s="231">
        <v>0</v>
      </c>
      <c r="R79" s="231">
        <v>0</v>
      </c>
      <c r="S79" s="231">
        <v>0</v>
      </c>
      <c r="T79" s="231">
        <v>0</v>
      </c>
      <c r="U79" s="231">
        <v>0</v>
      </c>
      <c r="V79" s="231">
        <v>0</v>
      </c>
      <c r="W79" s="231">
        <v>0</v>
      </c>
      <c r="X79" s="231">
        <v>0</v>
      </c>
      <c r="Y79" s="231">
        <v>0</v>
      </c>
      <c r="Z79" s="231"/>
      <c r="AA79" s="231">
        <v>0</v>
      </c>
      <c r="AB79" s="231">
        <v>0</v>
      </c>
      <c r="AC79" s="231">
        <v>0</v>
      </c>
      <c r="AD79" s="231">
        <v>0</v>
      </c>
      <c r="AE79" s="231">
        <v>0</v>
      </c>
      <c r="AF79" s="231">
        <v>0</v>
      </c>
      <c r="AG79" s="231">
        <v>0</v>
      </c>
      <c r="AH79" s="231">
        <v>0</v>
      </c>
      <c r="AI79" s="231">
        <v>0</v>
      </c>
      <c r="AJ79" s="231">
        <v>0</v>
      </c>
      <c r="AK79" s="231">
        <v>0</v>
      </c>
      <c r="AL79" s="231">
        <v>0</v>
      </c>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row>
    <row r="80" spans="1:131">
      <c r="A80" s="9"/>
      <c r="B80" s="9" t="s">
        <v>126</v>
      </c>
      <c r="C80" s="231">
        <v>0</v>
      </c>
      <c r="D80" s="231">
        <v>0</v>
      </c>
      <c r="E80" s="231">
        <v>0</v>
      </c>
      <c r="F80" s="231">
        <v>0</v>
      </c>
      <c r="G80" s="231">
        <v>0</v>
      </c>
      <c r="H80" s="231">
        <v>0</v>
      </c>
      <c r="I80" s="231">
        <v>0</v>
      </c>
      <c r="J80" s="231">
        <v>0</v>
      </c>
      <c r="K80" s="231">
        <v>0</v>
      </c>
      <c r="L80" s="232">
        <v>0</v>
      </c>
      <c r="M80" s="231">
        <v>0</v>
      </c>
      <c r="N80" s="231">
        <v>0</v>
      </c>
      <c r="O80" s="231">
        <v>0</v>
      </c>
      <c r="P80" s="231">
        <v>0</v>
      </c>
      <c r="Q80" s="231">
        <v>0</v>
      </c>
      <c r="R80" s="231">
        <v>0</v>
      </c>
      <c r="S80" s="231">
        <v>0</v>
      </c>
      <c r="T80" s="231">
        <v>0</v>
      </c>
      <c r="U80" s="231">
        <v>0</v>
      </c>
      <c r="V80" s="231">
        <v>0</v>
      </c>
      <c r="W80" s="231">
        <v>0</v>
      </c>
      <c r="X80" s="231">
        <v>0</v>
      </c>
      <c r="Y80" s="231">
        <v>0</v>
      </c>
      <c r="Z80" s="231"/>
      <c r="AA80" s="231">
        <v>0</v>
      </c>
      <c r="AB80" s="231">
        <v>0</v>
      </c>
      <c r="AC80" s="231">
        <v>0</v>
      </c>
      <c r="AD80" s="231">
        <v>0</v>
      </c>
      <c r="AE80" s="231">
        <v>0</v>
      </c>
      <c r="AF80" s="231">
        <v>0</v>
      </c>
      <c r="AG80" s="231">
        <v>0</v>
      </c>
      <c r="AH80" s="231">
        <v>0</v>
      </c>
      <c r="AI80" s="231">
        <v>0</v>
      </c>
      <c r="AJ80" s="231">
        <v>0</v>
      </c>
      <c r="AK80" s="231">
        <v>0</v>
      </c>
      <c r="AL80" s="231">
        <v>0</v>
      </c>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row>
    <row r="81" spans="1:131">
      <c r="A81" s="9"/>
      <c r="B81" s="9" t="s">
        <v>129</v>
      </c>
      <c r="C81" s="231">
        <v>0</v>
      </c>
      <c r="D81" s="231">
        <v>0</v>
      </c>
      <c r="E81" s="231">
        <v>0</v>
      </c>
      <c r="F81" s="231">
        <v>0</v>
      </c>
      <c r="G81" s="231">
        <v>0</v>
      </c>
      <c r="H81" s="231">
        <v>0</v>
      </c>
      <c r="I81" s="231">
        <v>0</v>
      </c>
      <c r="J81" s="231">
        <v>0</v>
      </c>
      <c r="K81" s="231">
        <v>0</v>
      </c>
      <c r="L81" s="232">
        <v>0</v>
      </c>
      <c r="M81" s="231">
        <v>0</v>
      </c>
      <c r="N81" s="231">
        <v>0</v>
      </c>
      <c r="O81" s="231">
        <v>0</v>
      </c>
      <c r="P81" s="231">
        <v>0</v>
      </c>
      <c r="Q81" s="231">
        <v>0</v>
      </c>
      <c r="R81" s="231">
        <v>0</v>
      </c>
      <c r="S81" s="231">
        <v>0</v>
      </c>
      <c r="T81" s="231">
        <v>0</v>
      </c>
      <c r="U81" s="231">
        <v>0</v>
      </c>
      <c r="V81" s="231">
        <v>0</v>
      </c>
      <c r="W81" s="231">
        <v>0</v>
      </c>
      <c r="X81" s="231">
        <v>0</v>
      </c>
      <c r="Y81" s="231">
        <v>0</v>
      </c>
      <c r="Z81" s="231"/>
      <c r="AA81" s="231">
        <v>0</v>
      </c>
      <c r="AB81" s="231">
        <v>0</v>
      </c>
      <c r="AC81" s="231">
        <v>0</v>
      </c>
      <c r="AD81" s="231">
        <v>0</v>
      </c>
      <c r="AE81" s="231">
        <v>0</v>
      </c>
      <c r="AF81" s="231">
        <v>0</v>
      </c>
      <c r="AG81" s="231">
        <v>0</v>
      </c>
      <c r="AH81" s="231">
        <v>0</v>
      </c>
      <c r="AI81" s="231">
        <v>0</v>
      </c>
      <c r="AJ81" s="231">
        <v>0</v>
      </c>
      <c r="AK81" s="231">
        <v>0</v>
      </c>
      <c r="AL81" s="231">
        <v>0</v>
      </c>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row>
    <row r="82" spans="1:131">
      <c r="A82" s="9"/>
      <c r="B82" s="9" t="s">
        <v>132</v>
      </c>
      <c r="C82" s="231">
        <v>0</v>
      </c>
      <c r="D82" s="231">
        <v>0</v>
      </c>
      <c r="E82" s="231">
        <v>0</v>
      </c>
      <c r="F82" s="231">
        <v>0</v>
      </c>
      <c r="G82" s="231">
        <v>0</v>
      </c>
      <c r="H82" s="231">
        <v>0</v>
      </c>
      <c r="I82" s="231">
        <v>0</v>
      </c>
      <c r="J82" s="231">
        <v>0</v>
      </c>
      <c r="K82" s="231">
        <v>0</v>
      </c>
      <c r="L82" s="232">
        <v>0</v>
      </c>
      <c r="M82" s="231">
        <v>0</v>
      </c>
      <c r="N82" s="231">
        <v>0</v>
      </c>
      <c r="O82" s="231">
        <v>0</v>
      </c>
      <c r="P82" s="231">
        <v>0</v>
      </c>
      <c r="Q82" s="231">
        <v>0</v>
      </c>
      <c r="R82" s="231">
        <v>0</v>
      </c>
      <c r="S82" s="231">
        <v>0</v>
      </c>
      <c r="T82" s="231">
        <v>0</v>
      </c>
      <c r="U82" s="231">
        <v>0</v>
      </c>
      <c r="V82" s="231">
        <v>0</v>
      </c>
      <c r="W82" s="231">
        <v>0</v>
      </c>
      <c r="X82" s="231">
        <v>0</v>
      </c>
      <c r="Y82" s="231">
        <v>0</v>
      </c>
      <c r="Z82" s="231"/>
      <c r="AA82" s="231">
        <v>0</v>
      </c>
      <c r="AB82" s="231">
        <v>0</v>
      </c>
      <c r="AC82" s="231">
        <v>0</v>
      </c>
      <c r="AD82" s="231">
        <v>0</v>
      </c>
      <c r="AE82" s="231">
        <v>0</v>
      </c>
      <c r="AF82" s="231">
        <v>0</v>
      </c>
      <c r="AG82" s="231">
        <v>0</v>
      </c>
      <c r="AH82" s="231">
        <v>0</v>
      </c>
      <c r="AI82" s="231">
        <v>0</v>
      </c>
      <c r="AJ82" s="231">
        <v>0</v>
      </c>
      <c r="AK82" s="231">
        <v>0</v>
      </c>
      <c r="AL82" s="231">
        <v>0</v>
      </c>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row>
    <row r="83" spans="1:131">
      <c r="A83" s="9"/>
      <c r="B83" s="9" t="s">
        <v>135</v>
      </c>
      <c r="C83" s="231">
        <v>0</v>
      </c>
      <c r="D83" s="231">
        <v>0</v>
      </c>
      <c r="E83" s="231">
        <v>0</v>
      </c>
      <c r="F83" s="231">
        <v>0</v>
      </c>
      <c r="G83" s="231">
        <v>0</v>
      </c>
      <c r="H83" s="231">
        <v>0</v>
      </c>
      <c r="I83" s="231">
        <v>0</v>
      </c>
      <c r="J83" s="231">
        <v>0</v>
      </c>
      <c r="K83" s="231">
        <v>0</v>
      </c>
      <c r="L83" s="232">
        <v>0</v>
      </c>
      <c r="M83" s="231">
        <v>0</v>
      </c>
      <c r="N83" s="231">
        <v>0</v>
      </c>
      <c r="O83" s="231">
        <v>0</v>
      </c>
      <c r="P83" s="231">
        <v>0</v>
      </c>
      <c r="Q83" s="231">
        <v>0</v>
      </c>
      <c r="R83" s="231">
        <v>0</v>
      </c>
      <c r="S83" s="231">
        <v>0</v>
      </c>
      <c r="T83" s="231">
        <v>0</v>
      </c>
      <c r="U83" s="231">
        <v>0</v>
      </c>
      <c r="V83" s="231">
        <v>0</v>
      </c>
      <c r="W83" s="231">
        <v>0</v>
      </c>
      <c r="X83" s="231">
        <v>0</v>
      </c>
      <c r="Y83" s="231">
        <v>0</v>
      </c>
      <c r="Z83" s="231"/>
      <c r="AA83" s="231">
        <v>0</v>
      </c>
      <c r="AB83" s="231">
        <v>0</v>
      </c>
      <c r="AC83" s="231">
        <v>0</v>
      </c>
      <c r="AD83" s="231">
        <v>0</v>
      </c>
      <c r="AE83" s="231">
        <v>0</v>
      </c>
      <c r="AF83" s="231">
        <v>0</v>
      </c>
      <c r="AG83" s="231">
        <v>0</v>
      </c>
      <c r="AH83" s="231">
        <v>0</v>
      </c>
      <c r="AI83" s="231">
        <v>0</v>
      </c>
      <c r="AJ83" s="231">
        <v>0</v>
      </c>
      <c r="AK83" s="231">
        <v>0</v>
      </c>
      <c r="AL83" s="231">
        <v>0</v>
      </c>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row>
    <row r="84" spans="1:131">
      <c r="A84" s="9"/>
      <c r="B84" s="9" t="s">
        <v>138</v>
      </c>
      <c r="C84" s="231">
        <v>0</v>
      </c>
      <c r="D84" s="231">
        <v>0</v>
      </c>
      <c r="E84" s="231">
        <v>0</v>
      </c>
      <c r="F84" s="231">
        <v>0</v>
      </c>
      <c r="G84" s="231">
        <v>0</v>
      </c>
      <c r="H84" s="231">
        <v>0</v>
      </c>
      <c r="I84" s="231">
        <v>0</v>
      </c>
      <c r="J84" s="231">
        <v>0</v>
      </c>
      <c r="K84" s="231">
        <v>0</v>
      </c>
      <c r="L84" s="232">
        <v>0</v>
      </c>
      <c r="M84" s="231">
        <v>0</v>
      </c>
      <c r="N84" s="231">
        <v>0</v>
      </c>
      <c r="O84" s="231">
        <v>0</v>
      </c>
      <c r="P84" s="231">
        <v>0</v>
      </c>
      <c r="Q84" s="231">
        <v>0</v>
      </c>
      <c r="R84" s="231">
        <v>0</v>
      </c>
      <c r="S84" s="231">
        <v>0</v>
      </c>
      <c r="T84" s="231">
        <v>0</v>
      </c>
      <c r="U84" s="231">
        <v>0</v>
      </c>
      <c r="V84" s="231">
        <v>0</v>
      </c>
      <c r="W84" s="231">
        <v>0</v>
      </c>
      <c r="X84" s="231">
        <v>0</v>
      </c>
      <c r="Y84" s="231">
        <v>0</v>
      </c>
      <c r="Z84" s="231"/>
      <c r="AA84" s="231">
        <v>0</v>
      </c>
      <c r="AB84" s="231">
        <v>0</v>
      </c>
      <c r="AC84" s="231">
        <v>0</v>
      </c>
      <c r="AD84" s="231">
        <v>0</v>
      </c>
      <c r="AE84" s="231">
        <v>0</v>
      </c>
      <c r="AF84" s="231">
        <v>0</v>
      </c>
      <c r="AG84" s="231">
        <v>0</v>
      </c>
      <c r="AH84" s="231">
        <v>0</v>
      </c>
      <c r="AI84" s="231">
        <v>0</v>
      </c>
      <c r="AJ84" s="231">
        <v>0</v>
      </c>
      <c r="AK84" s="231">
        <v>0</v>
      </c>
      <c r="AL84" s="231">
        <v>0</v>
      </c>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row>
    <row r="85" spans="1:131">
      <c r="A85" s="9"/>
      <c r="B85" s="9" t="s">
        <v>543</v>
      </c>
      <c r="C85" s="231">
        <v>0</v>
      </c>
      <c r="D85" s="231">
        <v>0</v>
      </c>
      <c r="E85" s="231">
        <v>0</v>
      </c>
      <c r="F85" s="231">
        <v>0</v>
      </c>
      <c r="G85" s="231">
        <v>0</v>
      </c>
      <c r="H85" s="231">
        <v>0</v>
      </c>
      <c r="I85" s="231">
        <v>0</v>
      </c>
      <c r="J85" s="231">
        <v>0</v>
      </c>
      <c r="K85" s="231">
        <v>0</v>
      </c>
      <c r="L85" s="232">
        <v>0</v>
      </c>
      <c r="M85" s="231">
        <v>0</v>
      </c>
      <c r="N85" s="231">
        <v>0</v>
      </c>
      <c r="O85" s="231">
        <v>0</v>
      </c>
      <c r="P85" s="231">
        <v>0</v>
      </c>
      <c r="Q85" s="231">
        <v>0</v>
      </c>
      <c r="R85" s="231">
        <v>0</v>
      </c>
      <c r="S85" s="231">
        <v>0</v>
      </c>
      <c r="T85" s="231">
        <v>0</v>
      </c>
      <c r="U85" s="231">
        <v>0</v>
      </c>
      <c r="V85" s="231">
        <v>0</v>
      </c>
      <c r="W85" s="231">
        <v>0</v>
      </c>
      <c r="X85" s="231">
        <v>0</v>
      </c>
      <c r="Y85" s="231">
        <v>0</v>
      </c>
      <c r="Z85" s="231"/>
      <c r="AA85" s="231">
        <v>0</v>
      </c>
      <c r="AB85" s="231">
        <v>0</v>
      </c>
      <c r="AC85" s="231">
        <v>0</v>
      </c>
      <c r="AD85" s="231">
        <v>0</v>
      </c>
      <c r="AE85" s="231">
        <v>0</v>
      </c>
      <c r="AF85" s="231">
        <v>0</v>
      </c>
      <c r="AG85" s="231">
        <v>0</v>
      </c>
      <c r="AH85" s="231">
        <v>0</v>
      </c>
      <c r="AI85" s="231">
        <v>0</v>
      </c>
      <c r="AJ85" s="231">
        <v>0</v>
      </c>
      <c r="AK85" s="231">
        <v>0</v>
      </c>
      <c r="AL85" s="231">
        <v>0</v>
      </c>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row>
    <row r="86" spans="1:131">
      <c r="A86" s="9"/>
      <c r="B86" s="9"/>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row>
    <row r="87" spans="1:131">
      <c r="A87" s="9"/>
      <c r="B87" s="9"/>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row>
    <row r="88" spans="1:131" ht="13.5" thickBot="1">
      <c r="A88" s="34" t="s">
        <v>45</v>
      </c>
      <c r="B88" s="35"/>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row>
    <row r="89" spans="1:131" ht="13.5" thickBot="1">
      <c r="A89" s="43"/>
      <c r="B89" s="44"/>
      <c r="C89" s="45"/>
      <c r="D89" s="45"/>
      <c r="E89" s="45"/>
      <c r="F89" s="45"/>
      <c r="G89" s="45"/>
      <c r="H89" s="45"/>
      <c r="I89" s="45"/>
      <c r="J89" s="45"/>
      <c r="K89" s="45"/>
      <c r="L89" s="45"/>
      <c r="M89" s="45"/>
      <c r="N89" s="45"/>
      <c r="O89" s="46" t="s">
        <v>324</v>
      </c>
      <c r="P89" s="47"/>
      <c r="Q89" s="47"/>
      <c r="R89" s="47"/>
      <c r="S89" s="47"/>
      <c r="T89" s="47"/>
      <c r="U89" s="47"/>
      <c r="V89" s="47"/>
      <c r="W89" s="47"/>
      <c r="X89" s="47"/>
      <c r="Y89" s="47"/>
      <c r="Z89" s="41"/>
      <c r="AA89" s="45"/>
      <c r="AB89" s="46" t="s">
        <v>325</v>
      </c>
      <c r="AC89" s="47"/>
      <c r="AD89" s="47"/>
      <c r="AE89" s="47"/>
      <c r="AF89" s="47"/>
      <c r="AG89" s="47"/>
      <c r="AH89" s="47"/>
      <c r="AI89" s="47"/>
      <c r="AJ89" s="47"/>
      <c r="AK89" s="47"/>
      <c r="AL89" s="47"/>
      <c r="AM89" s="41"/>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row>
    <row r="90" spans="1:131" ht="191.25">
      <c r="A90" s="37" t="s">
        <v>21</v>
      </c>
      <c r="B90" s="38" t="s">
        <v>22</v>
      </c>
      <c r="C90" s="39" t="s">
        <v>46</v>
      </c>
      <c r="D90" s="39" t="s">
        <v>25</v>
      </c>
      <c r="E90" s="39" t="s">
        <v>26</v>
      </c>
      <c r="F90" s="39" t="s">
        <v>27</v>
      </c>
      <c r="G90" s="39" t="s">
        <v>28</v>
      </c>
      <c r="H90" s="39" t="s">
        <v>29</v>
      </c>
      <c r="I90" s="39" t="s">
        <v>30</v>
      </c>
      <c r="J90" s="39" t="s">
        <v>31</v>
      </c>
      <c r="K90" s="39" t="s">
        <v>24</v>
      </c>
      <c r="L90" s="39" t="s">
        <v>23</v>
      </c>
      <c r="M90" s="39" t="s">
        <v>32</v>
      </c>
      <c r="N90" s="39" t="s">
        <v>326</v>
      </c>
      <c r="O90" s="39" t="s">
        <v>33</v>
      </c>
      <c r="P90" s="39" t="s">
        <v>34</v>
      </c>
      <c r="Q90" s="39" t="s">
        <v>35</v>
      </c>
      <c r="R90" s="39" t="s">
        <v>36</v>
      </c>
      <c r="S90" s="39" t="s">
        <v>37</v>
      </c>
      <c r="T90" s="39" t="s">
        <v>38</v>
      </c>
      <c r="U90" s="39" t="s">
        <v>39</v>
      </c>
      <c r="V90" s="39" t="s">
        <v>40</v>
      </c>
      <c r="W90" s="39" t="s">
        <v>41</v>
      </c>
      <c r="X90" s="39" t="s">
        <v>42</v>
      </c>
      <c r="Y90" s="39" t="s">
        <v>43</v>
      </c>
      <c r="Z90" s="39" t="s">
        <v>44</v>
      </c>
      <c r="AA90" s="39"/>
      <c r="AB90" s="39" t="s">
        <v>33</v>
      </c>
      <c r="AC90" s="39" t="s">
        <v>34</v>
      </c>
      <c r="AD90" s="39" t="s">
        <v>35</v>
      </c>
      <c r="AE90" s="39" t="s">
        <v>36</v>
      </c>
      <c r="AF90" s="39" t="s">
        <v>37</v>
      </c>
      <c r="AG90" s="39" t="s">
        <v>38</v>
      </c>
      <c r="AH90" s="39" t="s">
        <v>39</v>
      </c>
      <c r="AI90" s="39" t="s">
        <v>40</v>
      </c>
      <c r="AJ90" s="39" t="s">
        <v>41</v>
      </c>
      <c r="AK90" s="39" t="s">
        <v>42</v>
      </c>
      <c r="AL90" s="39" t="s">
        <v>43</v>
      </c>
      <c r="AM90" s="39" t="s">
        <v>44</v>
      </c>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row>
    <row r="91" spans="1:131">
      <c r="A91" s="9" t="s">
        <v>340</v>
      </c>
      <c r="B91" s="9"/>
      <c r="C91" s="42">
        <v>72.337106520484056</v>
      </c>
      <c r="D91" s="42">
        <v>5</v>
      </c>
      <c r="E91" s="42">
        <v>1</v>
      </c>
      <c r="F91" s="42">
        <v>6</v>
      </c>
      <c r="G91" s="42">
        <v>7.2144229231415418</v>
      </c>
      <c r="H91" s="42">
        <v>349.88333304785158</v>
      </c>
      <c r="I91" s="42">
        <v>726.59804252906247</v>
      </c>
      <c r="J91" s="42">
        <v>-6.6124047981462422</v>
      </c>
      <c r="K91" s="42">
        <v>-310.57246291587876</v>
      </c>
      <c r="L91" s="40">
        <v>48.497757447174145</v>
      </c>
      <c r="M91" s="42">
        <v>0.95790823610667863</v>
      </c>
      <c r="N91" s="42">
        <v>1.3998939688222571E-2</v>
      </c>
      <c r="O91" s="42">
        <v>4.7829249691422415</v>
      </c>
      <c r="P91" s="42">
        <v>4.2846961854147585</v>
      </c>
      <c r="Q91" s="42">
        <v>4.929037203096482</v>
      </c>
      <c r="R91" s="42">
        <v>4.2747278980773142</v>
      </c>
      <c r="S91" s="42">
        <v>4.0773420306890085</v>
      </c>
      <c r="T91" s="42">
        <v>3.9753295537210374</v>
      </c>
      <c r="U91" s="42">
        <v>3.3644576412576668</v>
      </c>
      <c r="V91" s="42">
        <v>3.5185226922701758</v>
      </c>
      <c r="W91" s="42">
        <v>3.3008874021680494</v>
      </c>
      <c r="X91" s="42">
        <v>3.9852251644679768</v>
      </c>
      <c r="Y91" s="42">
        <v>4.0847001453990259</v>
      </c>
      <c r="Z91" s="42">
        <v>4.7491927097235704</v>
      </c>
      <c r="AA91" s="42"/>
      <c r="AB91" s="42">
        <v>2.3999917628544014</v>
      </c>
      <c r="AC91" s="42">
        <v>2.0102871895558829</v>
      </c>
      <c r="AD91" s="42">
        <v>1.9193312934989404</v>
      </c>
      <c r="AE91" s="42">
        <v>1.9965580498528037</v>
      </c>
      <c r="AF91" s="42">
        <v>1.9951536685972522</v>
      </c>
      <c r="AG91" s="42">
        <v>1.6542074667191453</v>
      </c>
      <c r="AH91" s="42">
        <v>1.7986886499233703</v>
      </c>
      <c r="AI91" s="42">
        <v>1.4121629650345993</v>
      </c>
      <c r="AJ91" s="42">
        <v>1.7398411517686971</v>
      </c>
      <c r="AK91" s="42">
        <v>1.6232091819271706</v>
      </c>
      <c r="AL91" s="42">
        <v>2.1257516159279173</v>
      </c>
      <c r="AM91" s="36">
        <v>2.3348799293965716</v>
      </c>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row>
    <row r="92" spans="1:131">
      <c r="A92" s="9" t="s">
        <v>341</v>
      </c>
      <c r="B92" s="9"/>
      <c r="C92" s="42">
        <v>107.50499261958046</v>
      </c>
      <c r="D92" s="42">
        <v>5</v>
      </c>
      <c r="E92" s="42">
        <v>1</v>
      </c>
      <c r="F92" s="42">
        <v>6</v>
      </c>
      <c r="G92" s="42">
        <v>7.2144229231415418</v>
      </c>
      <c r="H92" s="42">
        <v>338.29900385309804</v>
      </c>
      <c r="I92" s="42">
        <v>488.90752623917638</v>
      </c>
      <c r="J92" s="42">
        <v>-8.0436361364586215</v>
      </c>
      <c r="K92" s="42">
        <v>-188.61824926443111</v>
      </c>
      <c r="L92" s="40">
        <v>46.892039385152202</v>
      </c>
      <c r="M92" s="42">
        <v>1.0831993374805036</v>
      </c>
      <c r="N92" s="42">
        <v>2.0804756787419384E-2</v>
      </c>
      <c r="O92" s="42">
        <v>7.1082234034622127</v>
      </c>
      <c r="P92" s="42">
        <v>6.3677724192592686</v>
      </c>
      <c r="Q92" s="42">
        <v>7.3253705273720282</v>
      </c>
      <c r="R92" s="42">
        <v>6.3529578834257361</v>
      </c>
      <c r="S92" s="42">
        <v>6.059609597359298</v>
      </c>
      <c r="T92" s="42">
        <v>5.9080020599408467</v>
      </c>
      <c r="U92" s="42">
        <v>5.0001446185834562</v>
      </c>
      <c r="V92" s="42">
        <v>5.2291109536876244</v>
      </c>
      <c r="W92" s="42">
        <v>4.9056686516435972</v>
      </c>
      <c r="X92" s="42">
        <v>5.9227085862519964</v>
      </c>
      <c r="Y92" s="42">
        <v>6.0705449817787791</v>
      </c>
      <c r="Z92" s="42">
        <v>7.0580916457201592</v>
      </c>
      <c r="AA92" s="42"/>
      <c r="AB92" s="42">
        <v>3.5667876303519837</v>
      </c>
      <c r="AC92" s="42">
        <v>2.9876217044324793</v>
      </c>
      <c r="AD92" s="42">
        <v>2.8524460884221812</v>
      </c>
      <c r="AE92" s="42">
        <v>2.9672179153752709</v>
      </c>
      <c r="AF92" s="42">
        <v>2.9651307708408075</v>
      </c>
      <c r="AG92" s="42">
        <v>2.4584279086493188</v>
      </c>
      <c r="AH92" s="42">
        <v>2.6731510193897248</v>
      </c>
      <c r="AI92" s="42">
        <v>2.0987094512924616</v>
      </c>
      <c r="AJ92" s="42">
        <v>2.585693832351045</v>
      </c>
      <c r="AK92" s="42">
        <v>2.4123592927193021</v>
      </c>
      <c r="AL92" s="42">
        <v>3.159221079940187</v>
      </c>
      <c r="AM92" s="36">
        <v>3.4700205973307061</v>
      </c>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row>
    <row r="93" spans="1:131">
      <c r="A93" s="9" t="s">
        <v>290</v>
      </c>
      <c r="B93" s="9"/>
      <c r="C93" s="42">
        <v>68.226290676354807</v>
      </c>
      <c r="D93" s="42">
        <v>5</v>
      </c>
      <c r="E93" s="42">
        <v>1</v>
      </c>
      <c r="F93" s="42">
        <v>6</v>
      </c>
      <c r="G93" s="42">
        <v>7.2144229231415418</v>
      </c>
      <c r="H93" s="42">
        <v>331.34128830134853</v>
      </c>
      <c r="I93" s="42">
        <v>770.377511058442</v>
      </c>
      <c r="J93" s="42">
        <v>-7.3386448499295165</v>
      </c>
      <c r="K93" s="42">
        <v>-311.43735778033295</v>
      </c>
      <c r="L93" s="40">
        <v>45.92762190840137</v>
      </c>
      <c r="M93" s="42">
        <v>0.64815453637110443</v>
      </c>
      <c r="N93" s="42">
        <v>1.4392877014777969E-2</v>
      </c>
      <c r="O93" s="42">
        <v>5.3025653460883069</v>
      </c>
      <c r="P93" s="42">
        <v>4.7790092216692379</v>
      </c>
      <c r="Q93" s="42">
        <v>5.3487933676960218</v>
      </c>
      <c r="R93" s="42">
        <v>4.1971694600742273</v>
      </c>
      <c r="S93" s="42">
        <v>3.4866412192534346</v>
      </c>
      <c r="T93" s="42">
        <v>2.9488936388702194</v>
      </c>
      <c r="U93" s="42">
        <v>2.5180740990031514</v>
      </c>
      <c r="V93" s="42">
        <v>2.5686240281475903</v>
      </c>
      <c r="W93" s="42">
        <v>2.5506848686052739</v>
      </c>
      <c r="X93" s="42">
        <v>3.4216040784643398</v>
      </c>
      <c r="Y93" s="42">
        <v>3.7862089978236639</v>
      </c>
      <c r="Z93" s="42">
        <v>5.1620810007949736</v>
      </c>
      <c r="AA93" s="42"/>
      <c r="AB93" s="42">
        <v>2.7881414344288595</v>
      </c>
      <c r="AC93" s="42">
        <v>2.3481157830682133</v>
      </c>
      <c r="AD93" s="42">
        <v>2.15195996469948</v>
      </c>
      <c r="AE93" s="42">
        <v>2.0044549831592144</v>
      </c>
      <c r="AF93" s="42">
        <v>1.7029336551664787</v>
      </c>
      <c r="AG93" s="42">
        <v>1.2854212891633343</v>
      </c>
      <c r="AH93" s="42">
        <v>1.350069723162018</v>
      </c>
      <c r="AI93" s="42">
        <v>1.1176460546297713</v>
      </c>
      <c r="AJ93" s="42">
        <v>1.340426492104642</v>
      </c>
      <c r="AK93" s="42">
        <v>1.4130541826880811</v>
      </c>
      <c r="AL93" s="42">
        <v>1.968117307166757</v>
      </c>
      <c r="AM93" s="36">
        <v>2.68560048042752</v>
      </c>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row>
    <row r="94" spans="1:131">
      <c r="A94" s="9" t="s">
        <v>342</v>
      </c>
      <c r="B94" s="9"/>
      <c r="C94" s="42">
        <v>87.60005099091866</v>
      </c>
      <c r="D94" s="42">
        <v>5</v>
      </c>
      <c r="E94" s="42">
        <v>1</v>
      </c>
      <c r="F94" s="42">
        <v>6</v>
      </c>
      <c r="G94" s="42">
        <v>7.2144229231415418</v>
      </c>
      <c r="H94" s="42">
        <v>260.80973431294518</v>
      </c>
      <c r="I94" s="42">
        <v>599.99965074733575</v>
      </c>
      <c r="J94" s="42">
        <v>-7.3747052404448032</v>
      </c>
      <c r="K94" s="42">
        <v>-175.02096174204908</v>
      </c>
      <c r="L94" s="40">
        <v>36.151156799575979</v>
      </c>
      <c r="M94" s="42">
        <v>0.85481394694357238</v>
      </c>
      <c r="N94" s="42">
        <v>1.6952680159522726E-2</v>
      </c>
      <c r="O94" s="42">
        <v>5.7921099050865745</v>
      </c>
      <c r="P94" s="42">
        <v>5.1887561222350067</v>
      </c>
      <c r="Q94" s="42">
        <v>5.9690514467165832</v>
      </c>
      <c r="R94" s="42">
        <v>5.176684551763703</v>
      </c>
      <c r="S94" s="42">
        <v>4.9376507711796549</v>
      </c>
      <c r="T94" s="42">
        <v>4.8141139224729175</v>
      </c>
      <c r="U94" s="42">
        <v>4.0743495988120326</v>
      </c>
      <c r="V94" s="42">
        <v>4.2609219815599175</v>
      </c>
      <c r="W94" s="42">
        <v>3.9973662018582381</v>
      </c>
      <c r="X94" s="42">
        <v>4.8260974817789943</v>
      </c>
      <c r="Y94" s="42">
        <v>4.9465614292747784</v>
      </c>
      <c r="Z94" s="42">
        <v>5.7512602252023273</v>
      </c>
      <c r="AA94" s="42"/>
      <c r="AB94" s="42">
        <v>2.9063838867303295</v>
      </c>
      <c r="AC94" s="42">
        <v>2.434452645152712</v>
      </c>
      <c r="AD94" s="42">
        <v>2.3243052876515296</v>
      </c>
      <c r="AE94" s="42">
        <v>2.4178266920851721</v>
      </c>
      <c r="AF94" s="42">
        <v>2.4161259899764671</v>
      </c>
      <c r="AG94" s="42">
        <v>2.0032410114872508</v>
      </c>
      <c r="AH94" s="42">
        <v>2.1782073548304748</v>
      </c>
      <c r="AI94" s="42">
        <v>1.710125738986912</v>
      </c>
      <c r="AJ94" s="42">
        <v>2.1069431850702762</v>
      </c>
      <c r="AK94" s="42">
        <v>1.9657021678836704</v>
      </c>
      <c r="AL94" s="42">
        <v>2.5742797701838072</v>
      </c>
      <c r="AM94" s="36">
        <v>2.8275336229393262</v>
      </c>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row>
    <row r="95" spans="1:131">
      <c r="A95" s="9" t="s">
        <v>343</v>
      </c>
      <c r="B95" s="9"/>
      <c r="C95" s="42">
        <v>87.60005099091866</v>
      </c>
      <c r="D95" s="42">
        <v>5</v>
      </c>
      <c r="E95" s="42">
        <v>1</v>
      </c>
      <c r="F95" s="42">
        <v>6</v>
      </c>
      <c r="G95" s="42">
        <v>7.2144229231415418</v>
      </c>
      <c r="H95" s="42">
        <v>260.80973431294518</v>
      </c>
      <c r="I95" s="42">
        <v>599.99965074733575</v>
      </c>
      <c r="J95" s="42">
        <v>-7.3747052404448032</v>
      </c>
      <c r="K95" s="42">
        <v>-175.02096174204908</v>
      </c>
      <c r="L95" s="40">
        <v>36.151156799575979</v>
      </c>
      <c r="M95" s="42">
        <v>0.85481394694357238</v>
      </c>
      <c r="N95" s="42">
        <v>1.6952680159522726E-2</v>
      </c>
      <c r="O95" s="42">
        <v>5.7921099050865745</v>
      </c>
      <c r="P95" s="42">
        <v>5.1887561222350067</v>
      </c>
      <c r="Q95" s="42">
        <v>5.9690514467165832</v>
      </c>
      <c r="R95" s="42">
        <v>5.176684551763703</v>
      </c>
      <c r="S95" s="42">
        <v>4.9376507711796549</v>
      </c>
      <c r="T95" s="42">
        <v>4.8141139224729175</v>
      </c>
      <c r="U95" s="42">
        <v>4.0743495988120326</v>
      </c>
      <c r="V95" s="42">
        <v>4.2609219815599175</v>
      </c>
      <c r="W95" s="42">
        <v>3.9973662018582381</v>
      </c>
      <c r="X95" s="42">
        <v>4.8260974817789943</v>
      </c>
      <c r="Y95" s="42">
        <v>4.9465614292747784</v>
      </c>
      <c r="Z95" s="42">
        <v>5.7512602252023273</v>
      </c>
      <c r="AA95" s="42"/>
      <c r="AB95" s="42">
        <v>2.9063838867303295</v>
      </c>
      <c r="AC95" s="42">
        <v>2.434452645152712</v>
      </c>
      <c r="AD95" s="42">
        <v>2.3243052876515296</v>
      </c>
      <c r="AE95" s="42">
        <v>2.4178266920851721</v>
      </c>
      <c r="AF95" s="42">
        <v>2.4161259899764671</v>
      </c>
      <c r="AG95" s="42">
        <v>2.0032410114872508</v>
      </c>
      <c r="AH95" s="42">
        <v>2.1782073548304748</v>
      </c>
      <c r="AI95" s="42">
        <v>1.710125738986912</v>
      </c>
      <c r="AJ95" s="42">
        <v>2.1069431850702762</v>
      </c>
      <c r="AK95" s="42">
        <v>1.9657021678836704</v>
      </c>
      <c r="AL95" s="42">
        <v>2.5742797701838072</v>
      </c>
      <c r="AM95" s="36">
        <v>2.8275336229393262</v>
      </c>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row>
    <row r="96" spans="1:131">
      <c r="A96" s="9"/>
      <c r="B96" s="9"/>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row>
  </sheetData>
  <mergeCells count="3">
    <mergeCell ref="I6:N6"/>
    <mergeCell ref="O6:P6"/>
    <mergeCell ref="R6:T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codeName="Sheet10"/>
  <dimension ref="A1:DB223"/>
  <sheetViews>
    <sheetView topLeftCell="D1" workbookViewId="0">
      <selection activeCell="I12" sqref="I12"/>
    </sheetView>
  </sheetViews>
  <sheetFormatPr defaultRowHeight="12.75"/>
  <cols>
    <col min="1" max="1" width="14.28515625" style="9" bestFit="1" customWidth="1"/>
    <col min="2" max="2" width="46.42578125" style="9" customWidth="1"/>
    <col min="3" max="3" width="25" style="9" customWidth="1"/>
    <col min="4" max="4" width="17.28515625" style="9" bestFit="1" customWidth="1"/>
    <col min="5" max="5" width="12" style="9" bestFit="1" customWidth="1"/>
    <col min="6" max="6" width="12.5703125" style="9" customWidth="1"/>
    <col min="7" max="7" width="13.7109375" style="9" customWidth="1"/>
    <col min="8" max="8" width="17.28515625" style="9" bestFit="1" customWidth="1"/>
    <col min="9" max="9" width="15.5703125" style="9" bestFit="1" customWidth="1"/>
    <col min="10" max="10" width="15.28515625" style="9" bestFit="1" customWidth="1"/>
    <col min="11" max="11" width="14.28515625" style="9" bestFit="1" customWidth="1"/>
    <col min="12" max="12" width="14.28515625" style="9" customWidth="1"/>
    <col min="13" max="13" width="12.5703125" style="9" customWidth="1"/>
    <col min="14" max="14" width="10.28515625" style="9" bestFit="1" customWidth="1"/>
    <col min="15" max="16" width="10.85546875" style="9" bestFit="1" customWidth="1"/>
    <col min="17" max="17" width="13.42578125" style="9" customWidth="1"/>
    <col min="18" max="18" width="11.85546875" style="9" bestFit="1" customWidth="1"/>
    <col min="19" max="19" width="11" style="9" bestFit="1" customWidth="1"/>
    <col min="20" max="20" width="14.28515625" style="9" bestFit="1" customWidth="1"/>
    <col min="21" max="21" width="10.7109375" style="9" customWidth="1"/>
    <col min="22" max="22" width="13.85546875" style="9" bestFit="1" customWidth="1"/>
    <col min="23" max="23" width="11.7109375" style="9" bestFit="1" customWidth="1"/>
    <col min="24" max="24" width="15.28515625" style="9" bestFit="1" customWidth="1"/>
    <col min="25" max="27" width="12.28515625" style="9" bestFit="1" customWidth="1"/>
    <col min="28" max="28" width="12.5703125" style="9" bestFit="1" customWidth="1"/>
    <col min="29" max="31" width="14.28515625" style="9" bestFit="1" customWidth="1"/>
    <col min="32" max="32" width="13.7109375" style="9" bestFit="1" customWidth="1"/>
    <col min="33" max="33" width="14" style="9" bestFit="1" customWidth="1"/>
    <col min="34" max="34" width="12.85546875" style="9" bestFit="1" customWidth="1"/>
    <col min="35" max="35" width="15.28515625" style="9" bestFit="1" customWidth="1"/>
    <col min="36" max="36" width="12.28515625" style="9" bestFit="1" customWidth="1"/>
    <col min="37" max="37" width="10.85546875" style="9" bestFit="1" customWidth="1"/>
    <col min="38" max="38" width="12.28515625" style="9" bestFit="1" customWidth="1"/>
    <col min="39" max="39" width="12.5703125" style="9" bestFit="1" customWidth="1"/>
    <col min="40" max="44" width="12.85546875" style="9" customWidth="1"/>
    <col min="45" max="45" width="12.5703125" style="9" customWidth="1"/>
    <col min="46" max="46" width="12.28515625" style="9" customWidth="1"/>
    <col min="47" max="47" width="12.7109375" style="9" customWidth="1"/>
    <col min="48" max="48" width="11.85546875" style="9" customWidth="1"/>
    <col min="49" max="49" width="12.5703125" style="9" bestFit="1" customWidth="1"/>
    <col min="50" max="50" width="13.42578125" style="9" customWidth="1"/>
    <col min="51" max="51" width="15.7109375" style="9" bestFit="1" customWidth="1"/>
    <col min="52" max="52" width="11" style="9" bestFit="1" customWidth="1"/>
    <col min="53" max="53" width="14.28515625" style="9" bestFit="1" customWidth="1"/>
    <col min="54" max="54" width="14.7109375" style="9" bestFit="1" customWidth="1"/>
    <col min="55" max="55" width="15" style="9" bestFit="1" customWidth="1"/>
    <col min="56" max="56" width="12.5703125" style="9" bestFit="1" customWidth="1"/>
    <col min="57" max="57" width="13.5703125" style="9" customWidth="1"/>
    <col min="58" max="59" width="14.5703125" style="9" bestFit="1" customWidth="1"/>
    <col min="60" max="60" width="14.85546875" style="9" bestFit="1" customWidth="1"/>
    <col min="61" max="61" width="12.5703125" style="9" bestFit="1" customWidth="1"/>
    <col min="62" max="62" width="13.28515625" style="9" bestFit="1" customWidth="1"/>
    <col min="63" max="63" width="14" style="9" bestFit="1" customWidth="1"/>
    <col min="64" max="64" width="13.28515625" style="9" bestFit="1" customWidth="1"/>
    <col min="65" max="65" width="11.140625" style="9" bestFit="1" customWidth="1"/>
    <col min="66" max="66" width="16.85546875" style="9" bestFit="1" customWidth="1"/>
    <col min="67" max="67" width="14.7109375" style="9" customWidth="1"/>
    <col min="68" max="68" width="12" style="9" customWidth="1"/>
    <col min="69" max="69" width="14" style="9" customWidth="1"/>
    <col min="70" max="70" width="12.5703125" style="9" customWidth="1"/>
    <col min="71" max="71" width="11.28515625" style="9" customWidth="1"/>
    <col min="72" max="72" width="14.42578125" style="9" customWidth="1"/>
    <col min="73" max="73" width="15.7109375" style="9" customWidth="1"/>
    <col min="74" max="74" width="12.85546875" style="9" customWidth="1"/>
    <col min="75" max="75" width="13" style="9" customWidth="1"/>
    <col min="76" max="76" width="11.7109375" style="9" customWidth="1"/>
    <col min="77" max="77" width="14" style="9" customWidth="1"/>
    <col min="78" max="78" width="14.85546875" style="9" customWidth="1"/>
    <col min="79" max="79" width="11.85546875" style="9" customWidth="1"/>
    <col min="80" max="80" width="13.85546875" style="9" customWidth="1"/>
    <col min="81" max="81" width="13.7109375" style="9" customWidth="1"/>
    <col min="82" max="82" width="13" style="9" customWidth="1"/>
    <col min="83" max="83" width="12.42578125" style="9" customWidth="1"/>
    <col min="84" max="84" width="13" style="9" customWidth="1"/>
    <col min="85" max="85" width="12.7109375" style="9" hidden="1" customWidth="1"/>
    <col min="86" max="86" width="12.42578125" style="9" hidden="1" customWidth="1"/>
    <col min="87" max="87" width="10.28515625" style="9" hidden="1" customWidth="1"/>
    <col min="88" max="91" width="9.85546875" style="9" hidden="1" customWidth="1"/>
    <col min="92" max="92" width="9.85546875" style="9" customWidth="1"/>
    <col min="93" max="100" width="10.7109375" style="9" customWidth="1"/>
    <col min="101" max="101" width="16.5703125" style="9" customWidth="1"/>
    <col min="102" max="106" width="10.7109375" style="9" customWidth="1"/>
    <col min="107" max="16384" width="9.140625" style="9"/>
  </cols>
  <sheetData>
    <row r="1" spans="1:106">
      <c r="B1" s="1"/>
      <c r="C1" s="2"/>
      <c r="D1" s="2"/>
      <c r="E1" s="2"/>
      <c r="F1" s="2"/>
      <c r="G1" s="2"/>
      <c r="H1" s="2"/>
      <c r="I1" s="3"/>
      <c r="J1" s="4"/>
      <c r="K1" s="4"/>
      <c r="L1" s="4"/>
      <c r="M1" s="4"/>
      <c r="N1" s="4"/>
      <c r="O1" s="5"/>
      <c r="P1" s="6"/>
      <c r="Q1" s="5"/>
      <c r="R1" s="5"/>
      <c r="S1" s="5"/>
      <c r="T1" s="3"/>
      <c r="U1" s="3"/>
      <c r="V1" s="3"/>
      <c r="W1" s="5"/>
      <c r="X1" s="3"/>
      <c r="Y1" s="3"/>
      <c r="Z1" s="3"/>
      <c r="AA1" s="3"/>
      <c r="AB1" s="3"/>
      <c r="AC1" s="3"/>
      <c r="AD1" s="3"/>
      <c r="AE1" s="3"/>
      <c r="AF1" s="3"/>
      <c r="AG1" s="3"/>
      <c r="AH1" s="3"/>
      <c r="AI1" s="3"/>
      <c r="AJ1" s="3"/>
      <c r="AK1" s="3"/>
      <c r="AL1" s="3"/>
      <c r="AM1" s="3"/>
      <c r="AN1" s="3"/>
      <c r="AO1" s="3"/>
      <c r="AP1" s="3"/>
      <c r="AQ1" s="7"/>
      <c r="AR1" s="3"/>
      <c r="AS1" s="3"/>
      <c r="AT1" s="3"/>
      <c r="AU1" s="3"/>
      <c r="AV1" s="3"/>
      <c r="AW1" s="7"/>
      <c r="AX1" s="3"/>
      <c r="AY1" s="3"/>
      <c r="AZ1" s="3"/>
      <c r="BA1" s="3"/>
      <c r="BB1" s="3"/>
      <c r="BC1" s="3"/>
      <c r="BD1" s="3"/>
      <c r="BE1" s="3"/>
      <c r="BF1" s="3"/>
      <c r="BG1" s="3"/>
      <c r="BH1" s="3"/>
      <c r="BI1" s="3"/>
      <c r="BJ1" s="3"/>
      <c r="BK1" s="3"/>
      <c r="BL1" s="3"/>
      <c r="BM1" s="3"/>
      <c r="BN1" s="8"/>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7"/>
      <c r="CR1" s="3"/>
      <c r="CS1" s="3"/>
      <c r="CT1" s="3"/>
      <c r="CU1" s="3"/>
      <c r="CV1" s="3"/>
      <c r="CW1" s="3"/>
      <c r="CX1" s="3"/>
      <c r="CY1" s="3"/>
      <c r="CZ1" s="3"/>
      <c r="DA1" s="3"/>
      <c r="DB1" s="3"/>
    </row>
    <row r="2" spans="1:106">
      <c r="B2" s="10"/>
      <c r="C2" s="3"/>
      <c r="D2" s="3"/>
      <c r="E2" s="3"/>
      <c r="F2" s="3"/>
      <c r="G2" s="3"/>
      <c r="H2" s="3"/>
      <c r="I2" s="3"/>
      <c r="J2" s="4"/>
      <c r="K2" s="4"/>
      <c r="L2" s="4"/>
      <c r="M2" s="4"/>
      <c r="N2" s="4"/>
      <c r="O2" s="5"/>
      <c r="P2" s="5"/>
      <c r="Q2" s="5"/>
      <c r="R2" s="5"/>
      <c r="S2" s="5"/>
      <c r="T2" s="3"/>
      <c r="U2" s="3"/>
      <c r="V2" s="3"/>
      <c r="W2" s="5"/>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7"/>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row>
    <row r="3" spans="1:106">
      <c r="B3" s="10"/>
      <c r="D3" s="10"/>
      <c r="K3" s="11"/>
      <c r="L3" s="12"/>
      <c r="CP3" s="12"/>
      <c r="CQ3" s="12"/>
    </row>
    <row r="5" spans="1:106">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row>
    <row r="6" spans="1:106">
      <c r="B6" s="14" t="s">
        <v>3</v>
      </c>
      <c r="C6" s="15"/>
      <c r="D6" s="15"/>
      <c r="E6" s="15"/>
      <c r="F6" s="15"/>
      <c r="G6" s="15"/>
      <c r="H6" s="16"/>
      <c r="I6" s="17"/>
      <c r="J6" s="242" t="s">
        <v>4</v>
      </c>
      <c r="K6" s="243"/>
      <c r="L6" s="243"/>
      <c r="M6" s="243"/>
      <c r="N6" s="243"/>
      <c r="O6" s="244"/>
      <c r="P6" s="245" t="s">
        <v>5</v>
      </c>
      <c r="Q6" s="246"/>
      <c r="R6" s="18"/>
      <c r="S6" s="19"/>
      <c r="T6" s="19"/>
      <c r="U6" s="19"/>
      <c r="V6" s="19"/>
      <c r="W6" s="19"/>
      <c r="X6" s="19"/>
      <c r="Y6" s="20"/>
      <c r="Z6" s="21"/>
      <c r="AA6" s="19"/>
      <c r="AB6" s="19"/>
      <c r="AC6" s="19"/>
      <c r="AD6" s="19"/>
      <c r="AE6" s="19"/>
      <c r="AF6" s="22"/>
      <c r="AG6" s="22"/>
      <c r="AH6" s="22"/>
      <c r="AI6" s="22"/>
      <c r="AJ6" s="22"/>
      <c r="AK6" s="22"/>
      <c r="AL6" s="22"/>
      <c r="AM6" s="22"/>
      <c r="AN6" s="22"/>
      <c r="AO6" s="22"/>
      <c r="AP6" s="22"/>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ht="25.5">
      <c r="B7" s="23" t="s">
        <v>6</v>
      </c>
      <c r="C7" s="23" t="s">
        <v>7</v>
      </c>
      <c r="D7" s="23" t="s">
        <v>8</v>
      </c>
      <c r="E7" s="23" t="s">
        <v>9</v>
      </c>
      <c r="F7" s="23" t="s">
        <v>10</v>
      </c>
      <c r="G7" s="23" t="s">
        <v>11</v>
      </c>
      <c r="H7" s="23" t="s">
        <v>12</v>
      </c>
      <c r="I7" s="23" t="s">
        <v>13</v>
      </c>
      <c r="J7" s="23" t="s">
        <v>14</v>
      </c>
      <c r="K7" s="23" t="s">
        <v>15</v>
      </c>
      <c r="L7" s="23" t="s">
        <v>16</v>
      </c>
      <c r="M7" s="23" t="s">
        <v>17</v>
      </c>
      <c r="N7" s="23" t="s">
        <v>18</v>
      </c>
      <c r="O7" s="23" t="s">
        <v>19</v>
      </c>
      <c r="P7" s="24" t="s">
        <v>20</v>
      </c>
      <c r="Q7" s="23" t="s">
        <v>12</v>
      </c>
      <c r="R7" s="25"/>
      <c r="S7" s="25"/>
      <c r="T7" s="25"/>
      <c r="U7" s="25"/>
      <c r="V7" s="25"/>
      <c r="W7" s="25"/>
      <c r="X7" s="25"/>
      <c r="Y7" s="25"/>
      <c r="Z7" s="25"/>
      <c r="AA7" s="25"/>
      <c r="AB7" s="25"/>
      <c r="AC7" s="25"/>
      <c r="AD7" s="25"/>
      <c r="AE7" s="25"/>
      <c r="AF7" s="22"/>
      <c r="AG7" s="22"/>
      <c r="AH7" s="22"/>
      <c r="AI7" s="22"/>
      <c r="AJ7" s="22"/>
      <c r="AK7" s="22"/>
      <c r="AL7" s="22"/>
      <c r="AM7" s="22"/>
      <c r="AN7" s="22"/>
      <c r="AO7" s="22"/>
      <c r="AP7" s="22"/>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1:106">
      <c r="A8" s="9" t="str">
        <f>LEFT(B8,FIND("Bath",B8)-2)</f>
        <v>Single Family</v>
      </c>
      <c r="B8" s="26" t="s">
        <v>340</v>
      </c>
      <c r="C8" s="26" t="s">
        <v>230</v>
      </c>
      <c r="D8" s="27">
        <f>('Cost&amp;Savings'!N4+'Cost&amp;Savings'!P4)*VLOOKUP($A8,'Cost&amp;Savings'!$C$18:$D$21,2,0)</f>
        <v>67.296825260416369</v>
      </c>
      <c r="E8" s="29">
        <f>'ETO Blessing'!$P$45</f>
        <v>15</v>
      </c>
      <c r="F8" s="28">
        <f>'ETO Blessing'!$P$46</f>
        <v>5</v>
      </c>
      <c r="G8" s="26"/>
      <c r="H8" s="26" t="s">
        <v>53</v>
      </c>
      <c r="I8" s="28">
        <f>'Cost&amp;Savings'!$T$31*'Cost&amp;Savings'!Q4/1000</f>
        <v>20.9618918971392</v>
      </c>
      <c r="J8" s="26"/>
      <c r="K8" s="26"/>
      <c r="L8" s="26"/>
      <c r="M8" s="26"/>
      <c r="N8" s="26"/>
      <c r="O8" s="26"/>
      <c r="P8" s="29">
        <f>'Cost&amp;Savings'!O5*(1-VLOOKUP($A8,'Cost&amp;Savings'!$C$18:$D$21,2,0))</f>
        <v>2.2907614903920233</v>
      </c>
      <c r="Q8" s="26"/>
      <c r="R8" s="30" t="s">
        <v>52</v>
      </c>
      <c r="S8" s="31"/>
      <c r="T8" s="32"/>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row>
    <row r="9" spans="1:106" ht="25.5">
      <c r="A9" s="9" t="str">
        <f t="shared" ref="A9:A11" si="0">LEFT(B9,FIND("Bath",B9)-2)</f>
        <v>Multifamily - Low Rise</v>
      </c>
      <c r="B9" s="26" t="s">
        <v>342</v>
      </c>
      <c r="C9" s="26" t="s">
        <v>230</v>
      </c>
      <c r="D9" s="27">
        <f>('Cost&amp;Savings'!N7+'Cost&amp;Savings'!P7)*VLOOKUP($A9,'Cost&amp;Savings'!$C$18:$D$21,2,0)</f>
        <v>81.496283275721595</v>
      </c>
      <c r="E9" s="29">
        <f>'ETO Blessing'!$P$45</f>
        <v>15</v>
      </c>
      <c r="F9" s="28">
        <f>'ETO Blessing'!$P$46</f>
        <v>5</v>
      </c>
      <c r="G9" s="26"/>
      <c r="H9" s="26"/>
      <c r="I9" s="28">
        <f>'Cost&amp;Savings'!$T$31*'Cost&amp;Savings'!Q7/1000</f>
        <v>14.796629574451199</v>
      </c>
      <c r="J9" s="26"/>
      <c r="K9" s="26"/>
      <c r="L9" s="26"/>
      <c r="M9" s="26"/>
      <c r="N9" s="26"/>
      <c r="O9" s="26"/>
      <c r="P9" s="29">
        <f>'Cost&amp;Savings'!O8*(1-VLOOKUP($A9,'Cost&amp;Savings'!$C$18:$D$21,2,0))</f>
        <v>0.191297834544292</v>
      </c>
      <c r="Q9" s="26"/>
      <c r="R9" s="30"/>
      <c r="S9" s="31"/>
      <c r="T9" s="32"/>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row>
    <row r="10" spans="1:106" ht="25.5">
      <c r="A10" s="9" t="str">
        <f t="shared" si="0"/>
        <v>Multifamily - High Rise</v>
      </c>
      <c r="B10" s="26" t="s">
        <v>343</v>
      </c>
      <c r="C10" s="26" t="s">
        <v>230</v>
      </c>
      <c r="D10" s="27">
        <f>('Cost&amp;Savings'!N7+'Cost&amp;Savings'!P7)*VLOOKUP($A10,'Cost&amp;Savings'!$C$18:$D$21,2,0)</f>
        <v>81.496283275721595</v>
      </c>
      <c r="E10" s="29">
        <f>'ETO Blessing'!$P$45</f>
        <v>15</v>
      </c>
      <c r="F10" s="28">
        <f>'ETO Blessing'!$P$46</f>
        <v>5</v>
      </c>
      <c r="G10" s="26"/>
      <c r="H10" s="26"/>
      <c r="I10" s="28">
        <f>'Cost&amp;Savings'!$T$31*'Cost&amp;Savings'!Q7/1000</f>
        <v>14.796629574451199</v>
      </c>
      <c r="J10" s="26"/>
      <c r="K10" s="26"/>
      <c r="L10" s="26"/>
      <c r="M10" s="26"/>
      <c r="N10" s="26"/>
      <c r="O10" s="26"/>
      <c r="P10" s="29">
        <f>'Cost&amp;Savings'!O8*(1-VLOOKUP($A10,'Cost&amp;Savings'!$C$18:$D$21,2,0))</f>
        <v>0.191297834544292</v>
      </c>
      <c r="Q10" s="26"/>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row>
    <row r="11" spans="1:106">
      <c r="A11" s="9" t="str">
        <f t="shared" si="0"/>
        <v>Manufactured</v>
      </c>
      <c r="B11" s="26" t="s">
        <v>341</v>
      </c>
      <c r="C11" s="26" t="s">
        <v>230</v>
      </c>
      <c r="D11" s="27">
        <f>('Cost&amp;Savings'!N9+'Cost&amp;Savings'!P9)*VLOOKUP($A11,'Cost&amp;Savings'!$C$18:$D$21,2,0)</f>
        <v>100.01429488880039</v>
      </c>
      <c r="E11" s="29">
        <f>'ETO Blessing'!$P$45</f>
        <v>15</v>
      </c>
      <c r="F11" s="28">
        <f>'ETO Blessing'!$P$46</f>
        <v>5</v>
      </c>
      <c r="G11" s="26"/>
      <c r="H11" s="26"/>
      <c r="I11" s="28">
        <f>'Cost&amp;Savings'!$T$31*'Cost&amp;Savings'!Q9/1000</f>
        <v>19.343510537433602</v>
      </c>
      <c r="J11" s="26"/>
      <c r="K11" s="26"/>
      <c r="L11" s="26"/>
      <c r="M11" s="26"/>
      <c r="N11" s="26"/>
      <c r="O11" s="26"/>
      <c r="P11" s="29">
        <f>'Cost&amp;Savings'!O10*(1-VLOOKUP($A11,'Cost&amp;Savings'!$C$18:$D$21,2,0))</f>
        <v>0.52375677753916228</v>
      </c>
      <c r="Q11" s="26"/>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row>
    <row r="12" spans="1:106">
      <c r="A12" s="9" t="str">
        <f>LEFT(B12,FIND("Bath",B12)-2)</f>
        <v>Single Family</v>
      </c>
      <c r="B12" s="26" t="s">
        <v>290</v>
      </c>
      <c r="C12" s="26" t="s">
        <v>230</v>
      </c>
      <c r="D12" s="27">
        <f>'Cost&amp;Savings'!N6+'Cost&amp;Savings'!P6</f>
        <v>63.424705497648468</v>
      </c>
      <c r="E12" s="29">
        <f>'ETO Blessing'!$P$45</f>
        <v>15</v>
      </c>
      <c r="F12" s="28">
        <f>'ETO Blessing'!$P$46</f>
        <v>5</v>
      </c>
      <c r="G12" s="26"/>
      <c r="H12" s="26" t="s">
        <v>53</v>
      </c>
      <c r="I12" s="28">
        <f>'Cost&amp;Savings'!$T$31*'Cost&amp;Savings'!Q6/1000</f>
        <v>20.9618918971392</v>
      </c>
      <c r="J12" s="26"/>
      <c r="K12" s="26"/>
      <c r="L12" s="26"/>
      <c r="M12" s="26"/>
      <c r="N12" s="26"/>
      <c r="O12" s="26"/>
      <c r="P12" s="29"/>
      <c r="Q12" s="26"/>
      <c r="R12" s="30"/>
      <c r="S12" s="31"/>
      <c r="T12" s="32"/>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row>
    <row r="13" spans="1:106">
      <c r="B13" s="26"/>
      <c r="C13" s="26"/>
      <c r="D13" s="27"/>
      <c r="E13" s="26"/>
      <c r="F13" s="28"/>
      <c r="G13" s="26"/>
      <c r="H13" s="26"/>
      <c r="I13" s="28"/>
      <c r="J13" s="26"/>
      <c r="K13" s="26"/>
      <c r="L13" s="26"/>
      <c r="M13" s="26"/>
      <c r="N13" s="26"/>
      <c r="O13" s="26"/>
      <c r="P13" s="29"/>
      <c r="Q13" s="26"/>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row>
    <row r="14" spans="1:106">
      <c r="B14" s="26"/>
      <c r="C14" s="26"/>
      <c r="D14" s="27"/>
      <c r="E14" s="26"/>
      <c r="F14" s="28"/>
      <c r="G14" s="26"/>
      <c r="H14" s="26"/>
      <c r="I14" s="28"/>
      <c r="J14" s="26"/>
      <c r="K14" s="26"/>
      <c r="L14" s="26"/>
      <c r="M14" s="26"/>
      <c r="N14" s="26"/>
      <c r="O14" s="26"/>
      <c r="P14" s="29"/>
      <c r="Q14" s="26"/>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row>
    <row r="15" spans="1:106">
      <c r="B15" s="26"/>
      <c r="C15" s="26"/>
      <c r="D15" s="27"/>
      <c r="E15" s="26"/>
      <c r="F15" s="28"/>
      <c r="G15" s="26"/>
      <c r="H15" s="26"/>
      <c r="I15" s="28"/>
      <c r="J15" s="26"/>
      <c r="K15" s="26"/>
      <c r="L15" s="26"/>
      <c r="M15" s="26"/>
      <c r="N15" s="26"/>
      <c r="O15" s="26"/>
      <c r="P15" s="29"/>
      <c r="Q15" s="26"/>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row>
    <row r="16" spans="1:106">
      <c r="B16" s="26"/>
      <c r="C16" s="26"/>
      <c r="D16" s="27"/>
      <c r="E16" s="26"/>
      <c r="F16" s="28"/>
      <c r="G16" s="26"/>
      <c r="H16" s="26"/>
      <c r="I16" s="28"/>
      <c r="J16" s="26"/>
      <c r="K16" s="26"/>
      <c r="L16" s="26"/>
      <c r="M16" s="26"/>
      <c r="N16" s="26"/>
      <c r="O16" s="26"/>
      <c r="P16" s="29"/>
      <c r="Q16" s="2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row>
    <row r="17" spans="2:103">
      <c r="B17" s="26"/>
      <c r="C17" s="26"/>
      <c r="D17" s="27"/>
      <c r="E17" s="26"/>
      <c r="F17" s="28"/>
      <c r="G17" s="26"/>
      <c r="H17" s="26"/>
      <c r="I17" s="28"/>
      <c r="J17" s="26"/>
      <c r="K17" s="26"/>
      <c r="L17" s="26"/>
      <c r="M17" s="26"/>
      <c r="N17" s="26"/>
      <c r="O17" s="26"/>
      <c r="P17" s="29"/>
      <c r="Q17" s="26"/>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row>
    <row r="18" spans="2:103">
      <c r="B18" s="26"/>
      <c r="C18" s="26"/>
      <c r="D18" s="27"/>
      <c r="E18" s="26"/>
      <c r="F18" s="28"/>
      <c r="G18" s="26"/>
      <c r="H18" s="26"/>
      <c r="I18" s="28"/>
      <c r="J18" s="26"/>
      <c r="K18" s="26"/>
      <c r="L18" s="26"/>
      <c r="M18" s="26"/>
      <c r="N18" s="26"/>
      <c r="O18" s="26"/>
      <c r="P18" s="29"/>
      <c r="Q18" s="26"/>
      <c r="R18" s="33"/>
      <c r="S18" s="33"/>
      <c r="T18" s="33"/>
      <c r="U18" s="33"/>
      <c r="V18" s="33"/>
      <c r="W18" s="33"/>
      <c r="X18" s="33"/>
      <c r="Y18" s="33"/>
      <c r="Z18" s="33"/>
      <c r="AA18" s="33"/>
      <c r="AB18" s="33"/>
      <c r="AC18" s="33"/>
      <c r="AD18" s="33"/>
      <c r="AE18" s="33"/>
      <c r="AF18" s="33"/>
      <c r="AG18" s="33"/>
      <c r="AH18" s="33"/>
      <c r="AI18" s="33"/>
      <c r="AJ18" s="33"/>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row>
    <row r="19" spans="2:103">
      <c r="B19" s="26"/>
      <c r="C19" s="26"/>
      <c r="D19" s="27"/>
      <c r="E19" s="26"/>
      <c r="F19" s="28"/>
      <c r="G19" s="26"/>
      <c r="H19" s="26"/>
      <c r="I19" s="28"/>
      <c r="J19" s="26"/>
      <c r="K19" s="26"/>
      <c r="L19" s="26"/>
      <c r="M19" s="26"/>
      <c r="N19" s="26"/>
      <c r="O19" s="26"/>
      <c r="P19" s="29"/>
      <c r="Q19" s="26"/>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row>
    <row r="20" spans="2:103">
      <c r="B20" s="26"/>
      <c r="C20" s="26"/>
      <c r="D20" s="27"/>
      <c r="E20" s="26"/>
      <c r="F20" s="28"/>
      <c r="G20" s="26"/>
      <c r="H20" s="26"/>
      <c r="I20" s="28"/>
      <c r="J20" s="26"/>
      <c r="K20" s="26"/>
      <c r="L20" s="26"/>
      <c r="M20" s="26"/>
      <c r="N20" s="26"/>
      <c r="O20" s="26"/>
      <c r="P20" s="29"/>
      <c r="Q20" s="26"/>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row>
    <row r="21" spans="2:103">
      <c r="B21" s="26"/>
      <c r="C21" s="26"/>
      <c r="D21" s="27"/>
      <c r="E21" s="26"/>
      <c r="F21" s="28"/>
      <c r="G21" s="26"/>
      <c r="H21" s="26"/>
      <c r="I21" s="28"/>
      <c r="J21" s="26"/>
      <c r="K21" s="26"/>
      <c r="L21" s="26"/>
      <c r="M21" s="26"/>
      <c r="N21" s="26"/>
      <c r="O21" s="26"/>
      <c r="P21" s="29"/>
      <c r="Q21" s="26"/>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row>
    <row r="22" spans="2:103">
      <c r="B22" s="26"/>
      <c r="C22" s="26"/>
      <c r="D22" s="27"/>
      <c r="E22" s="26"/>
      <c r="F22" s="28"/>
      <c r="G22" s="26"/>
      <c r="H22" s="26"/>
      <c r="I22" s="28"/>
      <c r="J22" s="26"/>
      <c r="K22" s="26"/>
      <c r="L22" s="26"/>
      <c r="M22" s="26"/>
      <c r="N22" s="26"/>
      <c r="O22" s="26"/>
      <c r="P22" s="29"/>
      <c r="Q22" s="26"/>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row>
    <row r="25" spans="2:103" customFormat="1"/>
    <row r="26" spans="2:103" customFormat="1"/>
    <row r="27" spans="2:103" customFormat="1"/>
    <row r="28" spans="2:103" customFormat="1"/>
    <row r="29" spans="2:103" customFormat="1"/>
    <row r="30" spans="2:103" customFormat="1"/>
    <row r="31" spans="2:103" customFormat="1"/>
    <row r="32" spans="2:10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spans="4:102" customFormat="1"/>
    <row r="178" spans="4:102" customFormat="1"/>
    <row r="179" spans="4:102" customFormat="1"/>
    <row r="180" spans="4:102" customFormat="1"/>
    <row r="181" spans="4:102">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row>
    <row r="182" spans="4:102">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row>
    <row r="183" spans="4:102">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row>
    <row r="184" spans="4:102">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row>
    <row r="185" spans="4:102">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row>
    <row r="186" spans="4:102">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row>
    <row r="187" spans="4:102">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row>
    <row r="188" spans="4:102">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row>
    <row r="189" spans="4:102">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row>
    <row r="190" spans="4:102">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row>
    <row r="191" spans="4:102">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row>
    <row r="192" spans="4:102">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row>
    <row r="193" spans="4:102">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row>
    <row r="194" spans="4:102">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row>
    <row r="195" spans="4:102">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row>
    <row r="196" spans="4:102">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row>
    <row r="197" spans="4:102">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row>
    <row r="198" spans="4:102">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row>
    <row r="199" spans="4:102">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row>
    <row r="200" spans="4:102">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row>
    <row r="201" spans="4:102">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row>
    <row r="202" spans="4:102">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row>
    <row r="203" spans="4:102">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row>
    <row r="204" spans="4:102">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row>
    <row r="205" spans="4:102">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row>
    <row r="206" spans="4:102">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row>
    <row r="207" spans="4:102">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row>
    <row r="208" spans="4:102">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row>
    <row r="209" spans="4:102">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row>
    <row r="210" spans="4:102">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row>
    <row r="211" spans="4:102">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row>
    <row r="212" spans="4:102">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row>
    <row r="213" spans="4:102">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row>
    <row r="214" spans="4:102">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row>
    <row r="215" spans="4:102">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row>
    <row r="216" spans="4:102">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row>
    <row r="217" spans="4:102">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row>
    <row r="218" spans="4:102">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row>
    <row r="219" spans="4:102">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row>
    <row r="220" spans="4:102">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row>
    <row r="221" spans="4:102">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row>
    <row r="222" spans="4:102">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row>
    <row r="223" spans="4:102">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row>
  </sheetData>
  <mergeCells count="2">
    <mergeCell ref="J6:O6"/>
    <mergeCell ref="P6:Q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7PSourceSummary</vt:lpstr>
      <vt:lpstr>forRPM</vt:lpstr>
      <vt:lpstr>SC-New</vt:lpstr>
      <vt:lpstr>SC-Retro</vt:lpstr>
      <vt:lpstr>Accomplishments</vt:lpstr>
      <vt:lpstr>Units Per Home</vt:lpstr>
      <vt:lpstr>M_Input_Out</vt:lpstr>
      <vt:lpstr>M_Input</vt:lpstr>
      <vt:lpstr>Raw</vt:lpstr>
      <vt:lpstr>Cost&amp;Savings</vt:lpstr>
      <vt:lpstr>ETO Blessing</vt:lpstr>
      <vt:lpstr>MI</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2015-03-12T16:44:37Z</dcterms:modified>
</cp:coreProperties>
</file>