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620" yWindow="375" windowWidth="20730" windowHeight="11580" firstSheet="1" activeTab="5"/>
  </bookViews>
  <sheets>
    <sheet name="7PSourceSummary" sheetId="19" r:id="rId1"/>
    <sheet name="forRPM" sheetId="23" r:id="rId2"/>
    <sheet name="SC-New" sheetId="9" r:id="rId3"/>
    <sheet name="SC-New (2)" sheetId="17" r:id="rId4"/>
    <sheet name="SC-NR" sheetId="8" r:id="rId5"/>
    <sheet name="SC-NR (2)" sheetId="18" r:id="rId6"/>
    <sheet name="Units per home" sheetId="5" r:id="rId7"/>
    <sheet name="M_Input_Out" sheetId="22" r:id="rId8"/>
    <sheet name="M_Input" sheetId="3" r:id="rId9"/>
    <sheet name="Composite" sheetId="2" r:id="rId10"/>
    <sheet name="Raw" sheetId="1" r:id="rId11"/>
    <sheet name="Summary" sheetId="12" r:id="rId12"/>
    <sheet name="Shipment" sheetId="15" r:id="rId13"/>
    <sheet name="ES Calc Desktops" sheetId="13" r:id="rId14"/>
    <sheet name="ES Calc Laptop" sheetId="10" r:id="rId15"/>
    <sheet name="ES Calc Monitors" sheetId="11" r:id="rId16"/>
    <sheet name="Inc Cost" sheetId="14" r:id="rId17"/>
  </sheets>
  <externalReferences>
    <externalReference r:id="rId18"/>
    <externalReference r:id="rId19"/>
    <externalReference r:id="rId20"/>
  </externalReferences>
  <definedNames>
    <definedName name="_Key1" localSheetId="0" hidden="1">#REF!</definedName>
    <definedName name="_Key1" localSheetId="14" hidden="1">#REF!</definedName>
    <definedName name="_Key1" localSheetId="15" hidden="1">#REF!</definedName>
    <definedName name="_Key1" localSheetId="16"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1" hidden="1">#REF!</definedName>
    <definedName name="_Key1" hidden="1">#REF!</definedName>
    <definedName name="_Key1old" localSheetId="0" hidden="1">#REF!</definedName>
    <definedName name="_Key1old" hidden="1">#REF!</definedName>
    <definedName name="_Order1" hidden="1">255</definedName>
    <definedName name="_Sort" localSheetId="0" hidden="1">#REF!</definedName>
    <definedName name="_Sort" localSheetId="14" hidden="1">#REF!</definedName>
    <definedName name="_Sort" localSheetId="15" hidden="1">#REF!</definedName>
    <definedName name="_Sort" localSheetId="16"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1" hidden="1">#REF!</definedName>
    <definedName name="_Sort" hidden="1">#REF!</definedName>
    <definedName name="_SortOld" localSheetId="0" hidden="1">#REF!</definedName>
    <definedName name="_SortOld"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9"/>
  <c r="D8"/>
  <c r="D9" i="17"/>
  <c r="D8"/>
  <c r="D9" i="8"/>
  <c r="D8"/>
  <c r="D9" i="18"/>
  <c r="D8"/>
  <c r="C8"/>
  <c r="C8" i="8"/>
  <c r="C8" i="17"/>
  <c r="C8" i="9"/>
  <c r="B32" i="5" l="1"/>
  <c r="B33"/>
  <c r="A12"/>
  <c r="A11"/>
  <c r="B20"/>
  <c r="B19"/>
  <c r="B18"/>
  <c r="E20"/>
  <c r="E19"/>
  <c r="E18"/>
  <c r="K7" l="1"/>
  <c r="B14" i="23" l="1"/>
  <c r="B13"/>
  <c r="B12"/>
  <c r="B11"/>
  <c r="B10"/>
  <c r="B9"/>
  <c r="B8"/>
  <c r="B7"/>
  <c r="B26"/>
  <c r="B25"/>
  <c r="B24"/>
  <c r="B23"/>
  <c r="B22"/>
  <c r="B21"/>
  <c r="B20"/>
  <c r="B19"/>
  <c r="C20"/>
  <c r="C21"/>
  <c r="C22"/>
  <c r="C23"/>
  <c r="C24"/>
  <c r="C25"/>
  <c r="C26"/>
  <c r="C19"/>
  <c r="C8"/>
  <c r="C9"/>
  <c r="C10"/>
  <c r="C11"/>
  <c r="C12"/>
  <c r="C13"/>
  <c r="C14"/>
  <c r="C7"/>
  <c r="J26" l="1"/>
  <c r="BC26" s="1"/>
  <c r="J25"/>
  <c r="AW25" s="1"/>
  <c r="J24"/>
  <c r="BD24" s="1"/>
  <c r="J23"/>
  <c r="J22"/>
  <c r="AX22" s="1"/>
  <c r="J21"/>
  <c r="BD21" s="1"/>
  <c r="J20"/>
  <c r="BA20" s="1"/>
  <c r="J19"/>
  <c r="AG19" s="1"/>
  <c r="J18"/>
  <c r="J17"/>
  <c r="J16"/>
  <c r="BD16" s="1"/>
  <c r="J15"/>
  <c r="AW15" s="1"/>
  <c r="AY18"/>
  <c r="J12"/>
  <c r="AZ12" s="1"/>
  <c r="J13"/>
  <c r="AZ13" s="1"/>
  <c r="J14"/>
  <c r="BD14" s="1"/>
  <c r="J11"/>
  <c r="BB11" s="1"/>
  <c r="J10"/>
  <c r="J9"/>
  <c r="AV9" s="1"/>
  <c r="J8"/>
  <c r="AW8" s="1"/>
  <c r="J7"/>
  <c r="BA7" s="1"/>
  <c r="J6"/>
  <c r="F6" s="1"/>
  <c r="J5"/>
  <c r="BD5" s="1"/>
  <c r="J4"/>
  <c r="AW4" s="1"/>
  <c r="J3"/>
  <c r="BB3" s="1"/>
  <c r="BC22"/>
  <c r="AX19"/>
  <c r="BD18"/>
  <c r="C18"/>
  <c r="B18"/>
  <c r="C17"/>
  <c r="B17"/>
  <c r="C16"/>
  <c r="B16"/>
  <c r="C15"/>
  <c r="B15"/>
  <c r="AP14"/>
  <c r="C6"/>
  <c r="B6"/>
  <c r="C5"/>
  <c r="B5"/>
  <c r="C4"/>
  <c r="B4"/>
  <c r="C3"/>
  <c r="B3"/>
  <c r="AQ26"/>
  <c r="F26"/>
  <c r="BB24"/>
  <c r="AW24"/>
  <c r="AQ24"/>
  <c r="AK24"/>
  <c r="AF24"/>
  <c r="AQ22"/>
  <c r="AZ20"/>
  <c r="AT20"/>
  <c r="AN20"/>
  <c r="AI20"/>
  <c r="F20"/>
  <c r="BC19"/>
  <c r="AP18"/>
  <c r="AW16"/>
  <c r="AQ16"/>
  <c r="AK16"/>
  <c r="BD12"/>
  <c r="AX12"/>
  <c r="AG12"/>
  <c r="AK11"/>
  <c r="AQ9"/>
  <c r="AT7"/>
  <c r="AI7"/>
  <c r="BD6"/>
  <c r="BD4"/>
  <c r="AV4"/>
  <c r="AM4"/>
  <c r="BB4"/>
  <c r="AD2"/>
  <c r="AC2"/>
  <c r="AB2"/>
  <c r="AA2"/>
  <c r="Z2"/>
  <c r="Y2"/>
  <c r="X2"/>
  <c r="W2"/>
  <c r="V2"/>
  <c r="U2"/>
  <c r="T2"/>
  <c r="S2"/>
  <c r="R2"/>
  <c r="Q2"/>
  <c r="P2"/>
  <c r="O2"/>
  <c r="N2"/>
  <c r="M2"/>
  <c r="L2"/>
  <c r="K2"/>
  <c r="AI3" l="1"/>
  <c r="AI5"/>
  <c r="AV8"/>
  <c r="AM12"/>
  <c r="AO19"/>
  <c r="AS12"/>
  <c r="AW19"/>
  <c r="AG20"/>
  <c r="AM20"/>
  <c r="AS20"/>
  <c r="AX20"/>
  <c r="BD20"/>
  <c r="BC24"/>
  <c r="AJ24"/>
  <c r="AO24"/>
  <c r="AV24"/>
  <c r="BA24"/>
  <c r="AF20"/>
  <c r="AK20"/>
  <c r="AQ20"/>
  <c r="AW20"/>
  <c r="BB20"/>
  <c r="F24"/>
  <c r="AI24"/>
  <c r="AN24"/>
  <c r="AT24"/>
  <c r="AZ24"/>
  <c r="BC20"/>
  <c r="AJ20"/>
  <c r="AO20"/>
  <c r="AV20"/>
  <c r="AG24"/>
  <c r="AM24"/>
  <c r="AS24"/>
  <c r="AX24"/>
  <c r="AT26"/>
  <c r="F4"/>
  <c r="AJ4"/>
  <c r="AS4"/>
  <c r="BA4"/>
  <c r="AM8"/>
  <c r="AF12"/>
  <c r="AK12"/>
  <c r="AQ12"/>
  <c r="AW12"/>
  <c r="BB12"/>
  <c r="AF19"/>
  <c r="AL19"/>
  <c r="AU19"/>
  <c r="BB19"/>
  <c r="AT3"/>
  <c r="AI4"/>
  <c r="AQ4"/>
  <c r="AZ4"/>
  <c r="AZ5"/>
  <c r="BB8"/>
  <c r="BC12"/>
  <c r="AJ12"/>
  <c r="AO12"/>
  <c r="AV12"/>
  <c r="BA12"/>
  <c r="AF16"/>
  <c r="BB16"/>
  <c r="F19"/>
  <c r="AK19"/>
  <c r="AS19"/>
  <c r="BA19"/>
  <c r="AF4"/>
  <c r="AN4"/>
  <c r="BD8"/>
  <c r="F12"/>
  <c r="AI12"/>
  <c r="AN12"/>
  <c r="AT12"/>
  <c r="AJ19"/>
  <c r="AP19"/>
  <c r="BA21"/>
  <c r="BC16"/>
  <c r="AJ16"/>
  <c r="AO16"/>
  <c r="AV16"/>
  <c r="BA16"/>
  <c r="F16"/>
  <c r="AI16"/>
  <c r="AN16"/>
  <c r="AT16"/>
  <c r="AZ16"/>
  <c r="AG16"/>
  <c r="AM16"/>
  <c r="AS16"/>
  <c r="AX16"/>
  <c r="AP15"/>
  <c r="AK15"/>
  <c r="AF15"/>
  <c r="BB15"/>
  <c r="BA15"/>
  <c r="AO3"/>
  <c r="AS7"/>
  <c r="BD7"/>
  <c r="F3"/>
  <c r="AN3"/>
  <c r="AZ3"/>
  <c r="F7"/>
  <c r="AN7"/>
  <c r="AZ7"/>
  <c r="AW11"/>
  <c r="AM18"/>
  <c r="F21"/>
  <c r="BB22"/>
  <c r="AQ25"/>
  <c r="AL26"/>
  <c r="BB26"/>
  <c r="BC3"/>
  <c r="BA3"/>
  <c r="AG7"/>
  <c r="AT11"/>
  <c r="BA11"/>
  <c r="AP21"/>
  <c r="AJ3"/>
  <c r="AV3"/>
  <c r="AM7"/>
  <c r="AX7"/>
  <c r="AO11"/>
  <c r="BB14"/>
  <c r="F18"/>
  <c r="BB18"/>
  <c r="F22"/>
  <c r="F25"/>
  <c r="AK26"/>
  <c r="AY26"/>
  <c r="AK14"/>
  <c r="AJ8"/>
  <c r="AS8"/>
  <c r="BA8"/>
  <c r="AF7"/>
  <c r="AK7"/>
  <c r="AQ7"/>
  <c r="AW7"/>
  <c r="BB7"/>
  <c r="AI8"/>
  <c r="AQ8"/>
  <c r="AZ8"/>
  <c r="AJ11"/>
  <c r="AU11"/>
  <c r="BC7"/>
  <c r="AJ7"/>
  <c r="AO7"/>
  <c r="AV7"/>
  <c r="AF8"/>
  <c r="AN8"/>
  <c r="AF11"/>
  <c r="AP11"/>
  <c r="AG3"/>
  <c r="AM3"/>
  <c r="AS3"/>
  <c r="AX3"/>
  <c r="BD3"/>
  <c r="AF3"/>
  <c r="AK3"/>
  <c r="AQ3"/>
  <c r="AW3"/>
  <c r="BA5"/>
  <c r="AM9"/>
  <c r="AL25"/>
  <c r="AQ5"/>
  <c r="AI9"/>
  <c r="AZ9"/>
  <c r="AV14"/>
  <c r="AK18"/>
  <c r="AV18"/>
  <c r="AJ21"/>
  <c r="AV21"/>
  <c r="AL22"/>
  <c r="AF25"/>
  <c r="BC25"/>
  <c r="AH26"/>
  <c r="AP26"/>
  <c r="AX26"/>
  <c r="BD26"/>
  <c r="AV5"/>
  <c r="BD9"/>
  <c r="AM21"/>
  <c r="AY21"/>
  <c r="AM5"/>
  <c r="BA9"/>
  <c r="AH18"/>
  <c r="AT18"/>
  <c r="AH21"/>
  <c r="AS21"/>
  <c r="AG22"/>
  <c r="BA25"/>
  <c r="AG26"/>
  <c r="AM26"/>
  <c r="AV26"/>
  <c r="BA10"/>
  <c r="AW10"/>
  <c r="AS10"/>
  <c r="AN10"/>
  <c r="AJ10"/>
  <c r="AF10"/>
  <c r="BB17"/>
  <c r="AX17"/>
  <c r="AT17"/>
  <c r="AO17"/>
  <c r="AK17"/>
  <c r="AG17"/>
  <c r="BD23"/>
  <c r="AZ23"/>
  <c r="AV23"/>
  <c r="AQ23"/>
  <c r="AM23"/>
  <c r="AI23"/>
  <c r="BA18"/>
  <c r="AW18"/>
  <c r="AS18"/>
  <c r="AN18"/>
  <c r="AJ18"/>
  <c r="AF18"/>
  <c r="BB21"/>
  <c r="AX21"/>
  <c r="AT21"/>
  <c r="AO21"/>
  <c r="AK21"/>
  <c r="AG21"/>
  <c r="AO10"/>
  <c r="AU10"/>
  <c r="AZ10"/>
  <c r="AI13"/>
  <c r="AN13"/>
  <c r="AU13"/>
  <c r="AN17"/>
  <c r="AL5"/>
  <c r="AU5"/>
  <c r="BC5"/>
  <c r="AP9"/>
  <c r="AM10"/>
  <c r="AT10"/>
  <c r="AY10"/>
  <c r="BD10"/>
  <c r="AJ15"/>
  <c r="AO15"/>
  <c r="AU15"/>
  <c r="AH17"/>
  <c r="AM17"/>
  <c r="AS17"/>
  <c r="AY17"/>
  <c r="BD17"/>
  <c r="AI18"/>
  <c r="AO18"/>
  <c r="AU18"/>
  <c r="AZ18"/>
  <c r="AI21"/>
  <c r="AN21"/>
  <c r="AU21"/>
  <c r="AZ21"/>
  <c r="AK22"/>
  <c r="AP22"/>
  <c r="AV22"/>
  <c r="AG23"/>
  <c r="AL23"/>
  <c r="AS23"/>
  <c r="AX23"/>
  <c r="BC23"/>
  <c r="AJ25"/>
  <c r="AP25"/>
  <c r="AV25"/>
  <c r="BB13"/>
  <c r="AX13"/>
  <c r="AT13"/>
  <c r="AO13"/>
  <c r="AK13"/>
  <c r="AG13"/>
  <c r="BD15"/>
  <c r="AZ15"/>
  <c r="AV15"/>
  <c r="AQ15"/>
  <c r="AM15"/>
  <c r="AI15"/>
  <c r="BA22"/>
  <c r="AW22"/>
  <c r="AS22"/>
  <c r="AN22"/>
  <c r="AJ22"/>
  <c r="AF22"/>
  <c r="BB25"/>
  <c r="AX25"/>
  <c r="AT25"/>
  <c r="AO25"/>
  <c r="AK25"/>
  <c r="AG25"/>
  <c r="AI10"/>
  <c r="F17"/>
  <c r="AI17"/>
  <c r="AU17"/>
  <c r="AZ17"/>
  <c r="F23"/>
  <c r="AH23"/>
  <c r="AN23"/>
  <c r="AT23"/>
  <c r="AY23"/>
  <c r="F5"/>
  <c r="AU9"/>
  <c r="AM13"/>
  <c r="AY13"/>
  <c r="BD13"/>
  <c r="F14"/>
  <c r="AI14"/>
  <c r="AU14"/>
  <c r="AL4"/>
  <c r="AN6"/>
  <c r="F8"/>
  <c r="AL8"/>
  <c r="AL10"/>
  <c r="BC10"/>
  <c r="F11"/>
  <c r="AH11"/>
  <c r="AW13"/>
  <c r="AH14"/>
  <c r="AM14"/>
  <c r="AT14"/>
  <c r="AY14"/>
  <c r="AN15"/>
  <c r="AQ17"/>
  <c r="AI22"/>
  <c r="AO22"/>
  <c r="AU22"/>
  <c r="AZ22"/>
  <c r="AF23"/>
  <c r="AK23"/>
  <c r="AP23"/>
  <c r="AW23"/>
  <c r="BB23"/>
  <c r="AI25"/>
  <c r="AN25"/>
  <c r="AU25"/>
  <c r="AZ25"/>
  <c r="BA14"/>
  <c r="AW14"/>
  <c r="AS14"/>
  <c r="AN14"/>
  <c r="AJ14"/>
  <c r="AF14"/>
  <c r="BD11"/>
  <c r="AZ11"/>
  <c r="AV11"/>
  <c r="AQ11"/>
  <c r="AM11"/>
  <c r="AI11"/>
  <c r="BD19"/>
  <c r="AZ19"/>
  <c r="AV19"/>
  <c r="AQ19"/>
  <c r="AM19"/>
  <c r="AI19"/>
  <c r="BA26"/>
  <c r="AW26"/>
  <c r="AS26"/>
  <c r="AN26"/>
  <c r="AJ26"/>
  <c r="AF26"/>
  <c r="AH6"/>
  <c r="AL6"/>
  <c r="AP6"/>
  <c r="AU6"/>
  <c r="AY6"/>
  <c r="BC6"/>
  <c r="F10"/>
  <c r="F13"/>
  <c r="AH5"/>
  <c r="AP5"/>
  <c r="AY5"/>
  <c r="AG6"/>
  <c r="AK6"/>
  <c r="AO6"/>
  <c r="AT6"/>
  <c r="AX6"/>
  <c r="BB6"/>
  <c r="F9"/>
  <c r="AH9"/>
  <c r="AL9"/>
  <c r="AY9"/>
  <c r="BC9"/>
  <c r="AH10"/>
  <c r="AH13"/>
  <c r="AS13"/>
  <c r="AO14"/>
  <c r="AZ14"/>
  <c r="AH4"/>
  <c r="AP4"/>
  <c r="AU4"/>
  <c r="AY4"/>
  <c r="BC4"/>
  <c r="AG5"/>
  <c r="AK5"/>
  <c r="AO5"/>
  <c r="AT5"/>
  <c r="AX5"/>
  <c r="BB5"/>
  <c r="AF6"/>
  <c r="AJ6"/>
  <c r="AS6"/>
  <c r="AW6"/>
  <c r="BA6"/>
  <c r="AH8"/>
  <c r="AP8"/>
  <c r="AU8"/>
  <c r="AY8"/>
  <c r="BC8"/>
  <c r="AG9"/>
  <c r="AK9"/>
  <c r="AO9"/>
  <c r="AT9"/>
  <c r="AX9"/>
  <c r="BB9"/>
  <c r="AG10"/>
  <c r="AQ10"/>
  <c r="AX10"/>
  <c r="AN11"/>
  <c r="AY11"/>
  <c r="AF13"/>
  <c r="AL13"/>
  <c r="AQ13"/>
  <c r="BC13"/>
  <c r="F15"/>
  <c r="AH15"/>
  <c r="AT15"/>
  <c r="AY15"/>
  <c r="AF17"/>
  <c r="AL17"/>
  <c r="AW17"/>
  <c r="BC17"/>
  <c r="AH3"/>
  <c r="AL3"/>
  <c r="AP3"/>
  <c r="AU3"/>
  <c r="AY3"/>
  <c r="AG4"/>
  <c r="AK4"/>
  <c r="AO4"/>
  <c r="AT4"/>
  <c r="AX4"/>
  <c r="AF5"/>
  <c r="AJ5"/>
  <c r="AN5"/>
  <c r="AS5"/>
  <c r="AW5"/>
  <c r="AI6"/>
  <c r="AM6"/>
  <c r="AQ6"/>
  <c r="AV6"/>
  <c r="AZ6"/>
  <c r="AH7"/>
  <c r="AL7"/>
  <c r="AP7"/>
  <c r="AU7"/>
  <c r="AY7"/>
  <c r="AG8"/>
  <c r="AK8"/>
  <c r="AO8"/>
  <c r="AT8"/>
  <c r="AX8"/>
  <c r="AF9"/>
  <c r="AJ9"/>
  <c r="AN9"/>
  <c r="AS9"/>
  <c r="AW9"/>
  <c r="AK10"/>
  <c r="AP10"/>
  <c r="AV10"/>
  <c r="BB10"/>
  <c r="AG11"/>
  <c r="AL11"/>
  <c r="AS11"/>
  <c r="AX11"/>
  <c r="BC11"/>
  <c r="AJ13"/>
  <c r="AP13"/>
  <c r="AV13"/>
  <c r="BA13"/>
  <c r="AG14"/>
  <c r="AL14"/>
  <c r="AQ14"/>
  <c r="AX14"/>
  <c r="BC14"/>
  <c r="AG15"/>
  <c r="AL15"/>
  <c r="AS15"/>
  <c r="AX15"/>
  <c r="BC15"/>
  <c r="AJ17"/>
  <c r="AP17"/>
  <c r="AV17"/>
  <c r="BA17"/>
  <c r="AG18"/>
  <c r="AL18"/>
  <c r="AQ18"/>
  <c r="AX18"/>
  <c r="BC18"/>
  <c r="AH19"/>
  <c r="AN19"/>
  <c r="AT19"/>
  <c r="AY19"/>
  <c r="AF21"/>
  <c r="AL21"/>
  <c r="AQ21"/>
  <c r="AW21"/>
  <c r="BC21"/>
  <c r="AH22"/>
  <c r="AM22"/>
  <c r="AT22"/>
  <c r="AY22"/>
  <c r="BD22"/>
  <c r="AJ23"/>
  <c r="AO23"/>
  <c r="AU23"/>
  <c r="BA23"/>
  <c r="AH25"/>
  <c r="AM25"/>
  <c r="AS25"/>
  <c r="AY25"/>
  <c r="BD25"/>
  <c r="AI26"/>
  <c r="AO26"/>
  <c r="AU26"/>
  <c r="AZ26"/>
  <c r="AH12"/>
  <c r="AL12"/>
  <c r="AP12"/>
  <c r="AU12"/>
  <c r="AY12"/>
  <c r="AH16"/>
  <c r="AL16"/>
  <c r="AP16"/>
  <c r="AU16"/>
  <c r="AY16"/>
  <c r="AH20"/>
  <c r="AL20"/>
  <c r="AP20"/>
  <c r="AU20"/>
  <c r="AY20"/>
  <c r="AH24"/>
  <c r="AL24"/>
  <c r="AP24"/>
  <c r="AU24"/>
  <c r="AY24"/>
  <c r="Y138" i="18" l="1"/>
  <c r="X138"/>
  <c r="W138"/>
  <c r="V138"/>
  <c r="U138"/>
  <c r="T138"/>
  <c r="S138"/>
  <c r="R138"/>
  <c r="Q138"/>
  <c r="P138"/>
  <c r="O138"/>
  <c r="N138"/>
  <c r="M138"/>
  <c r="L138"/>
  <c r="K138"/>
  <c r="J138"/>
  <c r="I138"/>
  <c r="H138"/>
  <c r="G138"/>
  <c r="F138"/>
  <c r="Y101"/>
  <c r="X101"/>
  <c r="W101"/>
  <c r="V101"/>
  <c r="U101"/>
  <c r="T101"/>
  <c r="S101"/>
  <c r="R101"/>
  <c r="Q101"/>
  <c r="P101"/>
  <c r="O101"/>
  <c r="N101"/>
  <c r="M101"/>
  <c r="L101"/>
  <c r="K101"/>
  <c r="J101"/>
  <c r="I101"/>
  <c r="H101"/>
  <c r="G101"/>
  <c r="F101"/>
  <c r="Y80"/>
  <c r="X80"/>
  <c r="W80"/>
  <c r="V80"/>
  <c r="U80"/>
  <c r="T80"/>
  <c r="S80"/>
  <c r="R80"/>
  <c r="Q80"/>
  <c r="P80"/>
  <c r="O80"/>
  <c r="N80"/>
  <c r="M80"/>
  <c r="L80"/>
  <c r="K80"/>
  <c r="J80"/>
  <c r="I80"/>
  <c r="H80"/>
  <c r="G80"/>
  <c r="F80"/>
  <c r="Y76" i="8"/>
  <c r="X76"/>
  <c r="W76"/>
  <c r="V76"/>
  <c r="U76"/>
  <c r="T76"/>
  <c r="S76"/>
  <c r="R76"/>
  <c r="Q76"/>
  <c r="P76"/>
  <c r="O76"/>
  <c r="N76"/>
  <c r="M76"/>
  <c r="L76"/>
  <c r="K76"/>
  <c r="J76"/>
  <c r="I76"/>
  <c r="H76"/>
  <c r="G76"/>
  <c r="F76"/>
  <c r="Y134"/>
  <c r="X134"/>
  <c r="W134"/>
  <c r="V134"/>
  <c r="U134"/>
  <c r="T134"/>
  <c r="S134"/>
  <c r="R134"/>
  <c r="Q134"/>
  <c r="P134"/>
  <c r="O134"/>
  <c r="N134"/>
  <c r="M134"/>
  <c r="L134"/>
  <c r="K134"/>
  <c r="J134"/>
  <c r="I134"/>
  <c r="H134"/>
  <c r="G134"/>
  <c r="F134"/>
  <c r="Y97"/>
  <c r="X97"/>
  <c r="W97"/>
  <c r="V97"/>
  <c r="U97"/>
  <c r="T97"/>
  <c r="S97"/>
  <c r="R97"/>
  <c r="Q97"/>
  <c r="P97"/>
  <c r="O97"/>
  <c r="N97"/>
  <c r="M97"/>
  <c r="L97"/>
  <c r="K97"/>
  <c r="J97"/>
  <c r="I97"/>
  <c r="H97"/>
  <c r="G97"/>
  <c r="F97"/>
  <c r="X55" i="17"/>
  <c r="W55"/>
  <c r="V55"/>
  <c r="U55"/>
  <c r="T55"/>
  <c r="S55"/>
  <c r="R55"/>
  <c r="Q55"/>
  <c r="P55"/>
  <c r="O55"/>
  <c r="N55"/>
  <c r="M55"/>
  <c r="L55"/>
  <c r="K55"/>
  <c r="J55"/>
  <c r="I55"/>
  <c r="H55"/>
  <c r="G55"/>
  <c r="F55"/>
  <c r="E55"/>
  <c r="X74"/>
  <c r="W74"/>
  <c r="V74"/>
  <c r="U74"/>
  <c r="T74"/>
  <c r="S74"/>
  <c r="R74"/>
  <c r="Q74"/>
  <c r="P74"/>
  <c r="O74"/>
  <c r="N74"/>
  <c r="M74"/>
  <c r="L74"/>
  <c r="K74"/>
  <c r="J74"/>
  <c r="I74"/>
  <c r="H74"/>
  <c r="G74"/>
  <c r="F74"/>
  <c r="E74"/>
  <c r="X111"/>
  <c r="W111"/>
  <c r="V111"/>
  <c r="U111"/>
  <c r="T111"/>
  <c r="S111"/>
  <c r="R111"/>
  <c r="Q111"/>
  <c r="P111"/>
  <c r="O111"/>
  <c r="N111"/>
  <c r="M111"/>
  <c r="L111"/>
  <c r="K111"/>
  <c r="J111"/>
  <c r="I111"/>
  <c r="H111"/>
  <c r="G111"/>
  <c r="F111"/>
  <c r="E111"/>
  <c r="X107" i="9"/>
  <c r="W107"/>
  <c r="V107"/>
  <c r="U107"/>
  <c r="T107"/>
  <c r="S107"/>
  <c r="R107"/>
  <c r="Q107"/>
  <c r="P107"/>
  <c r="O107"/>
  <c r="N107"/>
  <c r="M107"/>
  <c r="L107"/>
  <c r="K107"/>
  <c r="J107"/>
  <c r="I107"/>
  <c r="H107"/>
  <c r="G107"/>
  <c r="F107"/>
  <c r="E107"/>
  <c r="X70"/>
  <c r="W70"/>
  <c r="V70"/>
  <c r="U70"/>
  <c r="T70"/>
  <c r="S70"/>
  <c r="R70"/>
  <c r="Q70"/>
  <c r="P70"/>
  <c r="O70"/>
  <c r="N70"/>
  <c r="M70"/>
  <c r="L70"/>
  <c r="K70"/>
  <c r="J70"/>
  <c r="I70"/>
  <c r="H70"/>
  <c r="G70"/>
  <c r="F70"/>
  <c r="E70"/>
  <c r="X51"/>
  <c r="W51"/>
  <c r="V51"/>
  <c r="U51"/>
  <c r="T51"/>
  <c r="S51"/>
  <c r="R51"/>
  <c r="Q51"/>
  <c r="P51"/>
  <c r="O51"/>
  <c r="N51"/>
  <c r="M51"/>
  <c r="L51"/>
  <c r="K51"/>
  <c r="J51"/>
  <c r="I51"/>
  <c r="H51"/>
  <c r="G51"/>
  <c r="F51"/>
  <c r="E51"/>
  <c r="A52" l="1"/>
  <c r="G3" i="23" s="1"/>
  <c r="P7" i="2" l="1"/>
  <c r="Q7"/>
  <c r="P8"/>
  <c r="Q8"/>
  <c r="P9"/>
  <c r="Q9"/>
  <c r="B34" i="5"/>
  <c r="C32"/>
  <c r="D32"/>
  <c r="E32"/>
  <c r="F32"/>
  <c r="G32"/>
  <c r="H32"/>
  <c r="I32"/>
  <c r="J32"/>
  <c r="K32"/>
  <c r="L32"/>
  <c r="M32"/>
  <c r="N32"/>
  <c r="O32"/>
  <c r="P32"/>
  <c r="Q32"/>
  <c r="R32"/>
  <c r="S32"/>
  <c r="T32"/>
  <c r="U32"/>
  <c r="C33"/>
  <c r="D33"/>
  <c r="E33"/>
  <c r="F33"/>
  <c r="G33"/>
  <c r="H33"/>
  <c r="I33"/>
  <c r="J33"/>
  <c r="K33"/>
  <c r="L33"/>
  <c r="M33"/>
  <c r="N33"/>
  <c r="O33"/>
  <c r="P33"/>
  <c r="Q33"/>
  <c r="R33"/>
  <c r="S33"/>
  <c r="T33"/>
  <c r="U33"/>
  <c r="C34"/>
  <c r="D34"/>
  <c r="E34"/>
  <c r="F34"/>
  <c r="G34"/>
  <c r="H34"/>
  <c r="I34"/>
  <c r="J34"/>
  <c r="K34"/>
  <c r="L34"/>
  <c r="M34"/>
  <c r="N34"/>
  <c r="O34"/>
  <c r="P34"/>
  <c r="Q34"/>
  <c r="R34"/>
  <c r="S34"/>
  <c r="T34"/>
  <c r="U34"/>
  <c r="X12" i="9" l="1"/>
  <c r="W12"/>
  <c r="V12"/>
  <c r="U12"/>
  <c r="T12"/>
  <c r="S12"/>
  <c r="R12"/>
  <c r="Q12"/>
  <c r="P12"/>
  <c r="O12"/>
  <c r="N12"/>
  <c r="M12"/>
  <c r="L12"/>
  <c r="K12"/>
  <c r="J12"/>
  <c r="I12"/>
  <c r="H12"/>
  <c r="G12"/>
  <c r="F12"/>
  <c r="E12"/>
  <c r="X12" i="17"/>
  <c r="W12"/>
  <c r="V12"/>
  <c r="U12"/>
  <c r="T12"/>
  <c r="S12"/>
  <c r="R12"/>
  <c r="Q12"/>
  <c r="P12"/>
  <c r="O12"/>
  <c r="N12"/>
  <c r="M12"/>
  <c r="L12"/>
  <c r="K12"/>
  <c r="J12"/>
  <c r="I12"/>
  <c r="H12"/>
  <c r="G12"/>
  <c r="F12"/>
  <c r="E12"/>
  <c r="E6" i="10" l="1"/>
  <c r="E5"/>
  <c r="E6" i="13"/>
  <c r="E5"/>
  <c r="D36" i="18" l="1"/>
  <c r="D37"/>
  <c r="D38"/>
  <c r="D35"/>
  <c r="C42" i="17"/>
  <c r="B42" s="1"/>
  <c r="C43"/>
  <c r="B43" s="1"/>
  <c r="C44"/>
  <c r="B44" s="1"/>
  <c r="C41"/>
  <c r="B41" s="1"/>
  <c r="Y137" i="18"/>
  <c r="X137"/>
  <c r="W137"/>
  <c r="V137"/>
  <c r="U137"/>
  <c r="T137"/>
  <c r="S137"/>
  <c r="R137"/>
  <c r="Q137"/>
  <c r="P137"/>
  <c r="O137"/>
  <c r="N137"/>
  <c r="M137"/>
  <c r="L137"/>
  <c r="K137"/>
  <c r="J137"/>
  <c r="I137"/>
  <c r="H137"/>
  <c r="G137"/>
  <c r="F137"/>
  <c r="Y100"/>
  <c r="X100"/>
  <c r="W100"/>
  <c r="V100"/>
  <c r="U100"/>
  <c r="T100"/>
  <c r="S100"/>
  <c r="R100"/>
  <c r="Q100"/>
  <c r="P100"/>
  <c r="O100"/>
  <c r="N100"/>
  <c r="M100"/>
  <c r="L100"/>
  <c r="K100"/>
  <c r="J100"/>
  <c r="I100"/>
  <c r="H100"/>
  <c r="G100"/>
  <c r="F100"/>
  <c r="A92"/>
  <c r="G26" i="23" s="1"/>
  <c r="B91" i="18"/>
  <c r="H25" i="23" s="1"/>
  <c r="A87" i="18"/>
  <c r="G21" i="23" s="1"/>
  <c r="A86" i="18"/>
  <c r="G20" i="23" s="1"/>
  <c r="B85" i="18"/>
  <c r="H19" i="23" s="1"/>
  <c r="Y79" i="18"/>
  <c r="X79"/>
  <c r="W79"/>
  <c r="V79"/>
  <c r="U79"/>
  <c r="T79"/>
  <c r="S79"/>
  <c r="R79"/>
  <c r="Q79"/>
  <c r="P79"/>
  <c r="O79"/>
  <c r="N79"/>
  <c r="M79"/>
  <c r="L79"/>
  <c r="K79"/>
  <c r="J79"/>
  <c r="I79"/>
  <c r="H79"/>
  <c r="G79"/>
  <c r="F79"/>
  <c r="D78"/>
  <c r="D68"/>
  <c r="D67"/>
  <c r="D66"/>
  <c r="D65"/>
  <c r="D47"/>
  <c r="D30"/>
  <c r="D137" s="1"/>
  <c r="A20"/>
  <c r="Y12"/>
  <c r="X12"/>
  <c r="W12"/>
  <c r="V12"/>
  <c r="U12"/>
  <c r="T12"/>
  <c r="S12"/>
  <c r="R12"/>
  <c r="Q12"/>
  <c r="P12"/>
  <c r="O12"/>
  <c r="N12"/>
  <c r="M12"/>
  <c r="L12"/>
  <c r="K12"/>
  <c r="J12"/>
  <c r="I12"/>
  <c r="H12"/>
  <c r="G12"/>
  <c r="F12"/>
  <c r="A11"/>
  <c r="C9"/>
  <c r="C28" i="17"/>
  <c r="C29"/>
  <c r="C30"/>
  <c r="C34" s="1"/>
  <c r="C27"/>
  <c r="C159"/>
  <c r="C158"/>
  <c r="C157"/>
  <c r="C156"/>
  <c r="O155"/>
  <c r="C111"/>
  <c r="X110"/>
  <c r="W110"/>
  <c r="V110"/>
  <c r="U110"/>
  <c r="T110"/>
  <c r="S110"/>
  <c r="R110"/>
  <c r="Q110"/>
  <c r="P110"/>
  <c r="O110"/>
  <c r="N110"/>
  <c r="M110"/>
  <c r="L110"/>
  <c r="K110"/>
  <c r="J110"/>
  <c r="I110"/>
  <c r="H110"/>
  <c r="G110"/>
  <c r="F110"/>
  <c r="E110"/>
  <c r="X73"/>
  <c r="W73"/>
  <c r="V73"/>
  <c r="U73"/>
  <c r="T73"/>
  <c r="S73"/>
  <c r="R73"/>
  <c r="Q73"/>
  <c r="P73"/>
  <c r="O73"/>
  <c r="N73"/>
  <c r="M73"/>
  <c r="L73"/>
  <c r="K73"/>
  <c r="J73"/>
  <c r="I73"/>
  <c r="H73"/>
  <c r="G73"/>
  <c r="F73"/>
  <c r="E73"/>
  <c r="A67"/>
  <c r="G14" i="23" s="1"/>
  <c r="B65" i="17"/>
  <c r="H12" i="23" s="1"/>
  <c r="B63" i="17"/>
  <c r="H10" i="23" s="1"/>
  <c r="A62" i="17"/>
  <c r="G9" i="23" s="1"/>
  <c r="B61" i="17"/>
  <c r="H8" i="23" s="1"/>
  <c r="A60" i="17"/>
  <c r="G7" i="23" s="1"/>
  <c r="X54" i="17"/>
  <c r="W54"/>
  <c r="V54"/>
  <c r="U54"/>
  <c r="T54"/>
  <c r="S54"/>
  <c r="R54"/>
  <c r="Q54"/>
  <c r="P54"/>
  <c r="O54"/>
  <c r="N54"/>
  <c r="M54"/>
  <c r="L54"/>
  <c r="K54"/>
  <c r="J54"/>
  <c r="I54"/>
  <c r="H54"/>
  <c r="G54"/>
  <c r="F54"/>
  <c r="E54"/>
  <c r="C53"/>
  <c r="C40"/>
  <c r="A39" s="1"/>
  <c r="C62"/>
  <c r="I9" i="23" s="1"/>
  <c r="C22" i="17"/>
  <c r="A21" s="1"/>
  <c r="X155"/>
  <c r="W155"/>
  <c r="V155"/>
  <c r="U155"/>
  <c r="T155"/>
  <c r="S155"/>
  <c r="R155"/>
  <c r="Q155"/>
  <c r="P155"/>
  <c r="N155"/>
  <c r="M155"/>
  <c r="L155"/>
  <c r="K155"/>
  <c r="J155"/>
  <c r="I155"/>
  <c r="H155"/>
  <c r="G155"/>
  <c r="F155"/>
  <c r="E155"/>
  <c r="A11"/>
  <c r="C9"/>
  <c r="C63" l="1"/>
  <c r="I10" i="23" s="1"/>
  <c r="C45" i="17"/>
  <c r="B45" s="1"/>
  <c r="C48"/>
  <c r="B48" s="1"/>
  <c r="C47"/>
  <c r="B47" s="1"/>
  <c r="C46"/>
  <c r="B46" s="1"/>
  <c r="C60"/>
  <c r="I7" i="23" s="1"/>
  <c r="C66" i="18"/>
  <c r="D70"/>
  <c r="C70" s="1"/>
  <c r="C65"/>
  <c r="D69"/>
  <c r="C69" s="1"/>
  <c r="D72"/>
  <c r="C72" s="1"/>
  <c r="C68"/>
  <c r="C67"/>
  <c r="D71"/>
  <c r="C71" s="1"/>
  <c r="D39"/>
  <c r="A85"/>
  <c r="G19" i="23" s="1"/>
  <c r="A63" i="17"/>
  <c r="G10" i="23" s="1"/>
  <c r="A65" i="17"/>
  <c r="G12" i="23" s="1"/>
  <c r="B67" i="17"/>
  <c r="H14" i="23" s="1"/>
  <c r="A61" i="17"/>
  <c r="G8" i="23" s="1"/>
  <c r="B60" i="17"/>
  <c r="H7" i="23" s="1"/>
  <c r="B62" i="17"/>
  <c r="H9" i="23" s="1"/>
  <c r="A46" i="18"/>
  <c r="B86"/>
  <c r="H20" i="23" s="1"/>
  <c r="B92" i="18"/>
  <c r="H26" i="23" s="1"/>
  <c r="C31" i="17"/>
  <c r="A91" i="18"/>
  <c r="G25" i="23" s="1"/>
  <c r="A90" i="18"/>
  <c r="G24" i="23" s="1"/>
  <c r="B90" i="18"/>
  <c r="H24" i="23" s="1"/>
  <c r="A88" i="18"/>
  <c r="G22" i="23" s="1"/>
  <c r="B88" i="18"/>
  <c r="H22" i="23" s="1"/>
  <c r="A29" i="18"/>
  <c r="A89"/>
  <c r="G23" i="23" s="1"/>
  <c r="B89" i="18"/>
  <c r="H23" i="23" s="1"/>
  <c r="D64" i="18"/>
  <c r="B87"/>
  <c r="H21" i="23" s="1"/>
  <c r="C61" i="17"/>
  <c r="I8" i="23" s="1"/>
  <c r="C32" i="17"/>
  <c r="A64"/>
  <c r="G11" i="23" s="1"/>
  <c r="B64" i="17"/>
  <c r="H11" i="23" s="1"/>
  <c r="C33" i="17"/>
  <c r="A66"/>
  <c r="G13" i="23" s="1"/>
  <c r="B66" i="17"/>
  <c r="H13" i="23" s="1"/>
  <c r="C67" i="17"/>
  <c r="I14" i="23" s="1"/>
  <c r="Z104" i="18" l="1"/>
  <c r="Z105"/>
  <c r="Z106"/>
  <c r="Z102"/>
  <c r="Z139" s="1"/>
  <c r="Y102"/>
  <c r="Z103"/>
  <c r="F102"/>
  <c r="R102"/>
  <c r="H102"/>
  <c r="V102"/>
  <c r="W102"/>
  <c r="L102"/>
  <c r="I102"/>
  <c r="M102"/>
  <c r="T102"/>
  <c r="N102"/>
  <c r="G102"/>
  <c r="K102"/>
  <c r="P102"/>
  <c r="O102"/>
  <c r="S102"/>
  <c r="X102"/>
  <c r="Q102"/>
  <c r="J102"/>
  <c r="U102"/>
  <c r="H75" i="17"/>
  <c r="H112" s="1"/>
  <c r="M75"/>
  <c r="M112" s="1"/>
  <c r="T75"/>
  <c r="T112" s="1"/>
  <c r="C64"/>
  <c r="I11" i="23" s="1"/>
  <c r="N75" i="17"/>
  <c r="N112" s="1"/>
  <c r="A63" i="18"/>
  <c r="D55"/>
  <c r="D42"/>
  <c r="D52"/>
  <c r="D41"/>
  <c r="D54"/>
  <c r="D53"/>
  <c r="D40"/>
  <c r="P75" i="17"/>
  <c r="P112" s="1"/>
  <c r="U75"/>
  <c r="U112" s="1"/>
  <c r="E75"/>
  <c r="E112" s="1"/>
  <c r="V75"/>
  <c r="V112" s="1"/>
  <c r="F75"/>
  <c r="F112" s="1"/>
  <c r="K75"/>
  <c r="K112" s="1"/>
  <c r="X75"/>
  <c r="X112" s="1"/>
  <c r="L75"/>
  <c r="L112" s="1"/>
  <c r="C66"/>
  <c r="I13" i="23" s="1"/>
  <c r="C65" i="17"/>
  <c r="I12" i="23" s="1"/>
  <c r="O75" i="17"/>
  <c r="O112" s="1"/>
  <c r="Q75"/>
  <c r="Q112" s="1"/>
  <c r="R75"/>
  <c r="R112" s="1"/>
  <c r="W75"/>
  <c r="W112" s="1"/>
  <c r="I75"/>
  <c r="I112" s="1"/>
  <c r="J75"/>
  <c r="J112" s="1"/>
  <c r="S75"/>
  <c r="S112" s="1"/>
  <c r="G75"/>
  <c r="G112" s="1"/>
  <c r="Z142" i="18" l="1"/>
  <c r="Z141"/>
  <c r="Z140"/>
  <c r="Z143"/>
  <c r="Y112" i="17"/>
  <c r="D85" i="18"/>
  <c r="I19" i="23" s="1"/>
  <c r="D59" i="18"/>
  <c r="D58"/>
  <c r="D86"/>
  <c r="I20" i="23" s="1"/>
  <c r="D57" i="18"/>
  <c r="D87"/>
  <c r="I21" i="23" s="1"/>
  <c r="D56" i="18"/>
  <c r="D88"/>
  <c r="I22" i="23" s="1"/>
  <c r="D91" i="18" l="1"/>
  <c r="I25" i="23" s="1"/>
  <c r="D89" i="18"/>
  <c r="I23" i="23" s="1"/>
  <c r="D90" i="18"/>
  <c r="I24" i="23" s="1"/>
  <c r="D92" i="18"/>
  <c r="I26" i="23" s="1"/>
  <c r="J139" i="18" l="1"/>
  <c r="G139"/>
  <c r="I139"/>
  <c r="F139"/>
  <c r="H139"/>
  <c r="X139" l="1"/>
  <c r="Q139"/>
  <c r="N139" l="1"/>
  <c r="W139"/>
  <c r="Y139"/>
  <c r="O139"/>
  <c r="S139"/>
  <c r="T139"/>
  <c r="K139"/>
  <c r="P139"/>
  <c r="M139"/>
  <c r="V139"/>
  <c r="U139"/>
  <c r="L139"/>
  <c r="R139"/>
  <c r="D34" i="8" l="1"/>
  <c r="D33"/>
  <c r="D32"/>
  <c r="D31"/>
  <c r="L27" i="12"/>
  <c r="I34"/>
  <c r="H34"/>
  <c r="I33"/>
  <c r="H33"/>
  <c r="I32"/>
  <c r="H32"/>
  <c r="I31"/>
  <c r="H31"/>
  <c r="I30"/>
  <c r="H30"/>
  <c r="I29"/>
  <c r="I35" s="1"/>
  <c r="H29"/>
  <c r="I20"/>
  <c r="H20"/>
  <c r="I19"/>
  <c r="H19"/>
  <c r="I18"/>
  <c r="H18"/>
  <c r="H6"/>
  <c r="I6"/>
  <c r="H7"/>
  <c r="I7"/>
  <c r="I5"/>
  <c r="H5"/>
  <c r="E5" i="5" l="1"/>
  <c r="C5"/>
  <c r="C20" s="1"/>
  <c r="B5"/>
  <c r="E4"/>
  <c r="C4"/>
  <c r="C19" l="1"/>
  <c r="C18"/>
  <c r="B31" i="8"/>
  <c r="B26" i="9"/>
  <c r="B34" i="8"/>
  <c r="B32"/>
  <c r="D4" i="5"/>
  <c r="D5"/>
  <c r="D20" s="1"/>
  <c r="B4"/>
  <c r="O9" i="3"/>
  <c r="O10"/>
  <c r="O8"/>
  <c r="F8" i="1"/>
  <c r="D18" i="5" l="1"/>
  <c r="D19"/>
  <c r="B30" i="17"/>
  <c r="B38" i="18"/>
  <c r="B55"/>
  <c r="B33" i="8"/>
  <c r="B32" i="17"/>
  <c r="B40" i="18"/>
  <c r="B57"/>
  <c r="B34" i="17"/>
  <c r="B42" i="18"/>
  <c r="B59"/>
  <c r="B28" i="17"/>
  <c r="B36" i="18"/>
  <c r="B53"/>
  <c r="I8" i="12"/>
  <c r="D9" i="1" s="1"/>
  <c r="E10"/>
  <c r="E9"/>
  <c r="E8"/>
  <c r="H21" i="12"/>
  <c r="C51" i="14"/>
  <c r="C52"/>
  <c r="C98"/>
  <c r="C99"/>
  <c r="E23" i="13"/>
  <c r="D23"/>
  <c r="C23"/>
  <c r="E22"/>
  <c r="D22"/>
  <c r="C22"/>
  <c r="K18"/>
  <c r="J18"/>
  <c r="I18"/>
  <c r="K17"/>
  <c r="J17"/>
  <c r="I17"/>
  <c r="K16"/>
  <c r="J16"/>
  <c r="I16"/>
  <c r="L16" i="12" l="1"/>
  <c r="F10" i="1" s="1"/>
  <c r="L4" i="12"/>
  <c r="F9" i="1" s="1"/>
  <c r="B29" i="17"/>
  <c r="B37" i="18"/>
  <c r="B54"/>
  <c r="B33" i="17"/>
  <c r="B41" i="18"/>
  <c r="B58"/>
  <c r="B31" i="17"/>
  <c r="B39" i="18"/>
  <c r="B56"/>
  <c r="B27" i="17"/>
  <c r="B35" i="18"/>
  <c r="B52"/>
  <c r="H35" i="12"/>
  <c r="D8" i="1"/>
  <c r="I21" i="12"/>
  <c r="D10" i="1" s="1"/>
  <c r="H8" i="12"/>
  <c r="B54" i="9"/>
  <c r="H5" i="23" s="1"/>
  <c r="B55" i="9"/>
  <c r="H6" i="23" s="1"/>
  <c r="A54" i="9"/>
  <c r="G5" i="23" s="1"/>
  <c r="B53" i="9"/>
  <c r="H4" i="23" s="1"/>
  <c r="C55" i="9"/>
  <c r="I6" i="23" s="1"/>
  <c r="B80" i="8"/>
  <c r="H18" i="23" s="1"/>
  <c r="B79" i="8"/>
  <c r="H17" i="23" s="1"/>
  <c r="B78" i="8"/>
  <c r="H16" i="23" s="1"/>
  <c r="A77" i="8"/>
  <c r="G15" i="23" s="1"/>
  <c r="D49" i="8"/>
  <c r="D50"/>
  <c r="D51"/>
  <c r="D48"/>
  <c r="B8" i="2"/>
  <c r="A9" i="3" s="1"/>
  <c r="C8" i="2"/>
  <c r="B9" i="3" s="1"/>
  <c r="D8" i="2"/>
  <c r="C9" i="3" s="1"/>
  <c r="E8" i="2"/>
  <c r="D9" i="3" s="1"/>
  <c r="F8" i="2"/>
  <c r="E9" i="3" s="1"/>
  <c r="G8" i="2"/>
  <c r="F9" i="3" s="1"/>
  <c r="H8" i="2"/>
  <c r="I8"/>
  <c r="H9" i="3" s="1"/>
  <c r="J8" i="2"/>
  <c r="I9" i="3" s="1"/>
  <c r="K8" i="2"/>
  <c r="J9" i="3" s="1"/>
  <c r="L8" i="2"/>
  <c r="K9" i="3" s="1"/>
  <c r="M8" i="2"/>
  <c r="L9" i="3" s="1"/>
  <c r="N8" i="2"/>
  <c r="M9" i="3" s="1"/>
  <c r="O8" i="2"/>
  <c r="N9" i="3" s="1"/>
  <c r="B9" i="2"/>
  <c r="A10" i="3" s="1"/>
  <c r="C9" i="2"/>
  <c r="B10" i="3" s="1"/>
  <c r="D9" i="2"/>
  <c r="C10" i="3" s="1"/>
  <c r="E9" i="2"/>
  <c r="D10" i="3" s="1"/>
  <c r="F9" i="2"/>
  <c r="E10" i="3" s="1"/>
  <c r="G9" i="2"/>
  <c r="F10" i="3" s="1"/>
  <c r="H9" i="2"/>
  <c r="I9"/>
  <c r="H10" i="3" s="1"/>
  <c r="J9" i="2"/>
  <c r="I10" i="3" s="1"/>
  <c r="K9" i="2"/>
  <c r="J10" i="3" s="1"/>
  <c r="L9" i="2"/>
  <c r="K10" i="3" s="1"/>
  <c r="M9" i="2"/>
  <c r="L10" i="3" s="1"/>
  <c r="N9" i="2"/>
  <c r="M10" i="3" s="1"/>
  <c r="O9" i="2"/>
  <c r="N10" i="3" s="1"/>
  <c r="F7" i="2"/>
  <c r="E8" i="3" s="1"/>
  <c r="D77" i="8" l="1"/>
  <c r="I15" i="23" s="1"/>
  <c r="B48" i="8"/>
  <c r="D79"/>
  <c r="I17" i="23" s="1"/>
  <c r="B50" i="8"/>
  <c r="A79"/>
  <c r="G17" i="23" s="1"/>
  <c r="D78" i="8"/>
  <c r="I16" i="23" s="1"/>
  <c r="B49" i="8"/>
  <c r="D80"/>
  <c r="I18" i="23" s="1"/>
  <c r="B51" i="8"/>
  <c r="B77"/>
  <c r="H15" i="23" s="1"/>
  <c r="B52" i="9"/>
  <c r="H3" i="23" s="1"/>
  <c r="A80" i="8"/>
  <c r="G18" i="23" s="1"/>
  <c r="A78" i="8"/>
  <c r="G16" i="23" s="1"/>
  <c r="A55" i="9"/>
  <c r="G6" i="23" s="1"/>
  <c r="A53" i="9"/>
  <c r="G4" i="23" s="1"/>
  <c r="Z99" i="8" l="1"/>
  <c r="Z98"/>
  <c r="Z135" s="1"/>
  <c r="Z102"/>
  <c r="Z101"/>
  <c r="Z100"/>
  <c r="X98"/>
  <c r="X151" i="9"/>
  <c r="W151"/>
  <c r="T151"/>
  <c r="S151"/>
  <c r="P151"/>
  <c r="O151"/>
  <c r="L151"/>
  <c r="K151"/>
  <c r="H151"/>
  <c r="G151"/>
  <c r="D47" i="8"/>
  <c r="A11" i="9"/>
  <c r="A20" i="8"/>
  <c r="A11"/>
  <c r="C155" i="9"/>
  <c r="C154"/>
  <c r="C153"/>
  <c r="C152"/>
  <c r="C107"/>
  <c r="X106"/>
  <c r="W106"/>
  <c r="V106"/>
  <c r="U106"/>
  <c r="T106"/>
  <c r="S106"/>
  <c r="R106"/>
  <c r="Q106"/>
  <c r="P106"/>
  <c r="O106"/>
  <c r="N106"/>
  <c r="M106"/>
  <c r="L106"/>
  <c r="K106"/>
  <c r="J106"/>
  <c r="I106"/>
  <c r="H106"/>
  <c r="G106"/>
  <c r="F106"/>
  <c r="E106"/>
  <c r="X69"/>
  <c r="W69"/>
  <c r="V69"/>
  <c r="U69"/>
  <c r="T69"/>
  <c r="S69"/>
  <c r="R69"/>
  <c r="Q69"/>
  <c r="P69"/>
  <c r="O69"/>
  <c r="N69"/>
  <c r="M69"/>
  <c r="L69"/>
  <c r="K69"/>
  <c r="J69"/>
  <c r="I69"/>
  <c r="H69"/>
  <c r="G69"/>
  <c r="F69"/>
  <c r="E69"/>
  <c r="X50"/>
  <c r="W50"/>
  <c r="V50"/>
  <c r="U50"/>
  <c r="T50"/>
  <c r="S50"/>
  <c r="R50"/>
  <c r="Q50"/>
  <c r="P50"/>
  <c r="O50"/>
  <c r="N50"/>
  <c r="M50"/>
  <c r="L50"/>
  <c r="K50"/>
  <c r="J50"/>
  <c r="I50"/>
  <c r="H50"/>
  <c r="G50"/>
  <c r="F50"/>
  <c r="E50"/>
  <c r="C49"/>
  <c r="C44"/>
  <c r="C40"/>
  <c r="C25"/>
  <c r="C24"/>
  <c r="C23"/>
  <c r="C22"/>
  <c r="V151"/>
  <c r="U151"/>
  <c r="R151"/>
  <c r="Q151"/>
  <c r="N151"/>
  <c r="M151"/>
  <c r="J151"/>
  <c r="I151"/>
  <c r="F151"/>
  <c r="E151"/>
  <c r="C9"/>
  <c r="Y133" i="8"/>
  <c r="X133"/>
  <c r="W133"/>
  <c r="V133"/>
  <c r="U133"/>
  <c r="T133"/>
  <c r="S133"/>
  <c r="R133"/>
  <c r="Q133"/>
  <c r="P133"/>
  <c r="O133"/>
  <c r="N133"/>
  <c r="M133"/>
  <c r="L133"/>
  <c r="K133"/>
  <c r="J133"/>
  <c r="I133"/>
  <c r="H133"/>
  <c r="G133"/>
  <c r="F133"/>
  <c r="Y96"/>
  <c r="X96"/>
  <c r="W96"/>
  <c r="V96"/>
  <c r="U96"/>
  <c r="T96"/>
  <c r="S96"/>
  <c r="R96"/>
  <c r="Q96"/>
  <c r="P96"/>
  <c r="O96"/>
  <c r="N96"/>
  <c r="M96"/>
  <c r="L96"/>
  <c r="K96"/>
  <c r="J96"/>
  <c r="I96"/>
  <c r="H96"/>
  <c r="G96"/>
  <c r="F96"/>
  <c r="Y75"/>
  <c r="X75"/>
  <c r="W75"/>
  <c r="V75"/>
  <c r="U75"/>
  <c r="T75"/>
  <c r="S75"/>
  <c r="R75"/>
  <c r="Q75"/>
  <c r="P75"/>
  <c r="O75"/>
  <c r="N75"/>
  <c r="M75"/>
  <c r="L75"/>
  <c r="K75"/>
  <c r="J75"/>
  <c r="I75"/>
  <c r="H75"/>
  <c r="G75"/>
  <c r="F75"/>
  <c r="D74"/>
  <c r="D68"/>
  <c r="D67"/>
  <c r="D66"/>
  <c r="D65"/>
  <c r="D30"/>
  <c r="Y12"/>
  <c r="X12"/>
  <c r="W12"/>
  <c r="V12"/>
  <c r="U12"/>
  <c r="T12"/>
  <c r="S12"/>
  <c r="R12"/>
  <c r="Q12"/>
  <c r="P12"/>
  <c r="O12"/>
  <c r="N12"/>
  <c r="M12"/>
  <c r="L12"/>
  <c r="K12"/>
  <c r="J12"/>
  <c r="I12"/>
  <c r="H12"/>
  <c r="G12"/>
  <c r="F12"/>
  <c r="C9"/>
  <c r="Z137" l="1"/>
  <c r="Z136"/>
  <c r="Z139"/>
  <c r="Z138"/>
  <c r="B23" i="9"/>
  <c r="C52"/>
  <c r="I3" i="23" s="1"/>
  <c r="C41" i="9"/>
  <c r="C42"/>
  <c r="B24"/>
  <c r="C53"/>
  <c r="I4" i="23" s="1"/>
  <c r="B25" i="9"/>
  <c r="C54"/>
  <c r="I5" i="23" s="1"/>
  <c r="D133" i="8"/>
  <c r="A46"/>
  <c r="A21" i="9"/>
  <c r="A39"/>
  <c r="A29" i="8"/>
  <c r="D64"/>
  <c r="A63" s="1"/>
  <c r="C7" i="2" l="1"/>
  <c r="B8" i="3" s="1"/>
  <c r="D7" i="2"/>
  <c r="C8" i="3" s="1"/>
  <c r="E7" i="2"/>
  <c r="D8" i="3" s="1"/>
  <c r="G7" i="2"/>
  <c r="F8" i="3" s="1"/>
  <c r="H7" i="2"/>
  <c r="I7"/>
  <c r="H8" i="3" s="1"/>
  <c r="J7" i="2"/>
  <c r="I8" i="3" s="1"/>
  <c r="K7" i="2"/>
  <c r="J8" i="3" s="1"/>
  <c r="L7" i="2"/>
  <c r="K8" i="3" s="1"/>
  <c r="M7" i="2"/>
  <c r="L8" i="3" s="1"/>
  <c r="N7" i="2"/>
  <c r="M8" i="3" s="1"/>
  <c r="O7" i="2"/>
  <c r="N8" i="3" s="1"/>
  <c r="B7" i="2"/>
  <c r="A8" i="3" s="1"/>
  <c r="S75" i="9" l="1"/>
  <c r="S73"/>
  <c r="S72"/>
  <c r="S71"/>
  <c r="S108" s="1"/>
  <c r="S74"/>
  <c r="G79" i="17"/>
  <c r="G76"/>
  <c r="G113" s="1"/>
  <c r="G78"/>
  <c r="G77"/>
  <c r="V78"/>
  <c r="V77"/>
  <c r="V76"/>
  <c r="V113" s="1"/>
  <c r="V79"/>
  <c r="F78"/>
  <c r="F76"/>
  <c r="F113" s="1"/>
  <c r="F77"/>
  <c r="F79"/>
  <c r="X74" i="9"/>
  <c r="X75"/>
  <c r="X71"/>
  <c r="X108" s="1"/>
  <c r="X72"/>
  <c r="X73"/>
  <c r="U76" i="17"/>
  <c r="U113" s="1"/>
  <c r="U79"/>
  <c r="U77"/>
  <c r="U78"/>
  <c r="J76"/>
  <c r="J113" s="1"/>
  <c r="J78"/>
  <c r="J79"/>
  <c r="J77"/>
  <c r="Q75" i="9"/>
  <c r="Q72"/>
  <c r="Q73"/>
  <c r="Q74"/>
  <c r="Q71"/>
  <c r="Q108" s="1"/>
  <c r="P75"/>
  <c r="P71"/>
  <c r="P108" s="1"/>
  <c r="P73"/>
  <c r="P74"/>
  <c r="P72"/>
  <c r="U73"/>
  <c r="U71"/>
  <c r="U108" s="1"/>
  <c r="U75"/>
  <c r="U72"/>
  <c r="U74"/>
  <c r="K77" i="17"/>
  <c r="K76"/>
  <c r="K113" s="1"/>
  <c r="K79"/>
  <c r="K78"/>
  <c r="M72" i="9"/>
  <c r="M73"/>
  <c r="M75"/>
  <c r="M74"/>
  <c r="M71"/>
  <c r="M108" s="1"/>
  <c r="G74"/>
  <c r="G71"/>
  <c r="G108" s="1"/>
  <c r="G72"/>
  <c r="G75"/>
  <c r="G73"/>
  <c r="J74"/>
  <c r="J72"/>
  <c r="J71"/>
  <c r="J108" s="1"/>
  <c r="J75"/>
  <c r="J73"/>
  <c r="X79" i="17"/>
  <c r="X76"/>
  <c r="X113" s="1"/>
  <c r="X78"/>
  <c r="X77"/>
  <c r="F71" i="9"/>
  <c r="F108" s="1"/>
  <c r="F75"/>
  <c r="F74"/>
  <c r="F73"/>
  <c r="F72"/>
  <c r="W75"/>
  <c r="W72"/>
  <c r="W73"/>
  <c r="W74"/>
  <c r="W71"/>
  <c r="W108" s="1"/>
  <c r="K74"/>
  <c r="K73"/>
  <c r="K75"/>
  <c r="K71"/>
  <c r="K108" s="1"/>
  <c r="K72"/>
  <c r="E78" i="17"/>
  <c r="E79"/>
  <c r="E76"/>
  <c r="E113" s="1"/>
  <c r="E77"/>
  <c r="S78"/>
  <c r="S79"/>
  <c r="S77"/>
  <c r="S76"/>
  <c r="S113" s="1"/>
  <c r="R72" i="9"/>
  <c r="R71"/>
  <c r="R108" s="1"/>
  <c r="R74"/>
  <c r="R73"/>
  <c r="R75"/>
  <c r="E75"/>
  <c r="E73"/>
  <c r="E72"/>
  <c r="E74"/>
  <c r="E71"/>
  <c r="E108" s="1"/>
  <c r="I72"/>
  <c r="H74"/>
  <c r="I74"/>
  <c r="I75"/>
  <c r="I71"/>
  <c r="I108" s="1"/>
  <c r="I73"/>
  <c r="H71"/>
  <c r="H108" s="1"/>
  <c r="H73"/>
  <c r="H72"/>
  <c r="H75"/>
  <c r="H112" s="1"/>
  <c r="M76" i="17"/>
  <c r="M113" s="1"/>
  <c r="M78"/>
  <c r="M77"/>
  <c r="M79"/>
  <c r="L72" i="9"/>
  <c r="L71"/>
  <c r="L108" s="1"/>
  <c r="L75"/>
  <c r="L73"/>
  <c r="L74"/>
  <c r="T79" i="17"/>
  <c r="T77"/>
  <c r="T78"/>
  <c r="T76"/>
  <c r="T113" s="1"/>
  <c r="R77"/>
  <c r="R78"/>
  <c r="R76"/>
  <c r="R113" s="1"/>
  <c r="R79"/>
  <c r="N77"/>
  <c r="N78"/>
  <c r="N79"/>
  <c r="N76"/>
  <c r="N113" s="1"/>
  <c r="O77"/>
  <c r="O76"/>
  <c r="O113" s="1"/>
  <c r="O78"/>
  <c r="O79"/>
  <c r="W76"/>
  <c r="W113" s="1"/>
  <c r="W79"/>
  <c r="W77"/>
  <c r="W78"/>
  <c r="I79"/>
  <c r="H79"/>
  <c r="H78"/>
  <c r="I77"/>
  <c r="I76"/>
  <c r="I113" s="1"/>
  <c r="H77"/>
  <c r="H76"/>
  <c r="H113" s="1"/>
  <c r="I78"/>
  <c r="L79"/>
  <c r="L76"/>
  <c r="L113" s="1"/>
  <c r="L77"/>
  <c r="L78"/>
  <c r="P77"/>
  <c r="P79"/>
  <c r="P76"/>
  <c r="P113" s="1"/>
  <c r="P78"/>
  <c r="T71" i="9"/>
  <c r="T108" s="1"/>
  <c r="T73"/>
  <c r="T72"/>
  <c r="T74"/>
  <c r="T75"/>
  <c r="Q78" i="17"/>
  <c r="Q77"/>
  <c r="Q79"/>
  <c r="Q76"/>
  <c r="Q113" s="1"/>
  <c r="O71" i="9"/>
  <c r="O108" s="1"/>
  <c r="O72"/>
  <c r="O74"/>
  <c r="O75"/>
  <c r="O73"/>
  <c r="V75"/>
  <c r="V71"/>
  <c r="V108" s="1"/>
  <c r="V74"/>
  <c r="V73"/>
  <c r="V72"/>
  <c r="N71"/>
  <c r="N108" s="1"/>
  <c r="N74"/>
  <c r="N75"/>
  <c r="N73"/>
  <c r="N72"/>
  <c r="N109" s="1"/>
  <c r="K112" l="1"/>
  <c r="O110"/>
  <c r="G110"/>
  <c r="M110"/>
  <c r="Q116" i="17"/>
  <c r="L111" i="9"/>
  <c r="E111"/>
  <c r="U109"/>
  <c r="F114" i="17"/>
  <c r="L110" i="9"/>
  <c r="W110"/>
  <c r="Y113" i="17"/>
  <c r="Y108" i="9"/>
  <c r="J114" i="17"/>
  <c r="E115"/>
  <c r="K111" i="9"/>
  <c r="F110"/>
  <c r="X114" i="17"/>
  <c r="X116"/>
  <c r="J110" i="9"/>
  <c r="G109"/>
  <c r="M109"/>
  <c r="O115" i="17"/>
  <c r="L112" i="9"/>
  <c r="I109"/>
  <c r="E110"/>
  <c r="J116" i="17"/>
  <c r="U116"/>
  <c r="X109" i="9"/>
  <c r="V109"/>
  <c r="Q115" i="17"/>
  <c r="W109" i="9"/>
  <c r="U111"/>
  <c r="N110"/>
  <c r="T111"/>
  <c r="P115" i="17"/>
  <c r="H116"/>
  <c r="W115"/>
  <c r="N114"/>
  <c r="H111" i="9"/>
  <c r="R109"/>
  <c r="P110"/>
  <c r="Q110"/>
  <c r="S109"/>
  <c r="O109"/>
  <c r="L114" i="17"/>
  <c r="I115"/>
  <c r="R115"/>
  <c r="V112" i="9"/>
  <c r="T114" i="17"/>
  <c r="I112" i="9"/>
  <c r="V110"/>
  <c r="L116" i="17"/>
  <c r="W114"/>
  <c r="O114"/>
  <c r="N116"/>
  <c r="L109" i="9"/>
  <c r="M114" i="17"/>
  <c r="H110" i="9"/>
  <c r="K115" i="17"/>
  <c r="U115"/>
  <c r="F116"/>
  <c r="V115"/>
  <c r="G114"/>
  <c r="O111" i="9"/>
  <c r="I116" i="17"/>
  <c r="R111" i="9"/>
  <c r="S115" i="17"/>
  <c r="J111" i="9"/>
  <c r="G111"/>
  <c r="F109"/>
  <c r="J109"/>
  <c r="M111"/>
  <c r="N112"/>
  <c r="O112"/>
  <c r="Q114" i="17"/>
  <c r="T112" i="9"/>
  <c r="T109"/>
  <c r="T110"/>
  <c r="P114" i="17"/>
  <c r="L115"/>
  <c r="I114"/>
  <c r="H115"/>
  <c r="W116"/>
  <c r="R116"/>
  <c r="R114"/>
  <c r="T115"/>
  <c r="T116"/>
  <c r="M116"/>
  <c r="H109" i="9"/>
  <c r="S114" i="17"/>
  <c r="E116"/>
  <c r="K110" i="9"/>
  <c r="F112"/>
  <c r="X115" i="17"/>
  <c r="J112" i="9"/>
  <c r="P109"/>
  <c r="J115" i="17"/>
  <c r="U114"/>
  <c r="X111" i="9"/>
  <c r="F115" i="17"/>
  <c r="G116"/>
  <c r="S111" i="9"/>
  <c r="N111"/>
  <c r="M115" i="17"/>
  <c r="E109" i="9"/>
  <c r="R112"/>
  <c r="M112"/>
  <c r="S110"/>
  <c r="V111"/>
  <c r="P116" i="17"/>
  <c r="H114"/>
  <c r="O116"/>
  <c r="N115"/>
  <c r="I110" i="9"/>
  <c r="I111"/>
  <c r="E112"/>
  <c r="R110"/>
  <c r="S116" i="17"/>
  <c r="E114"/>
  <c r="K109" i="9"/>
  <c r="W111"/>
  <c r="W112"/>
  <c r="F111"/>
  <c r="G112"/>
  <c r="K116" i="17"/>
  <c r="K114"/>
  <c r="U112" i="9"/>
  <c r="U110"/>
  <c r="P111"/>
  <c r="P112"/>
  <c r="Q111"/>
  <c r="Q109"/>
  <c r="Q112"/>
  <c r="X110"/>
  <c r="X112"/>
  <c r="V116" i="17"/>
  <c r="V114"/>
  <c r="G115"/>
  <c r="S112" i="9"/>
  <c r="Y110" l="1"/>
  <c r="Y114" i="17"/>
  <c r="Y116"/>
  <c r="Y115"/>
  <c r="Y111" i="9"/>
  <c r="Y112"/>
  <c r="Y109"/>
  <c r="H103" i="18"/>
  <c r="H140" s="1"/>
  <c r="F103"/>
  <c r="F140" s="1"/>
  <c r="G105"/>
  <c r="G104"/>
  <c r="F104"/>
  <c r="G106"/>
  <c r="F105"/>
  <c r="G103"/>
  <c r="G140" s="1"/>
  <c r="F106"/>
  <c r="J101" i="8"/>
  <c r="J99"/>
  <c r="I98"/>
  <c r="I135" s="1"/>
  <c r="I100"/>
  <c r="J102"/>
  <c r="I99"/>
  <c r="I102"/>
  <c r="I101"/>
  <c r="J100"/>
  <c r="J98"/>
  <c r="J135" s="1"/>
  <c r="G102"/>
  <c r="G100"/>
  <c r="G101"/>
  <c r="G98"/>
  <c r="G135" s="1"/>
  <c r="G99"/>
  <c r="H102"/>
  <c r="H101"/>
  <c r="H98"/>
  <c r="H135" s="1"/>
  <c r="H100"/>
  <c r="H99"/>
  <c r="K98"/>
  <c r="K135" s="1"/>
  <c r="K100"/>
  <c r="K101"/>
  <c r="F98"/>
  <c r="F135" s="1"/>
  <c r="F102"/>
  <c r="F99"/>
  <c r="F101"/>
  <c r="F100"/>
  <c r="H105" i="18"/>
  <c r="H106"/>
  <c r="H104"/>
  <c r="G136" i="8" l="1"/>
  <c r="G138"/>
  <c r="H143" i="18"/>
  <c r="G143"/>
  <c r="K99" i="8"/>
  <c r="K137" s="1"/>
  <c r="K138"/>
  <c r="K102"/>
  <c r="I138"/>
  <c r="F138"/>
  <c r="G141" i="18"/>
  <c r="F141"/>
  <c r="F143"/>
  <c r="Y103"/>
  <c r="Y140" s="1"/>
  <c r="Y104"/>
  <c r="Y105"/>
  <c r="G142"/>
  <c r="F136" i="8"/>
  <c r="I136"/>
  <c r="J139"/>
  <c r="J136"/>
  <c r="F142" i="18"/>
  <c r="H137" i="8"/>
  <c r="G137"/>
  <c r="I137"/>
  <c r="F137"/>
  <c r="F139"/>
  <c r="H136"/>
  <c r="J137"/>
  <c r="I139"/>
  <c r="J138"/>
  <c r="H138"/>
  <c r="G139"/>
  <c r="H141" i="18"/>
  <c r="H142"/>
  <c r="H139" i="8"/>
  <c r="Y106" i="18" l="1"/>
  <c r="Y143" s="1"/>
  <c r="K136" i="8"/>
  <c r="K139"/>
  <c r="I104" i="18"/>
  <c r="I106"/>
  <c r="I103"/>
  <c r="I140" s="1"/>
  <c r="I105"/>
  <c r="J103"/>
  <c r="J140" s="1"/>
  <c r="J104"/>
  <c r="J106"/>
  <c r="J105"/>
  <c r="Y142"/>
  <c r="L103"/>
  <c r="L140" s="1"/>
  <c r="L106"/>
  <c r="L105"/>
  <c r="L104"/>
  <c r="T106"/>
  <c r="T103"/>
  <c r="T140" s="1"/>
  <c r="T104"/>
  <c r="T105"/>
  <c r="L101" i="8"/>
  <c r="L98"/>
  <c r="L135" s="1"/>
  <c r="L100"/>
  <c r="L99"/>
  <c r="L102"/>
  <c r="P101"/>
  <c r="P99"/>
  <c r="P102"/>
  <c r="P98"/>
  <c r="P135" s="1"/>
  <c r="P100"/>
  <c r="M106" i="18"/>
  <c r="M104"/>
  <c r="M105"/>
  <c r="M103"/>
  <c r="M140" s="1"/>
  <c r="K104"/>
  <c r="K105"/>
  <c r="K103"/>
  <c r="K140" s="1"/>
  <c r="K106"/>
  <c r="U98" i="8"/>
  <c r="U135" s="1"/>
  <c r="U101"/>
  <c r="U99"/>
  <c r="U102"/>
  <c r="U100"/>
  <c r="W103" i="18"/>
  <c r="W140" s="1"/>
  <c r="W106"/>
  <c r="W104"/>
  <c r="W105"/>
  <c r="O103"/>
  <c r="O140" s="1"/>
  <c r="O105"/>
  <c r="O106"/>
  <c r="O104"/>
  <c r="S99" i="8"/>
  <c r="S98"/>
  <c r="S135" s="1"/>
  <c r="S100"/>
  <c r="S101"/>
  <c r="S102"/>
  <c r="U106" i="18"/>
  <c r="U104"/>
  <c r="U105"/>
  <c r="U103"/>
  <c r="U140" s="1"/>
  <c r="N101" i="8"/>
  <c r="N100"/>
  <c r="N102"/>
  <c r="N98"/>
  <c r="N135" s="1"/>
  <c r="N99"/>
  <c r="X104" i="18"/>
  <c r="X105"/>
  <c r="X103"/>
  <c r="X140" s="1"/>
  <c r="X106"/>
  <c r="N103"/>
  <c r="N140" s="1"/>
  <c r="N106"/>
  <c r="N105"/>
  <c r="N104"/>
  <c r="Y141"/>
  <c r="X102" i="8"/>
  <c r="X101"/>
  <c r="X100"/>
  <c r="X99"/>
  <c r="X135"/>
  <c r="R103" i="18"/>
  <c r="R140" s="1"/>
  <c r="R106"/>
  <c r="R104"/>
  <c r="R105"/>
  <c r="Q102" i="8"/>
  <c r="Q101"/>
  <c r="Q100"/>
  <c r="Q99"/>
  <c r="Q98"/>
  <c r="Q135" s="1"/>
  <c r="S103" i="18"/>
  <c r="S140" s="1"/>
  <c r="S106"/>
  <c r="S105"/>
  <c r="S104"/>
  <c r="Y100" i="8"/>
  <c r="Y98"/>
  <c r="Y135" s="1"/>
  <c r="Y102"/>
  <c r="Y99"/>
  <c r="Y101"/>
  <c r="P104" i="18"/>
  <c r="P103"/>
  <c r="P140" s="1"/>
  <c r="P106"/>
  <c r="P105"/>
  <c r="O98" i="8"/>
  <c r="O135" s="1"/>
  <c r="O101"/>
  <c r="O99"/>
  <c r="O102"/>
  <c r="O100"/>
  <c r="T101"/>
  <c r="T98"/>
  <c r="T135" s="1"/>
  <c r="T102"/>
  <c r="T99"/>
  <c r="T100"/>
  <c r="V106" i="18"/>
  <c r="V104"/>
  <c r="V105"/>
  <c r="V103"/>
  <c r="V140" s="1"/>
  <c r="Q106"/>
  <c r="Q103"/>
  <c r="Q140" s="1"/>
  <c r="Q104"/>
  <c r="Q105"/>
  <c r="W100" i="8"/>
  <c r="W98"/>
  <c r="W135" s="1"/>
  <c r="W99"/>
  <c r="W101"/>
  <c r="W102"/>
  <c r="R101"/>
  <c r="R102"/>
  <c r="R100"/>
  <c r="R98"/>
  <c r="R135" s="1"/>
  <c r="R99"/>
  <c r="V100"/>
  <c r="V99"/>
  <c r="V101"/>
  <c r="V98"/>
  <c r="V135" s="1"/>
  <c r="V102"/>
  <c r="M100"/>
  <c r="M98"/>
  <c r="M135" s="1"/>
  <c r="M102"/>
  <c r="M101"/>
  <c r="M99"/>
  <c r="M142" i="18" l="1"/>
  <c r="J141"/>
  <c r="P137" i="8"/>
  <c r="V138"/>
  <c r="W136"/>
  <c r="S138"/>
  <c r="K142" i="18"/>
  <c r="Q142"/>
  <c r="X142"/>
  <c r="V139" i="8"/>
  <c r="J143" i="18"/>
  <c r="S137" i="8"/>
  <c r="W138"/>
  <c r="U136"/>
  <c r="V137"/>
  <c r="W139"/>
  <c r="I142" i="18"/>
  <c r="I143"/>
  <c r="I141"/>
  <c r="T142"/>
  <c r="J142"/>
  <c r="Q143"/>
  <c r="Y138" i="8"/>
  <c r="R143" i="18"/>
  <c r="X138" i="8"/>
  <c r="X143" i="18"/>
  <c r="N139" i="8"/>
  <c r="N137"/>
  <c r="U141" i="18"/>
  <c r="U143"/>
  <c r="S139" i="8"/>
  <c r="O143" i="18"/>
  <c r="W141"/>
  <c r="W143"/>
  <c r="M143"/>
  <c r="L136" i="8"/>
  <c r="L143" i="18"/>
  <c r="O136" i="8"/>
  <c r="Q138"/>
  <c r="X141" i="18"/>
  <c r="M138" i="8"/>
  <c r="P139"/>
  <c r="R136"/>
  <c r="R138"/>
  <c r="T139"/>
  <c r="O137"/>
  <c r="P142" i="18"/>
  <c r="S143"/>
  <c r="Q136" i="8"/>
  <c r="R141" i="18"/>
  <c r="N142"/>
  <c r="U139" i="8"/>
  <c r="L138"/>
  <c r="L141" i="18"/>
  <c r="M139" i="8"/>
  <c r="K141" i="18"/>
  <c r="M136" i="8"/>
  <c r="M137"/>
  <c r="V136"/>
  <c r="R139"/>
  <c r="W137"/>
  <c r="Q141" i="18"/>
  <c r="V142"/>
  <c r="T137" i="8"/>
  <c r="T138"/>
  <c r="O139"/>
  <c r="P143" i="18"/>
  <c r="Y136" i="8"/>
  <c r="Y137"/>
  <c r="Q137"/>
  <c r="Q139"/>
  <c r="R142" i="18"/>
  <c r="X136" i="8"/>
  <c r="X139"/>
  <c r="N143" i="18"/>
  <c r="N138" i="8"/>
  <c r="U142" i="18"/>
  <c r="S136" i="8"/>
  <c r="O142" i="18"/>
  <c r="W142"/>
  <c r="L137" i="8"/>
  <c r="T141" i="18"/>
  <c r="T143"/>
  <c r="V141"/>
  <c r="N141"/>
  <c r="R137" i="8"/>
  <c r="V143" i="18"/>
  <c r="T136" i="8"/>
  <c r="O138"/>
  <c r="P141" i="18"/>
  <c r="Y139" i="8"/>
  <c r="S141" i="18"/>
  <c r="S142"/>
  <c r="X137" i="8"/>
  <c r="N136"/>
  <c r="O141" i="18"/>
  <c r="U137" i="8"/>
  <c r="U138"/>
  <c r="K143" i="18"/>
  <c r="M141"/>
  <c r="P136" i="8"/>
  <c r="P138"/>
  <c r="L139"/>
  <c r="L142" i="18"/>
  <c r="J64" l="1"/>
  <c r="E40" i="9"/>
  <c r="V40" i="17"/>
  <c r="P64" i="18"/>
  <c r="K40" i="9"/>
  <c r="L40" i="17"/>
  <c r="A3" i="23"/>
  <c r="M40" i="9"/>
  <c r="X64" i="18"/>
  <c r="I64" i="8"/>
  <c r="J64"/>
  <c r="V40" i="9"/>
  <c r="I64" i="18"/>
  <c r="A9" i="8"/>
  <c r="E40" i="17"/>
  <c r="W64" i="8"/>
  <c r="X40" i="17"/>
  <c r="K40"/>
  <c r="U64" i="8"/>
  <c r="A23" i="23"/>
  <c r="V64" i="8"/>
  <c r="N40" i="17"/>
  <c r="A26" i="23"/>
  <c r="A16"/>
  <c r="A22"/>
  <c r="L64" i="18"/>
  <c r="X40" i="9"/>
  <c r="C58" i="18"/>
  <c r="C54"/>
  <c r="C56"/>
  <c r="C53"/>
  <c r="C59"/>
  <c r="C55"/>
  <c r="C52"/>
  <c r="C57"/>
  <c r="C48" i="8"/>
  <c r="C51"/>
  <c r="C49"/>
  <c r="C50"/>
  <c r="C39" i="18"/>
  <c r="C32" i="8"/>
  <c r="C31"/>
  <c r="C33"/>
  <c r="C42" i="18"/>
  <c r="C34" i="8"/>
  <c r="C40" i="18"/>
  <c r="C41"/>
  <c r="C36"/>
  <c r="C37"/>
  <c r="C35"/>
  <c r="C38"/>
  <c r="A29" i="17"/>
  <c r="A37" i="18"/>
  <c r="A33" i="8"/>
  <c r="A54" i="18"/>
  <c r="A52"/>
  <c r="A34" i="17"/>
  <c r="A40" i="18"/>
  <c r="A34" i="8"/>
  <c r="A49"/>
  <c r="S40" i="17" l="1"/>
  <c r="K64" i="18"/>
  <c r="Y64" i="8"/>
  <c r="I40" i="17"/>
  <c r="T40"/>
  <c r="O40" i="9"/>
  <c r="T64" i="18"/>
  <c r="I40" i="9"/>
  <c r="N64" i="18"/>
  <c r="M64" i="8"/>
  <c r="L40" i="9"/>
  <c r="Q40"/>
  <c r="A11" i="23"/>
  <c r="L64" i="8"/>
  <c r="W64" i="18"/>
  <c r="A14" i="23"/>
  <c r="A10"/>
  <c r="A13"/>
  <c r="T64" i="8"/>
  <c r="F40" i="17"/>
  <c r="T40" i="9"/>
  <c r="N64" i="8"/>
  <c r="A32"/>
  <c r="A31"/>
  <c r="A24" i="9"/>
  <c r="A55" i="18"/>
  <c r="A21" i="23"/>
  <c r="G40" i="9"/>
  <c r="R40" i="17"/>
  <c r="F64" i="18"/>
  <c r="P40" i="9"/>
  <c r="H64" i="18"/>
  <c r="A9" i="23"/>
  <c r="A7"/>
  <c r="A4"/>
  <c r="A18"/>
  <c r="X64" i="8"/>
  <c r="J40" i="17"/>
  <c r="P40"/>
  <c r="R64" i="8"/>
  <c r="A12" i="23"/>
  <c r="P64" i="8"/>
  <c r="H40" i="9"/>
  <c r="A8" i="23"/>
  <c r="S40" i="9"/>
  <c r="K64" i="8"/>
  <c r="R64" i="18"/>
  <c r="A5" i="23"/>
  <c r="M64" i="18"/>
  <c r="W40" i="17"/>
  <c r="J40" i="9"/>
  <c r="O64" i="18"/>
  <c r="Q40" i="17"/>
  <c r="A25" i="23"/>
  <c r="A9" i="17"/>
  <c r="A19" i="23"/>
  <c r="A20"/>
  <c r="G64" i="8"/>
  <c r="A51"/>
  <c r="A42" i="18"/>
  <c r="A36"/>
  <c r="A25" i="9"/>
  <c r="A28" i="17"/>
  <c r="Y64" i="18"/>
  <c r="F40" i="9"/>
  <c r="M40" i="17"/>
  <c r="A6" i="23"/>
  <c r="O40" i="17"/>
  <c r="G64" i="18"/>
  <c r="A9" i="9"/>
  <c r="E3" i="23" s="1"/>
  <c r="A24"/>
  <c r="Q64" i="18"/>
  <c r="H64" i="8"/>
  <c r="N40" i="9"/>
  <c r="S64" i="18"/>
  <c r="U40" i="17"/>
  <c r="A17" i="23"/>
  <c r="W40" i="9"/>
  <c r="O64" i="8"/>
  <c r="V64" i="18"/>
  <c r="U64"/>
  <c r="R40" i="9"/>
  <c r="F64" i="8"/>
  <c r="A15" i="23"/>
  <c r="Q64" i="8"/>
  <c r="G40" i="17"/>
  <c r="H40"/>
  <c r="S64" i="8"/>
  <c r="U40" i="9"/>
  <c r="A9" i="18"/>
  <c r="E26" i="23" s="1"/>
  <c r="A39" i="18"/>
  <c r="A31" i="17"/>
  <c r="A57" i="18"/>
  <c r="A32" i="17"/>
  <c r="A59" i="18"/>
  <c r="A50" i="8"/>
  <c r="A48"/>
  <c r="A41" i="18"/>
  <c r="A30" i="17"/>
  <c r="A53" i="18"/>
  <c r="A58"/>
  <c r="A23" i="9"/>
  <c r="A27" i="17"/>
  <c r="A33"/>
  <c r="A26" i="9"/>
  <c r="A38" i="18"/>
  <c r="A56"/>
  <c r="A35"/>
  <c r="G25" i="8"/>
  <c r="F23"/>
  <c r="F49" s="1"/>
  <c r="J25"/>
  <c r="H23"/>
  <c r="H49" s="1"/>
  <c r="H24"/>
  <c r="I24"/>
  <c r="I50" s="1"/>
  <c r="I25"/>
  <c r="I23"/>
  <c r="I49" s="1"/>
  <c r="I22"/>
  <c r="J22"/>
  <c r="F25"/>
  <c r="H22"/>
  <c r="G23"/>
  <c r="G49" s="1"/>
  <c r="G24"/>
  <c r="G50" s="1"/>
  <c r="J24"/>
  <c r="G22"/>
  <c r="F22"/>
  <c r="H25"/>
  <c r="J23"/>
  <c r="J49" s="1"/>
  <c r="F24"/>
  <c r="E13" i="23"/>
  <c r="E12"/>
  <c r="E9"/>
  <c r="E7"/>
  <c r="E14"/>
  <c r="E8"/>
  <c r="E11"/>
  <c r="E10"/>
  <c r="E17"/>
  <c r="E18"/>
  <c r="E16"/>
  <c r="E15"/>
  <c r="F25" i="18"/>
  <c r="I25"/>
  <c r="G22"/>
  <c r="I22"/>
  <c r="F22"/>
  <c r="F52" s="1"/>
  <c r="G24"/>
  <c r="G54" s="1"/>
  <c r="F24"/>
  <c r="F54" s="1"/>
  <c r="I23"/>
  <c r="G25"/>
  <c r="H24"/>
  <c r="H23"/>
  <c r="F23"/>
  <c r="H22"/>
  <c r="H25"/>
  <c r="H55" s="1"/>
  <c r="G23"/>
  <c r="I24"/>
  <c r="I54" s="1"/>
  <c r="E6" i="23"/>
  <c r="E19"/>
  <c r="E24"/>
  <c r="H59" i="18" l="1"/>
  <c r="E23" i="23"/>
  <c r="I55" i="18"/>
  <c r="E25" i="23"/>
  <c r="E5"/>
  <c r="J50" i="8"/>
  <c r="E20" i="23"/>
  <c r="E4"/>
  <c r="I48" i="8"/>
  <c r="E21" i="23"/>
  <c r="E22"/>
  <c r="H57" i="18"/>
  <c r="G48" i="8"/>
  <c r="I57" i="18"/>
  <c r="I56"/>
  <c r="H48" i="8"/>
  <c r="G57" i="18"/>
  <c r="I51" i="8"/>
  <c r="J51"/>
  <c r="G51"/>
  <c r="G53" i="18"/>
  <c r="F55"/>
  <c r="H51" i="8"/>
  <c r="H53" i="18"/>
  <c r="G58"/>
  <c r="F59"/>
  <c r="H52"/>
  <c r="F56"/>
  <c r="F53"/>
  <c r="I59"/>
  <c r="I52"/>
  <c r="I53"/>
  <c r="H50" i="8"/>
  <c r="G59" i="18"/>
  <c r="H58"/>
  <c r="F51" i="8"/>
  <c r="F50"/>
  <c r="G56" i="18"/>
  <c r="F58"/>
  <c r="F48" i="8"/>
  <c r="F57" i="18"/>
  <c r="G55"/>
  <c r="H54"/>
  <c r="J48" i="8"/>
  <c r="I58" i="18"/>
  <c r="G52"/>
  <c r="H56"/>
  <c r="G61" i="8" l="1"/>
  <c r="J61"/>
  <c r="I61"/>
  <c r="H61"/>
  <c r="F61"/>
  <c r="F61" i="18"/>
  <c r="I61"/>
  <c r="G61"/>
  <c r="H61"/>
  <c r="I14" i="9" l="1"/>
  <c r="P16"/>
  <c r="P26" s="1"/>
  <c r="P44" s="1"/>
  <c r="L13"/>
  <c r="R16"/>
  <c r="R26" s="1"/>
  <c r="R44" s="1"/>
  <c r="J16"/>
  <c r="J26" s="1"/>
  <c r="J44" s="1"/>
  <c r="K16"/>
  <c r="K26" s="1"/>
  <c r="K44" s="1"/>
  <c r="G16"/>
  <c r="G26" s="1"/>
  <c r="G44" s="1"/>
  <c r="O13"/>
  <c r="E14"/>
  <c r="T13"/>
  <c r="N16"/>
  <c r="N26" s="1"/>
  <c r="N44" s="1"/>
  <c r="L16"/>
  <c r="W13"/>
  <c r="J13"/>
  <c r="X13"/>
  <c r="I16"/>
  <c r="K13"/>
  <c r="G13"/>
  <c r="R13"/>
  <c r="X16"/>
  <c r="F16"/>
  <c r="F26" s="1"/>
  <c r="F44" s="1"/>
  <c r="O16"/>
  <c r="E16"/>
  <c r="Q16"/>
  <c r="Q26" s="1"/>
  <c r="Q44" s="1"/>
  <c r="M13"/>
  <c r="X14"/>
  <c r="X24" s="1"/>
  <c r="X42" s="1"/>
  <c r="V14"/>
  <c r="U14"/>
  <c r="M16"/>
  <c r="M26" s="1"/>
  <c r="M44" s="1"/>
  <c r="V13"/>
  <c r="F13"/>
  <c r="W16"/>
  <c r="W26" s="1"/>
  <c r="W44" s="1"/>
  <c r="U13"/>
  <c r="V16"/>
  <c r="H16"/>
  <c r="F14"/>
  <c r="H13"/>
  <c r="R15"/>
  <c r="R25" s="1"/>
  <c r="R43" s="1"/>
  <c r="V15"/>
  <c r="Q14"/>
  <c r="J15"/>
  <c r="J14"/>
  <c r="I15"/>
  <c r="I25" s="1"/>
  <c r="I43" s="1"/>
  <c r="L15"/>
  <c r="Q15"/>
  <c r="P13"/>
  <c r="T16"/>
  <c r="N13"/>
  <c r="T15"/>
  <c r="T25" s="1"/>
  <c r="T43" s="1"/>
  <c r="P14"/>
  <c r="P24" s="1"/>
  <c r="P42" s="1"/>
  <c r="O15"/>
  <c r="O14"/>
  <c r="O24" s="1"/>
  <c r="O42" s="1"/>
  <c r="L14"/>
  <c r="L24" s="1"/>
  <c r="L42" s="1"/>
  <c r="S14"/>
  <c r="S24" s="1"/>
  <c r="S42" s="1"/>
  <c r="T14"/>
  <c r="T24" s="1"/>
  <c r="T42" s="1"/>
  <c r="H15"/>
  <c r="U16"/>
  <c r="U26" s="1"/>
  <c r="U44" s="1"/>
  <c r="S16"/>
  <c r="N14"/>
  <c r="Q13"/>
  <c r="W14"/>
  <c r="S13"/>
  <c r="G14"/>
  <c r="G24" s="1"/>
  <c r="G42" s="1"/>
  <c r="W15"/>
  <c r="I13"/>
  <c r="U15"/>
  <c r="M15"/>
  <c r="M25" s="1"/>
  <c r="M43" s="1"/>
  <c r="M14"/>
  <c r="M24" s="1"/>
  <c r="M42" s="1"/>
  <c r="H14"/>
  <c r="H24" s="1"/>
  <c r="H42" s="1"/>
  <c r="P15"/>
  <c r="P25" s="1"/>
  <c r="P43" s="1"/>
  <c r="E15"/>
  <c r="K14"/>
  <c r="K24" s="1"/>
  <c r="K42" s="1"/>
  <c r="K15"/>
  <c r="R14"/>
  <c r="R24" s="1"/>
  <c r="R42" s="1"/>
  <c r="F15"/>
  <c r="S15"/>
  <c r="N15"/>
  <c r="N25" s="1"/>
  <c r="N43" s="1"/>
  <c r="X15"/>
  <c r="X25" s="1"/>
  <c r="X43" s="1"/>
  <c r="G15"/>
  <c r="G25" s="1"/>
  <c r="G43" s="1"/>
  <c r="E13"/>
  <c r="I14" i="17"/>
  <c r="P16"/>
  <c r="L13"/>
  <c r="R16"/>
  <c r="J16"/>
  <c r="K16"/>
  <c r="G16"/>
  <c r="O13"/>
  <c r="E14"/>
  <c r="T13"/>
  <c r="N16"/>
  <c r="L16"/>
  <c r="W13"/>
  <c r="J13"/>
  <c r="X13"/>
  <c r="I16"/>
  <c r="K13"/>
  <c r="G13"/>
  <c r="R13"/>
  <c r="X16"/>
  <c r="F16"/>
  <c r="O16"/>
  <c r="E16"/>
  <c r="Q16"/>
  <c r="M13"/>
  <c r="X14"/>
  <c r="V14"/>
  <c r="U14"/>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E13"/>
  <c r="P14" i="8"/>
  <c r="P32" s="1"/>
  <c r="H15"/>
  <c r="H33" s="1"/>
  <c r="H67" s="1"/>
  <c r="H79" s="1"/>
  <c r="M17" i="23" s="1"/>
  <c r="Y16" i="8"/>
  <c r="I15"/>
  <c r="I33" s="1"/>
  <c r="I67" s="1"/>
  <c r="I79" s="1"/>
  <c r="N17" i="23" s="1"/>
  <c r="T16" i="8"/>
  <c r="T34" s="1"/>
  <c r="Y14"/>
  <c r="S16"/>
  <c r="S34" s="1"/>
  <c r="M16"/>
  <c r="M34" s="1"/>
  <c r="W14"/>
  <c r="W32" s="1"/>
  <c r="G15"/>
  <c r="G33" s="1"/>
  <c r="G67" s="1"/>
  <c r="G79" s="1"/>
  <c r="L17" i="23" s="1"/>
  <c r="R15" i="8"/>
  <c r="R33" s="1"/>
  <c r="Y15"/>
  <c r="O15"/>
  <c r="O33" s="1"/>
  <c r="X16"/>
  <c r="X34" s="1"/>
  <c r="N13"/>
  <c r="O14"/>
  <c r="O32" s="1"/>
  <c r="S13"/>
  <c r="U16"/>
  <c r="U34" s="1"/>
  <c r="V15"/>
  <c r="V33" s="1"/>
  <c r="N15"/>
  <c r="N33" s="1"/>
  <c r="J15"/>
  <c r="J33" s="1"/>
  <c r="J67" s="1"/>
  <c r="J79" s="1"/>
  <c r="O17" i="23" s="1"/>
  <c r="Q14" i="8"/>
  <c r="Q32" s="1"/>
  <c r="O13"/>
  <c r="J16"/>
  <c r="J34" s="1"/>
  <c r="J68" s="1"/>
  <c r="J80" s="1"/>
  <c r="O18" i="23" s="1"/>
  <c r="S14" i="8"/>
  <c r="S32" s="1"/>
  <c r="H13"/>
  <c r="G14"/>
  <c r="G32" s="1"/>
  <c r="G66" s="1"/>
  <c r="G78" s="1"/>
  <c r="L16" i="23" s="1"/>
  <c r="V13" i="8"/>
  <c r="I16"/>
  <c r="I34" s="1"/>
  <c r="I68" s="1"/>
  <c r="I80" s="1"/>
  <c r="N18" i="23" s="1"/>
  <c r="Q13" i="8"/>
  <c r="W13"/>
  <c r="R16"/>
  <c r="R34" s="1"/>
  <c r="W16"/>
  <c r="W34" s="1"/>
  <c r="P15"/>
  <c r="P33" s="1"/>
  <c r="I14"/>
  <c r="I32" s="1"/>
  <c r="I66" s="1"/>
  <c r="I78" s="1"/>
  <c r="N16" i="23" s="1"/>
  <c r="L16" i="8"/>
  <c r="L34" s="1"/>
  <c r="I13"/>
  <c r="K16"/>
  <c r="K34" s="1"/>
  <c r="N16"/>
  <c r="N34" s="1"/>
  <c r="M15"/>
  <c r="M33" s="1"/>
  <c r="W15"/>
  <c r="W33" s="1"/>
  <c r="N14"/>
  <c r="N32" s="1"/>
  <c r="U14"/>
  <c r="U32" s="1"/>
  <c r="Y13"/>
  <c r="M14"/>
  <c r="M32" s="1"/>
  <c r="V16"/>
  <c r="V34" s="1"/>
  <c r="T15"/>
  <c r="T33" s="1"/>
  <c r="Q16"/>
  <c r="Q34" s="1"/>
  <c r="V14"/>
  <c r="V32" s="1"/>
  <c r="L15"/>
  <c r="L33" s="1"/>
  <c r="K15"/>
  <c r="K33" s="1"/>
  <c r="H16"/>
  <c r="H34" s="1"/>
  <c r="H68" s="1"/>
  <c r="H80" s="1"/>
  <c r="M18" i="23" s="1"/>
  <c r="R13" i="8"/>
  <c r="T13"/>
  <c r="H14"/>
  <c r="H32" s="1"/>
  <c r="H66" s="1"/>
  <c r="H78" s="1"/>
  <c r="M16" i="23" s="1"/>
  <c r="P16" i="8"/>
  <c r="P34" s="1"/>
  <c r="J13"/>
  <c r="S15"/>
  <c r="S33" s="1"/>
  <c r="R14"/>
  <c r="R32" s="1"/>
  <c r="G16"/>
  <c r="G34" s="1"/>
  <c r="G68" s="1"/>
  <c r="G80" s="1"/>
  <c r="L18" i="23" s="1"/>
  <c r="K13" i="8"/>
  <c r="U15"/>
  <c r="U33" s="1"/>
  <c r="G13"/>
  <c r="T14"/>
  <c r="T32" s="1"/>
  <c r="K14"/>
  <c r="K32" s="1"/>
  <c r="O16"/>
  <c r="O34" s="1"/>
  <c r="L14"/>
  <c r="L32" s="1"/>
  <c r="X15"/>
  <c r="X33" s="1"/>
  <c r="L13"/>
  <c r="Q15"/>
  <c r="Q33" s="1"/>
  <c r="X14"/>
  <c r="X32" s="1"/>
  <c r="J14"/>
  <c r="J32" s="1"/>
  <c r="P13"/>
  <c r="M13"/>
  <c r="U13"/>
  <c r="X13"/>
  <c r="F15"/>
  <c r="F33" s="1"/>
  <c r="F67" s="1"/>
  <c r="F14"/>
  <c r="F32" s="1"/>
  <c r="F66" s="1"/>
  <c r="F16"/>
  <c r="F34" s="1"/>
  <c r="F68" s="1"/>
  <c r="F13"/>
  <c r="P14" i="18"/>
  <c r="H15"/>
  <c r="Y16"/>
  <c r="I15"/>
  <c r="T16"/>
  <c r="Y14"/>
  <c r="S16"/>
  <c r="M16"/>
  <c r="W14"/>
  <c r="G15"/>
  <c r="R15"/>
  <c r="Y15"/>
  <c r="O15"/>
  <c r="X16"/>
  <c r="N13"/>
  <c r="O14"/>
  <c r="S13"/>
  <c r="U16"/>
  <c r="V15"/>
  <c r="N15"/>
  <c r="J15"/>
  <c r="Q14"/>
  <c r="O13"/>
  <c r="J16"/>
  <c r="S14"/>
  <c r="F15"/>
  <c r="H13"/>
  <c r="G14"/>
  <c r="V13"/>
  <c r="I16"/>
  <c r="Q13"/>
  <c r="W13"/>
  <c r="R16"/>
  <c r="W16"/>
  <c r="P15"/>
  <c r="I14"/>
  <c r="L16"/>
  <c r="F14"/>
  <c r="I13"/>
  <c r="K16"/>
  <c r="N16"/>
  <c r="M15"/>
  <c r="W15"/>
  <c r="N14"/>
  <c r="U14"/>
  <c r="Y13"/>
  <c r="M14"/>
  <c r="V16"/>
  <c r="T15"/>
  <c r="Q16"/>
  <c r="V14"/>
  <c r="L15"/>
  <c r="K15"/>
  <c r="H16"/>
  <c r="R13"/>
  <c r="T13"/>
  <c r="H14"/>
  <c r="P16"/>
  <c r="J13"/>
  <c r="S15"/>
  <c r="R14"/>
  <c r="G16"/>
  <c r="K13"/>
  <c r="U15"/>
  <c r="F16"/>
  <c r="G13"/>
  <c r="T14"/>
  <c r="K14"/>
  <c r="O16"/>
  <c r="L14"/>
  <c r="X15"/>
  <c r="L13"/>
  <c r="Q15"/>
  <c r="X14"/>
  <c r="J14"/>
  <c r="P13"/>
  <c r="M13"/>
  <c r="U13"/>
  <c r="X13"/>
  <c r="F13"/>
  <c r="N154" i="9" l="1"/>
  <c r="T24" i="8" s="1"/>
  <c r="T50" s="1"/>
  <c r="N54" i="9"/>
  <c r="T5" i="23" s="1"/>
  <c r="K25" i="9"/>
  <c r="K43" s="1"/>
  <c r="K54" s="1"/>
  <c r="Q5" i="23" s="1"/>
  <c r="I18" i="9"/>
  <c r="I23"/>
  <c r="W24"/>
  <c r="W42" s="1"/>
  <c r="W53" s="1"/>
  <c r="AC4" i="23" s="1"/>
  <c r="W153" i="9"/>
  <c r="L153"/>
  <c r="R23" i="8" s="1"/>
  <c r="R49" s="1"/>
  <c r="R66" s="1"/>
  <c r="R78" s="1"/>
  <c r="W16" i="23" s="1"/>
  <c r="L53" i="9"/>
  <c r="R4" i="23" s="1"/>
  <c r="Q25" i="9"/>
  <c r="Q43" s="1"/>
  <c r="Q54" s="1"/>
  <c r="W5" i="23" s="1"/>
  <c r="Q154" i="9"/>
  <c r="W24" i="8" s="1"/>
  <c r="W50" s="1"/>
  <c r="W67" s="1"/>
  <c r="W79" s="1"/>
  <c r="AB17" i="23" s="1"/>
  <c r="H18" i="9"/>
  <c r="H23"/>
  <c r="U18"/>
  <c r="U23"/>
  <c r="M18"/>
  <c r="M23"/>
  <c r="K18"/>
  <c r="K23"/>
  <c r="J155"/>
  <c r="P25" i="8" s="1"/>
  <c r="P51" s="1"/>
  <c r="P68" s="1"/>
  <c r="P80" s="1"/>
  <c r="U18" i="23" s="1"/>
  <c r="J55" i="9"/>
  <c r="P6" i="23" s="1"/>
  <c r="P154" i="9"/>
  <c r="V24" i="8" s="1"/>
  <c r="V50" s="1"/>
  <c r="P54" i="9"/>
  <c r="V5" i="23" s="1"/>
  <c r="S18" i="9"/>
  <c r="S23"/>
  <c r="S153"/>
  <c r="Y23" i="8" s="1"/>
  <c r="Y49" s="1"/>
  <c r="S53" i="9"/>
  <c r="Y4" i="23" s="1"/>
  <c r="P18" i="9"/>
  <c r="P23"/>
  <c r="J24"/>
  <c r="J42" s="1"/>
  <c r="J53" s="1"/>
  <c r="P4" i="23" s="1"/>
  <c r="V26" i="9"/>
  <c r="V44" s="1"/>
  <c r="V55" s="1"/>
  <c r="AB6" i="23" s="1"/>
  <c r="V155" i="9"/>
  <c r="V18"/>
  <c r="V23"/>
  <c r="O26"/>
  <c r="O44" s="1"/>
  <c r="O55" s="1"/>
  <c r="U6" i="23" s="1"/>
  <c r="J18" i="9"/>
  <c r="J23"/>
  <c r="T18"/>
  <c r="T23"/>
  <c r="P155"/>
  <c r="V25" i="8" s="1"/>
  <c r="V51" s="1"/>
  <c r="V68" s="1"/>
  <c r="V80" s="1"/>
  <c r="AA18" i="23" s="1"/>
  <c r="P55" i="9"/>
  <c r="V6" i="23" s="1"/>
  <c r="G154" i="9"/>
  <c r="M24" i="8" s="1"/>
  <c r="M50" s="1"/>
  <c r="G54" i="9"/>
  <c r="M5" i="23" s="1"/>
  <c r="F25" i="9"/>
  <c r="F43" s="1"/>
  <c r="F54" s="1"/>
  <c r="L5" i="23" s="1"/>
  <c r="AA15" i="9"/>
  <c r="E25"/>
  <c r="M154"/>
  <c r="S24" i="8" s="1"/>
  <c r="S50" s="1"/>
  <c r="S67" s="1"/>
  <c r="S79" s="1"/>
  <c r="X17" i="23" s="1"/>
  <c r="M54" i="9"/>
  <c r="S5" i="23" s="1"/>
  <c r="G153" i="9"/>
  <c r="M23" i="8" s="1"/>
  <c r="M49" s="1"/>
  <c r="G53" i="9"/>
  <c r="M4" i="23" s="1"/>
  <c r="N24" i="9"/>
  <c r="N42" s="1"/>
  <c r="N53" s="1"/>
  <c r="T4" i="23" s="1"/>
  <c r="T153" i="9"/>
  <c r="T53"/>
  <c r="Z4" i="23" s="1"/>
  <c r="O25" i="9"/>
  <c r="O43" s="1"/>
  <c r="O54" s="1"/>
  <c r="U5" i="23" s="1"/>
  <c r="T26" i="9"/>
  <c r="T44" s="1"/>
  <c r="T55" s="1"/>
  <c r="Z6" i="23" s="1"/>
  <c r="T155" i="9"/>
  <c r="I154"/>
  <c r="O24" i="8" s="1"/>
  <c r="O50" s="1"/>
  <c r="I54" i="9"/>
  <c r="O5" i="23" s="1"/>
  <c r="V25" i="9"/>
  <c r="V43" s="1"/>
  <c r="V54" s="1"/>
  <c r="AB5" i="23" s="1"/>
  <c r="V154" i="9"/>
  <c r="H26"/>
  <c r="H44" s="1"/>
  <c r="H55" s="1"/>
  <c r="N6" i="23" s="1"/>
  <c r="F18" i="9"/>
  <c r="F23"/>
  <c r="V24"/>
  <c r="V42" s="1"/>
  <c r="V53" s="1"/>
  <c r="AB4" i="23" s="1"/>
  <c r="V153" i="9"/>
  <c r="AA16"/>
  <c r="E26"/>
  <c r="R18"/>
  <c r="R23"/>
  <c r="X18"/>
  <c r="X23"/>
  <c r="N155"/>
  <c r="T25" i="8" s="1"/>
  <c r="T51" s="1"/>
  <c r="N55" i="9"/>
  <c r="T6" i="23" s="1"/>
  <c r="G155" i="9"/>
  <c r="M25" i="8" s="1"/>
  <c r="M51" s="1"/>
  <c r="G55" i="9"/>
  <c r="M6" i="23" s="1"/>
  <c r="L18" i="9"/>
  <c r="L23"/>
  <c r="M66" i="8"/>
  <c r="M78" s="1"/>
  <c r="R16" i="23" s="1"/>
  <c r="T67" i="8"/>
  <c r="T79" s="1"/>
  <c r="Y17" i="23" s="1"/>
  <c r="U66" i="8"/>
  <c r="U78" s="1"/>
  <c r="Z16" i="23" s="1"/>
  <c r="V67" i="8"/>
  <c r="V79" s="1"/>
  <c r="AA17" i="23" s="1"/>
  <c r="S68" i="8"/>
  <c r="S80" s="1"/>
  <c r="X18" i="23" s="1"/>
  <c r="H153" i="9"/>
  <c r="N23" i="8" s="1"/>
  <c r="N49" s="1"/>
  <c r="H53" i="9"/>
  <c r="N4" i="23" s="1"/>
  <c r="U155" i="9"/>
  <c r="U55"/>
  <c r="AA6" i="23" s="1"/>
  <c r="T154" i="9"/>
  <c r="T54"/>
  <c r="Z5" i="23" s="1"/>
  <c r="J154" i="9"/>
  <c r="P24" i="8" s="1"/>
  <c r="P50" s="1"/>
  <c r="P67" s="1"/>
  <c r="P79" s="1"/>
  <c r="U17" i="23" s="1"/>
  <c r="J25" i="9"/>
  <c r="J43" s="1"/>
  <c r="J54" s="1"/>
  <c r="P5" i="23" s="1"/>
  <c r="M155" i="9"/>
  <c r="S25" i="8" s="1"/>
  <c r="S51" s="1"/>
  <c r="M55" i="9"/>
  <c r="S6" i="23" s="1"/>
  <c r="F155" i="9"/>
  <c r="L25" i="8" s="1"/>
  <c r="L51" s="1"/>
  <c r="L68" s="1"/>
  <c r="L80" s="1"/>
  <c r="Q18" i="23" s="1"/>
  <c r="F55" i="9"/>
  <c r="L6" i="23" s="1"/>
  <c r="W18" i="9"/>
  <c r="W23"/>
  <c r="AA14"/>
  <c r="E24"/>
  <c r="I24"/>
  <c r="I42" s="1"/>
  <c r="I53" s="1"/>
  <c r="O4" i="23" s="1"/>
  <c r="X154" i="9"/>
  <c r="X54"/>
  <c r="AD5" i="23" s="1"/>
  <c r="R153" i="9"/>
  <c r="X23" i="8" s="1"/>
  <c r="X49" s="1"/>
  <c r="X66" s="1"/>
  <c r="X78" s="1"/>
  <c r="AC16" i="23" s="1"/>
  <c r="R53" i="9"/>
  <c r="X4" i="23" s="1"/>
  <c r="U25" i="9"/>
  <c r="U43" s="1"/>
  <c r="U54" s="1"/>
  <c r="AA5" i="23" s="1"/>
  <c r="S26" i="9"/>
  <c r="S44" s="1"/>
  <c r="S55" s="1"/>
  <c r="Y6" i="23" s="1"/>
  <c r="P153" i="9"/>
  <c r="V23" i="8" s="1"/>
  <c r="V49" s="1"/>
  <c r="P53" i="9"/>
  <c r="V4" i="23" s="1"/>
  <c r="R154" i="9"/>
  <c r="X24" i="8" s="1"/>
  <c r="X50" s="1"/>
  <c r="X67" s="1"/>
  <c r="X79" s="1"/>
  <c r="AC17" i="23" s="1"/>
  <c r="R54" i="9"/>
  <c r="X5" i="23" s="1"/>
  <c r="X153" i="9"/>
  <c r="X53"/>
  <c r="AD4" i="23" s="1"/>
  <c r="G18" i="9"/>
  <c r="G23"/>
  <c r="K155"/>
  <c r="Q25" i="8" s="1"/>
  <c r="Q51" s="1"/>
  <c r="K55" i="9"/>
  <c r="Q6" i="23" s="1"/>
  <c r="S25" i="9"/>
  <c r="S43" s="1"/>
  <c r="S54" s="1"/>
  <c r="Y5" i="23" s="1"/>
  <c r="K153" i="9"/>
  <c r="Q23" i="8" s="1"/>
  <c r="Q49" s="1"/>
  <c r="K53" i="9"/>
  <c r="Q4" i="23" s="1"/>
  <c r="M153" i="9"/>
  <c r="S23" i="8" s="1"/>
  <c r="S49" s="1"/>
  <c r="S66" s="1"/>
  <c r="S78" s="1"/>
  <c r="X16" i="23" s="1"/>
  <c r="M53" i="9"/>
  <c r="S4" i="23" s="1"/>
  <c r="W25" i="9"/>
  <c r="W43" s="1"/>
  <c r="W54" s="1"/>
  <c r="AC5" i="23" s="1"/>
  <c r="W154" i="9"/>
  <c r="Q18"/>
  <c r="Q23"/>
  <c r="H154"/>
  <c r="N24" i="8" s="1"/>
  <c r="N50" s="1"/>
  <c r="H25" i="9"/>
  <c r="H43" s="1"/>
  <c r="H54" s="1"/>
  <c r="N5" i="23" s="1"/>
  <c r="O153" i="9"/>
  <c r="U23" i="8" s="1"/>
  <c r="U49" s="1"/>
  <c r="O53" i="9"/>
  <c r="U4" i="23" s="1"/>
  <c r="N18" i="9"/>
  <c r="N23"/>
  <c r="L25"/>
  <c r="L43" s="1"/>
  <c r="L54" s="1"/>
  <c r="R5" i="23" s="1"/>
  <c r="L154" i="9"/>
  <c r="R24" i="8" s="1"/>
  <c r="R50" s="1"/>
  <c r="R67" s="1"/>
  <c r="R79" s="1"/>
  <c r="W17" i="23" s="1"/>
  <c r="Q24" i="9"/>
  <c r="Q42" s="1"/>
  <c r="Q53" s="1"/>
  <c r="W4" i="23" s="1"/>
  <c r="F24" i="9"/>
  <c r="F42" s="1"/>
  <c r="F53" s="1"/>
  <c r="L4" i="23" s="1"/>
  <c r="F153" i="9"/>
  <c r="L23" i="8" s="1"/>
  <c r="L49" s="1"/>
  <c r="L66" s="1"/>
  <c r="L78" s="1"/>
  <c r="Q16" i="23" s="1"/>
  <c r="W155" i="9"/>
  <c r="W55"/>
  <c r="AC6" i="23" s="1"/>
  <c r="U24" i="9"/>
  <c r="U42" s="1"/>
  <c r="U53" s="1"/>
  <c r="AA4" i="23" s="1"/>
  <c r="U153" i="9"/>
  <c r="Q155"/>
  <c r="W25" i="8" s="1"/>
  <c r="W51" s="1"/>
  <c r="W68" s="1"/>
  <c r="W80" s="1"/>
  <c r="AB18" i="23" s="1"/>
  <c r="Q55" i="9"/>
  <c r="W6" i="23" s="1"/>
  <c r="X26" i="9"/>
  <c r="X44" s="1"/>
  <c r="X55" s="1"/>
  <c r="AD6" i="23" s="1"/>
  <c r="X155" i="9"/>
  <c r="I26"/>
  <c r="I44" s="1"/>
  <c r="I55" s="1"/>
  <c r="O6" i="23" s="1"/>
  <c r="L26" i="9"/>
  <c r="L44" s="1"/>
  <c r="L55" s="1"/>
  <c r="R6" i="23" s="1"/>
  <c r="O18" i="9"/>
  <c r="O23"/>
  <c r="R155"/>
  <c r="X25" i="8" s="1"/>
  <c r="X51" s="1"/>
  <c r="X68" s="1"/>
  <c r="X80" s="1"/>
  <c r="AC18" i="23" s="1"/>
  <c r="R55" i="9"/>
  <c r="X6" i="23" s="1"/>
  <c r="O67" i="8"/>
  <c r="O79" s="1"/>
  <c r="T17" i="23" s="1"/>
  <c r="T68" i="8"/>
  <c r="T80" s="1"/>
  <c r="Y18" i="23" s="1"/>
  <c r="N66" i="8"/>
  <c r="N78" s="1"/>
  <c r="S16" i="23" s="1"/>
  <c r="Q66" i="8"/>
  <c r="Q78" s="1"/>
  <c r="V16" i="23" s="1"/>
  <c r="Q68" i="8"/>
  <c r="Q80" s="1"/>
  <c r="V18" i="23" s="1"/>
  <c r="M67" i="8"/>
  <c r="M79" s="1"/>
  <c r="R17" i="23" s="1"/>
  <c r="N67" i="8"/>
  <c r="N79" s="1"/>
  <c r="S17" i="23" s="1"/>
  <c r="M68" i="8"/>
  <c r="M80" s="1"/>
  <c r="R18" i="23" s="1"/>
  <c r="AA13" i="9"/>
  <c r="E18"/>
  <c r="AA18" s="1"/>
  <c r="E23"/>
  <c r="K29" i="17"/>
  <c r="K43" s="1"/>
  <c r="K62" s="1"/>
  <c r="Q9" i="23" s="1"/>
  <c r="K33" i="17"/>
  <c r="K47" s="1"/>
  <c r="K66" s="1"/>
  <c r="Q13" i="23" s="1"/>
  <c r="I18" i="17"/>
  <c r="I31"/>
  <c r="I45" s="1"/>
  <c r="I64" s="1"/>
  <c r="O11" i="23" s="1"/>
  <c r="I27" i="17"/>
  <c r="U34"/>
  <c r="U48" s="1"/>
  <c r="U67" s="1"/>
  <c r="AA14" i="23" s="1"/>
  <c r="U30" i="17"/>
  <c r="U44" s="1"/>
  <c r="T29"/>
  <c r="T43" s="1"/>
  <c r="T62" s="1"/>
  <c r="Z9" i="23" s="1"/>
  <c r="T33" i="17"/>
  <c r="T47" s="1"/>
  <c r="T66" s="1"/>
  <c r="Z13" i="23" s="1"/>
  <c r="J29" i="17"/>
  <c r="J43" s="1"/>
  <c r="J62" s="1"/>
  <c r="P9" i="23" s="1"/>
  <c r="J33" i="17"/>
  <c r="J47" s="1"/>
  <c r="J66" s="1"/>
  <c r="P13" i="23" s="1"/>
  <c r="U18" i="17"/>
  <c r="U27"/>
  <c r="U31"/>
  <c r="U45" s="1"/>
  <c r="U64" s="1"/>
  <c r="AA11" i="23" s="1"/>
  <c r="M18" i="17"/>
  <c r="M31"/>
  <c r="M45" s="1"/>
  <c r="M64" s="1"/>
  <c r="S11" i="23" s="1"/>
  <c r="M27" i="17"/>
  <c r="K18"/>
  <c r="K31"/>
  <c r="K45" s="1"/>
  <c r="K64" s="1"/>
  <c r="Q11" i="23" s="1"/>
  <c r="K27" i="17"/>
  <c r="J30"/>
  <c r="J44" s="1"/>
  <c r="J63" s="1"/>
  <c r="P10" i="23" s="1"/>
  <c r="J34" i="17"/>
  <c r="J48" s="1"/>
  <c r="J67" s="1"/>
  <c r="P14" i="23" s="1"/>
  <c r="X29" i="17"/>
  <c r="X43" s="1"/>
  <c r="X62" s="1"/>
  <c r="AD9" i="23" s="1"/>
  <c r="X33" i="17"/>
  <c r="X47" s="1"/>
  <c r="X66" s="1"/>
  <c r="AD13" i="23" s="1"/>
  <c r="U29" i="17"/>
  <c r="U43" s="1"/>
  <c r="U62" s="1"/>
  <c r="AA9" i="23" s="1"/>
  <c r="U33" i="17"/>
  <c r="U47" s="1"/>
  <c r="U66" s="1"/>
  <c r="AA13" i="23" s="1"/>
  <c r="S34" i="17"/>
  <c r="S48" s="1"/>
  <c r="S67" s="1"/>
  <c r="Y14" i="23" s="1"/>
  <c r="S30" i="17"/>
  <c r="S44" s="1"/>
  <c r="S63" s="1"/>
  <c r="Y10" i="23" s="1"/>
  <c r="P28" i="17"/>
  <c r="P42" s="1"/>
  <c r="P61" s="1"/>
  <c r="V8" i="23" s="1"/>
  <c r="P32" i="17"/>
  <c r="P46" s="1"/>
  <c r="P65" s="1"/>
  <c r="V12" i="23" s="1"/>
  <c r="J28" i="17"/>
  <c r="J42" s="1"/>
  <c r="J61" s="1"/>
  <c r="P8" i="23" s="1"/>
  <c r="J32" i="17"/>
  <c r="J46" s="1"/>
  <c r="J65" s="1"/>
  <c r="P12" i="23" s="1"/>
  <c r="V34" i="17"/>
  <c r="V48" s="1"/>
  <c r="V67" s="1"/>
  <c r="AB14" i="23" s="1"/>
  <c r="V30" i="17"/>
  <c r="V44" s="1"/>
  <c r="V63" s="1"/>
  <c r="AB10" i="23" s="1"/>
  <c r="X28" i="17"/>
  <c r="X42" s="1"/>
  <c r="X61" s="1"/>
  <c r="AD8" i="23" s="1"/>
  <c r="X32" i="17"/>
  <c r="X46" s="1"/>
  <c r="X65" s="1"/>
  <c r="AD12" i="23" s="1"/>
  <c r="G18" i="17"/>
  <c r="G31"/>
  <c r="G45" s="1"/>
  <c r="G64" s="1"/>
  <c r="M11" i="23" s="1"/>
  <c r="G27" i="17"/>
  <c r="T18"/>
  <c r="T27"/>
  <c r="T31"/>
  <c r="T45" s="1"/>
  <c r="T64" s="1"/>
  <c r="Z11" i="23" s="1"/>
  <c r="P30" i="17"/>
  <c r="P44" s="1"/>
  <c r="P63" s="1"/>
  <c r="V10" i="23" s="1"/>
  <c r="P34" i="17"/>
  <c r="P48" s="1"/>
  <c r="P67" s="1"/>
  <c r="V14" i="23" s="1"/>
  <c r="G29" i="17"/>
  <c r="G43" s="1"/>
  <c r="G62" s="1"/>
  <c r="M9" i="23" s="1"/>
  <c r="G33" i="17"/>
  <c r="G47" s="1"/>
  <c r="G66" s="1"/>
  <c r="M13" i="23" s="1"/>
  <c r="F29" i="17"/>
  <c r="F43" s="1"/>
  <c r="F62" s="1"/>
  <c r="L9" i="23" s="1"/>
  <c r="F33" i="17"/>
  <c r="F47" s="1"/>
  <c r="F66" s="1"/>
  <c r="L13" i="23" s="1"/>
  <c r="M29" i="17"/>
  <c r="M43" s="1"/>
  <c r="M62" s="1"/>
  <c r="S9" i="23" s="1"/>
  <c r="M33" i="17"/>
  <c r="M47" s="1"/>
  <c r="M66" s="1"/>
  <c r="S13" i="23" s="1"/>
  <c r="G32" i="17"/>
  <c r="G46" s="1"/>
  <c r="G65" s="1"/>
  <c r="M12" i="23" s="1"/>
  <c r="G28" i="17"/>
  <c r="G42" s="1"/>
  <c r="G61" s="1"/>
  <c r="M8" i="23" s="1"/>
  <c r="N28" i="17"/>
  <c r="N42" s="1"/>
  <c r="N61" s="1"/>
  <c r="T8" i="23" s="1"/>
  <c r="N32" i="17"/>
  <c r="N46" s="1"/>
  <c r="N65" s="1"/>
  <c r="T12" i="23" s="1"/>
  <c r="T32" i="17"/>
  <c r="T46" s="1"/>
  <c r="T65" s="1"/>
  <c r="Z12" i="23" s="1"/>
  <c r="T28" i="17"/>
  <c r="T42" s="1"/>
  <c r="T61" s="1"/>
  <c r="Z8" i="23" s="1"/>
  <c r="O29" i="17"/>
  <c r="O43" s="1"/>
  <c r="O62" s="1"/>
  <c r="U9" i="23" s="1"/>
  <c r="O33" i="17"/>
  <c r="O47" s="1"/>
  <c r="O66" s="1"/>
  <c r="U13" i="23" s="1"/>
  <c r="T34" i="17"/>
  <c r="T48" s="1"/>
  <c r="T67" s="1"/>
  <c r="Z14" i="23" s="1"/>
  <c r="T30" i="17"/>
  <c r="T44" s="1"/>
  <c r="T63" s="1"/>
  <c r="Z10" i="23" s="1"/>
  <c r="I29" i="17"/>
  <c r="I43" s="1"/>
  <c r="I62" s="1"/>
  <c r="O9" i="23" s="1"/>
  <c r="I33" i="17"/>
  <c r="I47" s="1"/>
  <c r="I66" s="1"/>
  <c r="O13" i="23" s="1"/>
  <c r="V29" i="17"/>
  <c r="V43" s="1"/>
  <c r="V62" s="1"/>
  <c r="AB9" i="23" s="1"/>
  <c r="V33" i="17"/>
  <c r="V47" s="1"/>
  <c r="V66" s="1"/>
  <c r="AB13" i="23" s="1"/>
  <c r="H34" i="17"/>
  <c r="H48" s="1"/>
  <c r="H67" s="1"/>
  <c r="N14" i="23" s="1"/>
  <c r="H30" i="17"/>
  <c r="H44" s="1"/>
  <c r="H63" s="1"/>
  <c r="N10" i="23" s="1"/>
  <c r="F18" i="17"/>
  <c r="F27"/>
  <c r="F31"/>
  <c r="F45" s="1"/>
  <c r="F64" s="1"/>
  <c r="L11" i="23" s="1"/>
  <c r="V28" i="17"/>
  <c r="V42" s="1"/>
  <c r="V61" s="1"/>
  <c r="AB8" i="23" s="1"/>
  <c r="V32" i="17"/>
  <c r="V46" s="1"/>
  <c r="V65" s="1"/>
  <c r="AB12" i="23" s="1"/>
  <c r="R18" i="17"/>
  <c r="R27"/>
  <c r="R31"/>
  <c r="R45" s="1"/>
  <c r="R64" s="1"/>
  <c r="X11" i="23" s="1"/>
  <c r="X18" i="17"/>
  <c r="X27"/>
  <c r="X31"/>
  <c r="X45" s="1"/>
  <c r="X64" s="1"/>
  <c r="AD11" i="23" s="1"/>
  <c r="N34" i="17"/>
  <c r="N48" s="1"/>
  <c r="N67" s="1"/>
  <c r="T14" i="23" s="1"/>
  <c r="N30" i="17"/>
  <c r="N44" s="1"/>
  <c r="N63" s="1"/>
  <c r="T10" i="23" s="1"/>
  <c r="G34" i="17"/>
  <c r="G48" s="1"/>
  <c r="G67" s="1"/>
  <c r="M14" i="23" s="1"/>
  <c r="G30" i="17"/>
  <c r="G44" s="1"/>
  <c r="L18"/>
  <c r="L31"/>
  <c r="L45" s="1"/>
  <c r="L64" s="1"/>
  <c r="R11" i="23" s="1"/>
  <c r="L27" i="17"/>
  <c r="N29"/>
  <c r="N43" s="1"/>
  <c r="N62" s="1"/>
  <c r="T9" i="23" s="1"/>
  <c r="N33" i="17"/>
  <c r="N47" s="1"/>
  <c r="N66" s="1"/>
  <c r="T13" i="23" s="1"/>
  <c r="H28" i="17"/>
  <c r="H42" s="1"/>
  <c r="H61" s="1"/>
  <c r="N8" i="23" s="1"/>
  <c r="H32" i="17"/>
  <c r="H46" s="1"/>
  <c r="H65" s="1"/>
  <c r="N12" i="23" s="1"/>
  <c r="W28" i="17"/>
  <c r="W42" s="1"/>
  <c r="W32"/>
  <c r="W46" s="1"/>
  <c r="W65" s="1"/>
  <c r="AC12" i="23" s="1"/>
  <c r="L28" i="17"/>
  <c r="L42" s="1"/>
  <c r="L61" s="1"/>
  <c r="R8" i="23" s="1"/>
  <c r="L32" i="17"/>
  <c r="L46" s="1"/>
  <c r="L65" s="1"/>
  <c r="R12" i="23" s="1"/>
  <c r="Q33" i="17"/>
  <c r="Q47" s="1"/>
  <c r="Q66" s="1"/>
  <c r="W13" i="23" s="1"/>
  <c r="Q29" i="17"/>
  <c r="Q43" s="1"/>
  <c r="Q62" s="1"/>
  <c r="W9" i="23" s="1"/>
  <c r="H18" i="17"/>
  <c r="H27"/>
  <c r="H31"/>
  <c r="H45" s="1"/>
  <c r="H64" s="1"/>
  <c r="N11" i="23" s="1"/>
  <c r="M30" i="17"/>
  <c r="M44" s="1"/>
  <c r="M63" s="1"/>
  <c r="S10" i="23" s="1"/>
  <c r="M34" i="17"/>
  <c r="M48" s="1"/>
  <c r="M67" s="1"/>
  <c r="S14" i="23" s="1"/>
  <c r="F34" i="17"/>
  <c r="F48" s="1"/>
  <c r="F67" s="1"/>
  <c r="L14" i="23" s="1"/>
  <c r="F30" i="17"/>
  <c r="F44" s="1"/>
  <c r="F63" s="1"/>
  <c r="L10" i="23" s="1"/>
  <c r="W18" i="17"/>
  <c r="W31"/>
  <c r="W45" s="1"/>
  <c r="W64" s="1"/>
  <c r="AC11" i="23" s="1"/>
  <c r="W27" i="17"/>
  <c r="I28"/>
  <c r="I42" s="1"/>
  <c r="I61" s="1"/>
  <c r="O8" i="23" s="1"/>
  <c r="I32" i="17"/>
  <c r="I46" s="1"/>
  <c r="I65" s="1"/>
  <c r="O12" i="23" s="1"/>
  <c r="R28" i="17"/>
  <c r="R42" s="1"/>
  <c r="R61" s="1"/>
  <c r="X8" i="23" s="1"/>
  <c r="R32" i="17"/>
  <c r="R46" s="1"/>
  <c r="R65" s="1"/>
  <c r="X12" i="23" s="1"/>
  <c r="P29" i="17"/>
  <c r="P43" s="1"/>
  <c r="P62" s="1"/>
  <c r="V9" i="23" s="1"/>
  <c r="P33" i="17"/>
  <c r="P47" s="1"/>
  <c r="P66" s="1"/>
  <c r="V13" i="23" s="1"/>
  <c r="S18" i="17"/>
  <c r="S27"/>
  <c r="S31"/>
  <c r="S45" s="1"/>
  <c r="S64" s="1"/>
  <c r="Y11" i="23" s="1"/>
  <c r="S28" i="17"/>
  <c r="S42" s="1"/>
  <c r="S61" s="1"/>
  <c r="Y8" i="23" s="1"/>
  <c r="S32" i="17"/>
  <c r="S46" s="1"/>
  <c r="S65" s="1"/>
  <c r="Y12" i="23" s="1"/>
  <c r="P18" i="17"/>
  <c r="P31"/>
  <c r="P45" s="1"/>
  <c r="P64" s="1"/>
  <c r="V11" i="23" s="1"/>
  <c r="P27" i="17"/>
  <c r="R29"/>
  <c r="R43" s="1"/>
  <c r="R62" s="1"/>
  <c r="X9" i="23" s="1"/>
  <c r="R33" i="17"/>
  <c r="R47" s="1"/>
  <c r="R66" s="1"/>
  <c r="X13" i="23" s="1"/>
  <c r="V18" i="17"/>
  <c r="V31"/>
  <c r="V45" s="1"/>
  <c r="V64" s="1"/>
  <c r="AB11" i="23" s="1"/>
  <c r="V27" i="17"/>
  <c r="O34"/>
  <c r="O48" s="1"/>
  <c r="O67" s="1"/>
  <c r="U14" i="23" s="1"/>
  <c r="O30" i="17"/>
  <c r="O44" s="1"/>
  <c r="O63" s="1"/>
  <c r="U10" i="23" s="1"/>
  <c r="J18" i="17"/>
  <c r="J27"/>
  <c r="J31"/>
  <c r="J45" s="1"/>
  <c r="J64" s="1"/>
  <c r="P11" i="23" s="1"/>
  <c r="K34" i="17"/>
  <c r="K48" s="1"/>
  <c r="K67" s="1"/>
  <c r="Q14" i="23" s="1"/>
  <c r="K30" i="17"/>
  <c r="K44" s="1"/>
  <c r="K63" s="1"/>
  <c r="Q10" i="23" s="1"/>
  <c r="S29" i="17"/>
  <c r="S43" s="1"/>
  <c r="S62" s="1"/>
  <c r="Y9" i="23" s="1"/>
  <c r="S33" i="17"/>
  <c r="S47" s="1"/>
  <c r="S66" s="1"/>
  <c r="Y13" i="23" s="1"/>
  <c r="K32" i="17"/>
  <c r="K46" s="1"/>
  <c r="K65" s="1"/>
  <c r="Q12" i="23" s="1"/>
  <c r="K28" i="17"/>
  <c r="K42" s="1"/>
  <c r="K61" s="1"/>
  <c r="Q8" i="23" s="1"/>
  <c r="M28" i="17"/>
  <c r="M42" s="1"/>
  <c r="M61" s="1"/>
  <c r="S8" i="23" s="1"/>
  <c r="M32" i="17"/>
  <c r="M46" s="1"/>
  <c r="M65" s="1"/>
  <c r="S12" i="23" s="1"/>
  <c r="W29" i="17"/>
  <c r="W43" s="1"/>
  <c r="W62" s="1"/>
  <c r="AC9" i="23" s="1"/>
  <c r="W33" i="17"/>
  <c r="W47" s="1"/>
  <c r="W66" s="1"/>
  <c r="AC13" i="23" s="1"/>
  <c r="Q18" i="17"/>
  <c r="Q27"/>
  <c r="Q31"/>
  <c r="Q45" s="1"/>
  <c r="Q64" s="1"/>
  <c r="W11" i="23" s="1"/>
  <c r="H29" i="17"/>
  <c r="H43" s="1"/>
  <c r="H62" s="1"/>
  <c r="N9" i="23" s="1"/>
  <c r="H33" i="17"/>
  <c r="H47" s="1"/>
  <c r="H66" s="1"/>
  <c r="N13" i="23" s="1"/>
  <c r="O28" i="17"/>
  <c r="O42" s="1"/>
  <c r="O61" s="1"/>
  <c r="U8" i="23" s="1"/>
  <c r="O32" i="17"/>
  <c r="O46" s="1"/>
  <c r="O65" s="1"/>
  <c r="U12" i="23" s="1"/>
  <c r="N18" i="17"/>
  <c r="N27"/>
  <c r="N31"/>
  <c r="N45" s="1"/>
  <c r="N64" s="1"/>
  <c r="T11" i="23" s="1"/>
  <c r="L29" i="17"/>
  <c r="L43" s="1"/>
  <c r="L62" s="1"/>
  <c r="R9" i="23" s="1"/>
  <c r="L33" i="17"/>
  <c r="L47" s="1"/>
  <c r="L66" s="1"/>
  <c r="R13" i="23" s="1"/>
  <c r="Q28" i="17"/>
  <c r="Q42" s="1"/>
  <c r="Q61" s="1"/>
  <c r="W8" i="23" s="1"/>
  <c r="Q32" i="17"/>
  <c r="Q46" s="1"/>
  <c r="Q65" s="1"/>
  <c r="W12" i="23" s="1"/>
  <c r="F28" i="17"/>
  <c r="F42" s="1"/>
  <c r="F61" s="1"/>
  <c r="L8" i="23" s="1"/>
  <c r="F32" i="17"/>
  <c r="F46" s="1"/>
  <c r="F65" s="1"/>
  <c r="L12" i="23" s="1"/>
  <c r="W34" i="17"/>
  <c r="W48" s="1"/>
  <c r="W67" s="1"/>
  <c r="AC14" i="23" s="1"/>
  <c r="W30" i="17"/>
  <c r="W44" s="1"/>
  <c r="W63" s="1"/>
  <c r="AC10" i="23" s="1"/>
  <c r="U32" i="17"/>
  <c r="U46" s="1"/>
  <c r="U65" s="1"/>
  <c r="AA12" i="23" s="1"/>
  <c r="U28" i="17"/>
  <c r="U42" s="1"/>
  <c r="U61" s="1"/>
  <c r="AA8" i="23" s="1"/>
  <c r="Q34" i="17"/>
  <c r="Q48" s="1"/>
  <c r="Q67" s="1"/>
  <c r="W14" i="23" s="1"/>
  <c r="Q30" i="17"/>
  <c r="Q44" s="1"/>
  <c r="Q63" s="1"/>
  <c r="W10" i="23" s="1"/>
  <c r="X34" i="17"/>
  <c r="X48" s="1"/>
  <c r="X67" s="1"/>
  <c r="AD14" i="23" s="1"/>
  <c r="X30" i="17"/>
  <c r="X44" s="1"/>
  <c r="X63" s="1"/>
  <c r="AD10" i="23" s="1"/>
  <c r="I34" i="17"/>
  <c r="I48" s="1"/>
  <c r="I67" s="1"/>
  <c r="O14" i="23" s="1"/>
  <c r="I30" i="17"/>
  <c r="I44" s="1"/>
  <c r="I63" s="1"/>
  <c r="O10" i="23" s="1"/>
  <c r="L34" i="17"/>
  <c r="L48" s="1"/>
  <c r="L67" s="1"/>
  <c r="R14" i="23" s="1"/>
  <c r="L30" i="17"/>
  <c r="L44" s="1"/>
  <c r="L63" s="1"/>
  <c r="R10" i="23" s="1"/>
  <c r="O18" i="17"/>
  <c r="O31"/>
  <c r="O45" s="1"/>
  <c r="O64" s="1"/>
  <c r="U11" i="23" s="1"/>
  <c r="O27" i="17"/>
  <c r="R34"/>
  <c r="R48" s="1"/>
  <c r="R67" s="1"/>
  <c r="X14" i="23" s="1"/>
  <c r="R30" i="17"/>
  <c r="R44" s="1"/>
  <c r="R63" s="1"/>
  <c r="X10" i="23" s="1"/>
  <c r="AA16" i="17"/>
  <c r="E34"/>
  <c r="E30"/>
  <c r="AA14"/>
  <c r="E28"/>
  <c r="E32"/>
  <c r="E18"/>
  <c r="AA13"/>
  <c r="E31"/>
  <c r="E27"/>
  <c r="AA15"/>
  <c r="E29"/>
  <c r="E33"/>
  <c r="J18" i="8"/>
  <c r="J27" s="1"/>
  <c r="J31"/>
  <c r="J65" s="1"/>
  <c r="R18"/>
  <c r="R31"/>
  <c r="I18"/>
  <c r="I27" s="1"/>
  <c r="I31"/>
  <c r="S18"/>
  <c r="S31"/>
  <c r="M18"/>
  <c r="M31"/>
  <c r="T18"/>
  <c r="T31"/>
  <c r="Q18"/>
  <c r="Q31"/>
  <c r="AB32"/>
  <c r="Y32"/>
  <c r="U18"/>
  <c r="U31"/>
  <c r="G18"/>
  <c r="G27" s="1"/>
  <c r="G31"/>
  <c r="W18"/>
  <c r="W31"/>
  <c r="O18"/>
  <c r="O31"/>
  <c r="N18"/>
  <c r="N31"/>
  <c r="Y34"/>
  <c r="AB34"/>
  <c r="P18"/>
  <c r="P31"/>
  <c r="L18"/>
  <c r="L31"/>
  <c r="K18"/>
  <c r="K31"/>
  <c r="V66"/>
  <c r="V78" s="1"/>
  <c r="AA16" i="23" s="1"/>
  <c r="H18" i="8"/>
  <c r="H27" s="1"/>
  <c r="H31"/>
  <c r="X18"/>
  <c r="X31"/>
  <c r="J66"/>
  <c r="J78" s="1"/>
  <c r="O16" i="23" s="1"/>
  <c r="Y18" i="8"/>
  <c r="AB31"/>
  <c r="Y31"/>
  <c r="V18"/>
  <c r="V31"/>
  <c r="AB33"/>
  <c r="Y33"/>
  <c r="F80"/>
  <c r="F79"/>
  <c r="F78"/>
  <c r="F18"/>
  <c r="F27" s="1"/>
  <c r="F31"/>
  <c r="M18" i="18"/>
  <c r="M35"/>
  <c r="M39"/>
  <c r="O42"/>
  <c r="O38"/>
  <c r="R36"/>
  <c r="R40"/>
  <c r="K37"/>
  <c r="K41"/>
  <c r="U40"/>
  <c r="U36"/>
  <c r="L42"/>
  <c r="L38"/>
  <c r="V18"/>
  <c r="V35"/>
  <c r="V39"/>
  <c r="J37"/>
  <c r="J41"/>
  <c r="O37"/>
  <c r="O41"/>
  <c r="T38"/>
  <c r="T42"/>
  <c r="U18"/>
  <c r="U39"/>
  <c r="U35"/>
  <c r="L36"/>
  <c r="L40"/>
  <c r="G42"/>
  <c r="G72" s="1"/>
  <c r="G92" s="1"/>
  <c r="L26" i="23" s="1"/>
  <c r="G38" i="18"/>
  <c r="G68" s="1"/>
  <c r="G88" s="1"/>
  <c r="L22" i="23" s="1"/>
  <c r="H42" i="18"/>
  <c r="H72" s="1"/>
  <c r="H92" s="1"/>
  <c r="M26" i="23" s="1"/>
  <c r="H38" i="18"/>
  <c r="H68" s="1"/>
  <c r="H88" s="1"/>
  <c r="M22" i="23" s="1"/>
  <c r="Y18" i="18"/>
  <c r="Y39"/>
  <c r="Y35"/>
  <c r="AB35"/>
  <c r="AB39"/>
  <c r="F40"/>
  <c r="F70" s="1"/>
  <c r="F36"/>
  <c r="F66" s="1"/>
  <c r="I42"/>
  <c r="I72" s="1"/>
  <c r="I92" s="1"/>
  <c r="N26" i="23" s="1"/>
  <c r="I38" i="18"/>
  <c r="I68" s="1"/>
  <c r="I88" s="1"/>
  <c r="N22" i="23" s="1"/>
  <c r="Q40" i="18"/>
  <c r="Q36"/>
  <c r="X38"/>
  <c r="X42"/>
  <c r="G37"/>
  <c r="G67" s="1"/>
  <c r="G87" s="1"/>
  <c r="L21" i="23" s="1"/>
  <c r="G41" i="18"/>
  <c r="G71" s="1"/>
  <c r="G91" s="1"/>
  <c r="L25" i="23" s="1"/>
  <c r="H37" i="18"/>
  <c r="H67" s="1"/>
  <c r="H87" s="1"/>
  <c r="M21" i="23" s="1"/>
  <c r="H41" i="18"/>
  <c r="H71" s="1"/>
  <c r="H91" s="1"/>
  <c r="M25" i="23" s="1"/>
  <c r="X18" i="18"/>
  <c r="X39"/>
  <c r="X35"/>
  <c r="J40"/>
  <c r="J36"/>
  <c r="X37"/>
  <c r="X41"/>
  <c r="T40"/>
  <c r="T36"/>
  <c r="K18"/>
  <c r="K35"/>
  <c r="K39"/>
  <c r="J18"/>
  <c r="J35"/>
  <c r="J39"/>
  <c r="R18"/>
  <c r="R39"/>
  <c r="R35"/>
  <c r="V40"/>
  <c r="V36"/>
  <c r="M40"/>
  <c r="M36"/>
  <c r="W37"/>
  <c r="W41"/>
  <c r="I18"/>
  <c r="I27" s="1"/>
  <c r="I39"/>
  <c r="I69" s="1"/>
  <c r="I89" s="1"/>
  <c r="N23" i="23" s="1"/>
  <c r="I35" i="18"/>
  <c r="P37"/>
  <c r="P41"/>
  <c r="Q18"/>
  <c r="Q35"/>
  <c r="Q39"/>
  <c r="H18"/>
  <c r="H27" s="1"/>
  <c r="H39"/>
  <c r="H69" s="1"/>
  <c r="H89" s="1"/>
  <c r="M23" i="23" s="1"/>
  <c r="H35" i="18"/>
  <c r="O18"/>
  <c r="O39"/>
  <c r="O35"/>
  <c r="V37"/>
  <c r="V41"/>
  <c r="N18"/>
  <c r="N39"/>
  <c r="N35"/>
  <c r="R37"/>
  <c r="R41"/>
  <c r="S42"/>
  <c r="S38"/>
  <c r="AB42"/>
  <c r="Y42"/>
  <c r="AB38"/>
  <c r="Y38"/>
  <c r="Q37"/>
  <c r="Q41"/>
  <c r="F42"/>
  <c r="F72" s="1"/>
  <c r="F38"/>
  <c r="F68" s="1"/>
  <c r="H40"/>
  <c r="H70" s="1"/>
  <c r="H90" s="1"/>
  <c r="M24" i="23" s="1"/>
  <c r="H36" i="18"/>
  <c r="H66" s="1"/>
  <c r="H86" s="1"/>
  <c r="M20" i="23" s="1"/>
  <c r="T37" i="18"/>
  <c r="T41"/>
  <c r="N42"/>
  <c r="N38"/>
  <c r="R38"/>
  <c r="R42"/>
  <c r="S40"/>
  <c r="S36"/>
  <c r="S18"/>
  <c r="S35"/>
  <c r="S39"/>
  <c r="W40"/>
  <c r="W36"/>
  <c r="P40"/>
  <c r="P36"/>
  <c r="X40"/>
  <c r="X36"/>
  <c r="G18"/>
  <c r="G27" s="1"/>
  <c r="G39"/>
  <c r="G69" s="1"/>
  <c r="G89" s="1"/>
  <c r="L23" i="23" s="1"/>
  <c r="G35" i="18"/>
  <c r="P42"/>
  <c r="P38"/>
  <c r="Q42"/>
  <c r="Q38"/>
  <c r="M37"/>
  <c r="M41"/>
  <c r="W38"/>
  <c r="W42"/>
  <c r="F37"/>
  <c r="F67" s="1"/>
  <c r="F41"/>
  <c r="F71" s="1"/>
  <c r="U42"/>
  <c r="U38"/>
  <c r="Y40"/>
  <c r="AB40"/>
  <c r="AB36"/>
  <c r="Y36"/>
  <c r="P18"/>
  <c r="P39"/>
  <c r="P35"/>
  <c r="L18"/>
  <c r="L35"/>
  <c r="L39"/>
  <c r="K40"/>
  <c r="K36"/>
  <c r="U37"/>
  <c r="U41"/>
  <c r="S37"/>
  <c r="S41"/>
  <c r="T18"/>
  <c r="T39"/>
  <c r="T35"/>
  <c r="L37"/>
  <c r="L41"/>
  <c r="V38"/>
  <c r="V42"/>
  <c r="N40"/>
  <c r="N36"/>
  <c r="K38"/>
  <c r="K42"/>
  <c r="I40"/>
  <c r="I70" s="1"/>
  <c r="I90" s="1"/>
  <c r="N24" i="23" s="1"/>
  <c r="I36" i="18"/>
  <c r="I66" s="1"/>
  <c r="I86" s="1"/>
  <c r="N20" i="23" s="1"/>
  <c r="W18" i="18"/>
  <c r="W39"/>
  <c r="W35"/>
  <c r="G40"/>
  <c r="G70" s="1"/>
  <c r="G90" s="1"/>
  <c r="L24" i="23" s="1"/>
  <c r="G36" i="18"/>
  <c r="G66" s="1"/>
  <c r="G86" s="1"/>
  <c r="L20" i="23" s="1"/>
  <c r="J38" i="18"/>
  <c r="J42"/>
  <c r="N37"/>
  <c r="N41"/>
  <c r="O40"/>
  <c r="O36"/>
  <c r="AB37"/>
  <c r="Y37"/>
  <c r="Y41"/>
  <c r="AB41"/>
  <c r="M42"/>
  <c r="M38"/>
  <c r="I37"/>
  <c r="I67" s="1"/>
  <c r="I87" s="1"/>
  <c r="N21" i="23" s="1"/>
  <c r="I41" i="18"/>
  <c r="I71" s="1"/>
  <c r="I91" s="1"/>
  <c r="N25" i="23" s="1"/>
  <c r="F18" i="18"/>
  <c r="F27" s="1"/>
  <c r="F39"/>
  <c r="F69" s="1"/>
  <c r="F35"/>
  <c r="F41" i="9" l="1"/>
  <c r="F36"/>
  <c r="M41"/>
  <c r="M36"/>
  <c r="N41"/>
  <c r="N36"/>
  <c r="G41"/>
  <c r="G36"/>
  <c r="AA26"/>
  <c r="E44"/>
  <c r="I41"/>
  <c r="I36"/>
  <c r="O41"/>
  <c r="O36"/>
  <c r="Q41"/>
  <c r="Q36"/>
  <c r="E42"/>
  <c r="AA24"/>
  <c r="L41"/>
  <c r="L36"/>
  <c r="T41"/>
  <c r="T36"/>
  <c r="V36"/>
  <c r="V41"/>
  <c r="S41"/>
  <c r="S36"/>
  <c r="H41"/>
  <c r="H36"/>
  <c r="I153"/>
  <c r="O23" i="8" s="1"/>
  <c r="O49" s="1"/>
  <c r="O66" s="1"/>
  <c r="O78" s="1"/>
  <c r="T16" i="23" s="1"/>
  <c r="O155" i="9"/>
  <c r="U25" i="8" s="1"/>
  <c r="U51" s="1"/>
  <c r="U68" s="1"/>
  <c r="U80" s="1"/>
  <c r="Z18" i="23" s="1"/>
  <c r="I155" i="9"/>
  <c r="O25" i="8" s="1"/>
  <c r="O51" s="1"/>
  <c r="O68" s="1"/>
  <c r="O80" s="1"/>
  <c r="T18" i="23" s="1"/>
  <c r="Q153" i="9"/>
  <c r="W23" i="8" s="1"/>
  <c r="W49" s="1"/>
  <c r="W66" s="1"/>
  <c r="W78" s="1"/>
  <c r="AB16" i="23" s="1"/>
  <c r="S154" i="9"/>
  <c r="Y24" i="8" s="1"/>
  <c r="Y50" s="1"/>
  <c r="Y67" s="1"/>
  <c r="Y79" s="1"/>
  <c r="AD17" i="23" s="1"/>
  <c r="U154" i="9"/>
  <c r="H155"/>
  <c r="N25" i="8" s="1"/>
  <c r="N51" s="1"/>
  <c r="N68" s="1"/>
  <c r="N80" s="1"/>
  <c r="S18" i="23" s="1"/>
  <c r="O154" i="9"/>
  <c r="U24" i="8" s="1"/>
  <c r="U50" s="1"/>
  <c r="U67" s="1"/>
  <c r="U79" s="1"/>
  <c r="Z17" i="23" s="1"/>
  <c r="N153" i="9"/>
  <c r="T23" i="8" s="1"/>
  <c r="T49" s="1"/>
  <c r="T66" s="1"/>
  <c r="T78" s="1"/>
  <c r="Y16" i="23" s="1"/>
  <c r="J153" i="9"/>
  <c r="P23" i="8" s="1"/>
  <c r="P49" s="1"/>
  <c r="P66" s="1"/>
  <c r="P78" s="1"/>
  <c r="U16" i="23" s="1"/>
  <c r="K154" i="9"/>
  <c r="Q24" i="8" s="1"/>
  <c r="Q50" s="1"/>
  <c r="Q67" s="1"/>
  <c r="Q79" s="1"/>
  <c r="V17" i="23" s="1"/>
  <c r="R41" i="9"/>
  <c r="R36"/>
  <c r="U41"/>
  <c r="U36"/>
  <c r="W41"/>
  <c r="W36"/>
  <c r="X41"/>
  <c r="X36"/>
  <c r="E43"/>
  <c r="AA25"/>
  <c r="J41"/>
  <c r="J36"/>
  <c r="P41"/>
  <c r="P36"/>
  <c r="K41"/>
  <c r="K36"/>
  <c r="Y66" i="8"/>
  <c r="Y78" s="1"/>
  <c r="AD16" i="23" s="1"/>
  <c r="S155" i="9"/>
  <c r="Y25" i="8" s="1"/>
  <c r="Y51" s="1"/>
  <c r="Y68" s="1"/>
  <c r="Y80" s="1"/>
  <c r="AD18" i="23" s="1"/>
  <c r="F154" i="9"/>
  <c r="L24" i="8" s="1"/>
  <c r="L50" s="1"/>
  <c r="L67" s="1"/>
  <c r="L79" s="1"/>
  <c r="Q17" i="23" s="1"/>
  <c r="L155" i="9"/>
  <c r="R25" i="8" s="1"/>
  <c r="R51" s="1"/>
  <c r="R68" s="1"/>
  <c r="R80" s="1"/>
  <c r="W18" i="23" s="1"/>
  <c r="E41" i="9"/>
  <c r="AA23"/>
  <c r="E36"/>
  <c r="W159" i="17"/>
  <c r="O157"/>
  <c r="T23" i="18" s="1"/>
  <c r="T57" s="1"/>
  <c r="T70" s="1"/>
  <c r="T90" s="1"/>
  <c r="Y24" i="23" s="1"/>
  <c r="K157" i="17"/>
  <c r="P23" i="18" s="1"/>
  <c r="P57" s="1"/>
  <c r="P70" s="1"/>
  <c r="P90" s="1"/>
  <c r="U24" i="23" s="1"/>
  <c r="N158" i="17"/>
  <c r="S24" i="18" s="1"/>
  <c r="S54" s="1"/>
  <c r="S67" s="1"/>
  <c r="S87" s="1"/>
  <c r="X21" i="23" s="1"/>
  <c r="V157" i="17"/>
  <c r="T159"/>
  <c r="Y25" i="18" s="1"/>
  <c r="Y55" s="1"/>
  <c r="Y68" s="1"/>
  <c r="Y88" s="1"/>
  <c r="AD22" i="23" s="1"/>
  <c r="I157" i="17"/>
  <c r="N23" i="18" s="1"/>
  <c r="N57" s="1"/>
  <c r="N70" s="1"/>
  <c r="N90" s="1"/>
  <c r="S24" i="23" s="1"/>
  <c r="P159" i="17"/>
  <c r="U25" i="18" s="1"/>
  <c r="U55" s="1"/>
  <c r="U68" s="1"/>
  <c r="U88" s="1"/>
  <c r="Z22" i="23" s="1"/>
  <c r="J159" i="17"/>
  <c r="O25" i="18" s="1"/>
  <c r="O59" s="1"/>
  <c r="O72" s="1"/>
  <c r="O92" s="1"/>
  <c r="T26" i="23" s="1"/>
  <c r="I159" i="17"/>
  <c r="N25" i="18" s="1"/>
  <c r="N59" s="1"/>
  <c r="N72" s="1"/>
  <c r="N92" s="1"/>
  <c r="S26" i="23" s="1"/>
  <c r="R158" i="17"/>
  <c r="W24" i="18" s="1"/>
  <c r="W58" s="1"/>
  <c r="W71" s="1"/>
  <c r="W91" s="1"/>
  <c r="AB25" i="23" s="1"/>
  <c r="L157" i="17"/>
  <c r="Q23" i="18" s="1"/>
  <c r="Q57" s="1"/>
  <c r="Q70" s="1"/>
  <c r="Q90" s="1"/>
  <c r="V24" i="23" s="1"/>
  <c r="G157" i="17"/>
  <c r="L23" i="18" s="1"/>
  <c r="L57" s="1"/>
  <c r="L70" s="1"/>
  <c r="L90" s="1"/>
  <c r="Q24" i="23" s="1"/>
  <c r="P157" i="17"/>
  <c r="U23" i="18" s="1"/>
  <c r="U57" s="1"/>
  <c r="U70" s="1"/>
  <c r="U90" s="1"/>
  <c r="Z24" i="23" s="1"/>
  <c r="S41" i="17"/>
  <c r="S36"/>
  <c r="S58" i="18"/>
  <c r="S71" s="1"/>
  <c r="S91" s="1"/>
  <c r="X25" i="23" s="1"/>
  <c r="L41" i="17"/>
  <c r="L36"/>
  <c r="M41"/>
  <c r="M36"/>
  <c r="J41"/>
  <c r="J36"/>
  <c r="H41"/>
  <c r="H36"/>
  <c r="V41"/>
  <c r="V36"/>
  <c r="F41"/>
  <c r="F36"/>
  <c r="T41"/>
  <c r="T36"/>
  <c r="U41"/>
  <c r="U36"/>
  <c r="U159"/>
  <c r="U63"/>
  <c r="AA10" i="23" s="1"/>
  <c r="AA18" i="17"/>
  <c r="X159"/>
  <c r="F157"/>
  <c r="K23" i="18" s="1"/>
  <c r="H158" i="17"/>
  <c r="M24" i="18" s="1"/>
  <c r="H159" i="17"/>
  <c r="M25" i="18" s="1"/>
  <c r="O158" i="17"/>
  <c r="T24" i="18" s="1"/>
  <c r="M158" i="17"/>
  <c r="R24" i="18" s="1"/>
  <c r="X157" i="17"/>
  <c r="S159"/>
  <c r="X25" i="18" s="1"/>
  <c r="J158" i="17"/>
  <c r="O24" i="18" s="1"/>
  <c r="K158" i="17"/>
  <c r="P24" i="18" s="1"/>
  <c r="L159" i="17"/>
  <c r="Q25" i="18" s="1"/>
  <c r="U157" i="17"/>
  <c r="L158"/>
  <c r="Q24" i="18" s="1"/>
  <c r="M157" i="17"/>
  <c r="R23" i="18" s="1"/>
  <c r="O159" i="17"/>
  <c r="T25" i="18" s="1"/>
  <c r="R157" i="17"/>
  <c r="W23" i="18" s="1"/>
  <c r="Q158" i="17"/>
  <c r="V24" i="18" s="1"/>
  <c r="H157" i="17"/>
  <c r="M23" i="18" s="1"/>
  <c r="N159" i="17"/>
  <c r="S25" i="18" s="1"/>
  <c r="I158" i="17"/>
  <c r="N24" i="18" s="1"/>
  <c r="N157" i="17"/>
  <c r="S23" i="18" s="1"/>
  <c r="G158" i="17"/>
  <c r="L24" i="18" s="1"/>
  <c r="J157" i="17"/>
  <c r="O23" i="18" s="1"/>
  <c r="X158" i="17"/>
  <c r="Q41"/>
  <c r="Q36"/>
  <c r="P53" i="18"/>
  <c r="P66" s="1"/>
  <c r="P86" s="1"/>
  <c r="U20" i="23" s="1"/>
  <c r="W54" i="18"/>
  <c r="W67" s="1"/>
  <c r="W87" s="1"/>
  <c r="AB21" i="23" s="1"/>
  <c r="P41" i="17"/>
  <c r="P36"/>
  <c r="W41"/>
  <c r="W36"/>
  <c r="W157"/>
  <c r="W61"/>
  <c r="AC8" i="23" s="1"/>
  <c r="G41" i="17"/>
  <c r="G36"/>
  <c r="K41"/>
  <c r="K36"/>
  <c r="I41"/>
  <c r="I36"/>
  <c r="G159"/>
  <c r="L25" i="18" s="1"/>
  <c r="G63" i="17"/>
  <c r="M10" i="23" s="1"/>
  <c r="O41" i="17"/>
  <c r="O36"/>
  <c r="N41"/>
  <c r="N36"/>
  <c r="X41"/>
  <c r="X36"/>
  <c r="R41"/>
  <c r="R36"/>
  <c r="S158"/>
  <c r="X24" i="18" s="1"/>
  <c r="S157" i="17"/>
  <c r="X23" i="18" s="1"/>
  <c r="F159" i="17"/>
  <c r="K25" i="18" s="1"/>
  <c r="R159" i="17"/>
  <c r="W25" i="18" s="1"/>
  <c r="Q159" i="17"/>
  <c r="V25" i="18" s="1"/>
  <c r="Q157" i="17"/>
  <c r="V23" i="18" s="1"/>
  <c r="W158" i="17"/>
  <c r="K159"/>
  <c r="P25" i="18" s="1"/>
  <c r="P158" i="17"/>
  <c r="U24" i="18" s="1"/>
  <c r="M159" i="17"/>
  <c r="R25" i="18" s="1"/>
  <c r="V158" i="17"/>
  <c r="T157"/>
  <c r="Y23" i="18" s="1"/>
  <c r="F158" i="17"/>
  <c r="K24" i="18" s="1"/>
  <c r="V159" i="17"/>
  <c r="U158"/>
  <c r="T158"/>
  <c r="Y24" i="18" s="1"/>
  <c r="W44" i="8"/>
  <c r="J44"/>
  <c r="AA34" i="17"/>
  <c r="E48"/>
  <c r="AA29"/>
  <c r="E43"/>
  <c r="E45"/>
  <c r="AA31"/>
  <c r="E46"/>
  <c r="AA32"/>
  <c r="E44"/>
  <c r="AA30"/>
  <c r="AA28"/>
  <c r="E42"/>
  <c r="E47"/>
  <c r="AA33"/>
  <c r="E41"/>
  <c r="AA27"/>
  <c r="E36"/>
  <c r="Y44" i="8"/>
  <c r="U44"/>
  <c r="Q44"/>
  <c r="I44"/>
  <c r="I65"/>
  <c r="J70"/>
  <c r="J77"/>
  <c r="P44"/>
  <c r="V44"/>
  <c r="H65"/>
  <c r="H44"/>
  <c r="K44"/>
  <c r="N44"/>
  <c r="M44"/>
  <c r="AB44"/>
  <c r="X44"/>
  <c r="L44"/>
  <c r="O44"/>
  <c r="G44"/>
  <c r="G65"/>
  <c r="T44"/>
  <c r="S44"/>
  <c r="R44"/>
  <c r="K16" i="23"/>
  <c r="K18"/>
  <c r="K17"/>
  <c r="F44" i="8"/>
  <c r="F65"/>
  <c r="F86" i="18"/>
  <c r="Y44"/>
  <c r="F88"/>
  <c r="N44"/>
  <c r="H44"/>
  <c r="H65"/>
  <c r="K44"/>
  <c r="W44"/>
  <c r="G44"/>
  <c r="G65"/>
  <c r="F90"/>
  <c r="U44"/>
  <c r="L44"/>
  <c r="F87"/>
  <c r="F92"/>
  <c r="O44"/>
  <c r="R44"/>
  <c r="J44"/>
  <c r="M44"/>
  <c r="F91"/>
  <c r="S44"/>
  <c r="Q44"/>
  <c r="I65"/>
  <c r="I44"/>
  <c r="X44"/>
  <c r="AB44"/>
  <c r="T44"/>
  <c r="P44"/>
  <c r="V44"/>
  <c r="F89"/>
  <c r="F65"/>
  <c r="F44"/>
  <c r="S46" i="9" l="1"/>
  <c r="S52"/>
  <c r="S152"/>
  <c r="E53"/>
  <c r="AA42"/>
  <c r="E153"/>
  <c r="F46"/>
  <c r="F52"/>
  <c r="F152"/>
  <c r="AA44"/>
  <c r="E55"/>
  <c r="E155"/>
  <c r="P52"/>
  <c r="P46"/>
  <c r="P152"/>
  <c r="AA43"/>
  <c r="E54"/>
  <c r="E154"/>
  <c r="W46"/>
  <c r="W52"/>
  <c r="W152"/>
  <c r="W157" s="1"/>
  <c r="R52"/>
  <c r="R46"/>
  <c r="R152"/>
  <c r="H46"/>
  <c r="H52"/>
  <c r="H152"/>
  <c r="L46"/>
  <c r="L52"/>
  <c r="L152"/>
  <c r="Q52"/>
  <c r="Q46"/>
  <c r="Q152"/>
  <c r="I46"/>
  <c r="I52"/>
  <c r="I152"/>
  <c r="G52"/>
  <c r="G46"/>
  <c r="G152"/>
  <c r="M46"/>
  <c r="M52"/>
  <c r="M152"/>
  <c r="K52"/>
  <c r="K46"/>
  <c r="K152"/>
  <c r="J52"/>
  <c r="J46"/>
  <c r="J152"/>
  <c r="X46"/>
  <c r="X52"/>
  <c r="X152"/>
  <c r="X157" s="1"/>
  <c r="U46"/>
  <c r="U52"/>
  <c r="U152"/>
  <c r="U157" s="1"/>
  <c r="T52"/>
  <c r="T46"/>
  <c r="T152"/>
  <c r="T157" s="1"/>
  <c r="O46"/>
  <c r="O52"/>
  <c r="O152"/>
  <c r="N46"/>
  <c r="N52"/>
  <c r="N152"/>
  <c r="V52"/>
  <c r="V46"/>
  <c r="V152"/>
  <c r="V157" s="1"/>
  <c r="AA36"/>
  <c r="E52"/>
  <c r="AA41"/>
  <c r="E46"/>
  <c r="AA46" s="1"/>
  <c r="E152"/>
  <c r="U59" i="18"/>
  <c r="U72" s="1"/>
  <c r="U92" s="1"/>
  <c r="Z26" i="23" s="1"/>
  <c r="U53" i="18"/>
  <c r="U66" s="1"/>
  <c r="U86" s="1"/>
  <c r="Z20" i="23" s="1"/>
  <c r="N53" i="18"/>
  <c r="N66" s="1"/>
  <c r="N86" s="1"/>
  <c r="S20" i="23" s="1"/>
  <c r="T53" i="18"/>
  <c r="T66" s="1"/>
  <c r="T86" s="1"/>
  <c r="Y20" i="23" s="1"/>
  <c r="Y59" i="18"/>
  <c r="Y72" s="1"/>
  <c r="Y92" s="1"/>
  <c r="AD26" i="23" s="1"/>
  <c r="L53" i="18"/>
  <c r="L66" s="1"/>
  <c r="L86" s="1"/>
  <c r="Q20" i="23" s="1"/>
  <c r="N55" i="18"/>
  <c r="N68" s="1"/>
  <c r="N88" s="1"/>
  <c r="S22" i="23" s="1"/>
  <c r="O55" i="18"/>
  <c r="O68" s="1"/>
  <c r="O88" s="1"/>
  <c r="T22" i="23" s="1"/>
  <c r="Q53" i="18"/>
  <c r="Q66" s="1"/>
  <c r="Q86" s="1"/>
  <c r="V20" i="23" s="1"/>
  <c r="K58" i="18"/>
  <c r="K71" s="1"/>
  <c r="K91" s="1"/>
  <c r="P25" i="23" s="1"/>
  <c r="K54" i="18"/>
  <c r="K67" s="1"/>
  <c r="K87" s="1"/>
  <c r="P21" i="23" s="1"/>
  <c r="U58" i="18"/>
  <c r="U71" s="1"/>
  <c r="U91" s="1"/>
  <c r="Z25" i="23" s="1"/>
  <c r="U54" i="18"/>
  <c r="U67" s="1"/>
  <c r="U87" s="1"/>
  <c r="Z21" i="23" s="1"/>
  <c r="X58" i="18"/>
  <c r="X71" s="1"/>
  <c r="X91" s="1"/>
  <c r="AC25" i="23" s="1"/>
  <c r="X54" i="18"/>
  <c r="X67" s="1"/>
  <c r="X87" s="1"/>
  <c r="AC21" i="23" s="1"/>
  <c r="L58" i="18"/>
  <c r="L71" s="1"/>
  <c r="L91" s="1"/>
  <c r="Q25" i="23" s="1"/>
  <c r="L54" i="18"/>
  <c r="L67" s="1"/>
  <c r="L87" s="1"/>
  <c r="Q21" i="23" s="1"/>
  <c r="O54" i="18"/>
  <c r="O67" s="1"/>
  <c r="O87" s="1"/>
  <c r="T21" i="23" s="1"/>
  <c r="O58" i="18"/>
  <c r="O71" s="1"/>
  <c r="O91" s="1"/>
  <c r="T25" i="23" s="1"/>
  <c r="R55" i="18"/>
  <c r="R68" s="1"/>
  <c r="R88" s="1"/>
  <c r="W22" i="23" s="1"/>
  <c r="R59" i="18"/>
  <c r="R72" s="1"/>
  <c r="R92" s="1"/>
  <c r="W26" i="23" s="1"/>
  <c r="X57" i="18"/>
  <c r="X70" s="1"/>
  <c r="X90" s="1"/>
  <c r="AC24" i="23" s="1"/>
  <c r="X53" i="18"/>
  <c r="X66" s="1"/>
  <c r="X86" s="1"/>
  <c r="AC20" i="23" s="1"/>
  <c r="L59" i="18"/>
  <c r="L72" s="1"/>
  <c r="L92" s="1"/>
  <c r="Q26" i="23" s="1"/>
  <c r="L55" i="18"/>
  <c r="L68" s="1"/>
  <c r="L88" s="1"/>
  <c r="Q22" i="23" s="1"/>
  <c r="K50" i="17"/>
  <c r="K60"/>
  <c r="K156"/>
  <c r="S55" i="18"/>
  <c r="S68" s="1"/>
  <c r="S88" s="1"/>
  <c r="X22" i="23" s="1"/>
  <c r="S59" i="18"/>
  <c r="S72" s="1"/>
  <c r="S92" s="1"/>
  <c r="X26" i="23" s="1"/>
  <c r="Q59" i="18"/>
  <c r="Q72" s="1"/>
  <c r="Q92" s="1"/>
  <c r="V26" i="23" s="1"/>
  <c r="Q55" i="18"/>
  <c r="Q68" s="1"/>
  <c r="Q88" s="1"/>
  <c r="V22" i="23" s="1"/>
  <c r="R58" i="18"/>
  <c r="R71" s="1"/>
  <c r="R91" s="1"/>
  <c r="W25" i="23" s="1"/>
  <c r="R54" i="18"/>
  <c r="R67" s="1"/>
  <c r="R87" s="1"/>
  <c r="W21" i="23" s="1"/>
  <c r="K57" i="18"/>
  <c r="K70" s="1"/>
  <c r="K90" s="1"/>
  <c r="P24" i="23" s="1"/>
  <c r="K53" i="18"/>
  <c r="K66" s="1"/>
  <c r="K86" s="1"/>
  <c r="P20" i="23" s="1"/>
  <c r="Y54" i="18"/>
  <c r="Y67" s="1"/>
  <c r="Y87" s="1"/>
  <c r="AD21" i="23" s="1"/>
  <c r="Y58" i="18"/>
  <c r="Y71" s="1"/>
  <c r="Y91" s="1"/>
  <c r="AD25" i="23" s="1"/>
  <c r="Y57" i="18"/>
  <c r="Y70" s="1"/>
  <c r="Y90" s="1"/>
  <c r="AD24" i="23" s="1"/>
  <c r="Y53" i="18"/>
  <c r="Y66" s="1"/>
  <c r="Y86" s="1"/>
  <c r="AD20" i="23" s="1"/>
  <c r="P55" i="18"/>
  <c r="P68" s="1"/>
  <c r="P88" s="1"/>
  <c r="U22" i="23" s="1"/>
  <c r="P59" i="18"/>
  <c r="P72" s="1"/>
  <c r="P92" s="1"/>
  <c r="U26" i="23" s="1"/>
  <c r="W55" i="18"/>
  <c r="W68" s="1"/>
  <c r="W88" s="1"/>
  <c r="AB22" i="23" s="1"/>
  <c r="W59" i="18"/>
  <c r="W72" s="1"/>
  <c r="W92" s="1"/>
  <c r="AB26" i="23" s="1"/>
  <c r="X60" i="17"/>
  <c r="X50"/>
  <c r="X156"/>
  <c r="X161" s="1"/>
  <c r="O60"/>
  <c r="O50"/>
  <c r="O156"/>
  <c r="I50"/>
  <c r="I60"/>
  <c r="I156"/>
  <c r="G50"/>
  <c r="G60"/>
  <c r="G156"/>
  <c r="W50"/>
  <c r="W60"/>
  <c r="W156"/>
  <c r="W161" s="1"/>
  <c r="Q50"/>
  <c r="Q60"/>
  <c r="Q156"/>
  <c r="S57" i="18"/>
  <c r="S70" s="1"/>
  <c r="S90" s="1"/>
  <c r="X24" i="23" s="1"/>
  <c r="S53" i="18"/>
  <c r="S66" s="1"/>
  <c r="S86" s="1"/>
  <c r="X20" i="23" s="1"/>
  <c r="V54" i="18"/>
  <c r="V67" s="1"/>
  <c r="V87" s="1"/>
  <c r="AA21" i="23" s="1"/>
  <c r="V58" i="18"/>
  <c r="V71" s="1"/>
  <c r="V91" s="1"/>
  <c r="AA25" i="23" s="1"/>
  <c r="Q54" i="18"/>
  <c r="Q67" s="1"/>
  <c r="Q87" s="1"/>
  <c r="V21" i="23" s="1"/>
  <c r="Q58" i="18"/>
  <c r="Q71" s="1"/>
  <c r="Q91" s="1"/>
  <c r="V25" i="23" s="1"/>
  <c r="X59" i="18"/>
  <c r="X72" s="1"/>
  <c r="X92" s="1"/>
  <c r="AC26" i="23" s="1"/>
  <c r="X55" i="18"/>
  <c r="X68" s="1"/>
  <c r="X88" s="1"/>
  <c r="AC22" i="23" s="1"/>
  <c r="M59" i="18"/>
  <c r="M72" s="1"/>
  <c r="M92" s="1"/>
  <c r="R26" i="23" s="1"/>
  <c r="M55" i="18"/>
  <c r="M68" s="1"/>
  <c r="M88" s="1"/>
  <c r="R22" i="23" s="1"/>
  <c r="U60" i="17"/>
  <c r="U50"/>
  <c r="U156"/>
  <c r="U161" s="1"/>
  <c r="F50"/>
  <c r="F60"/>
  <c r="F156"/>
  <c r="H50"/>
  <c r="H60"/>
  <c r="H156"/>
  <c r="M60"/>
  <c r="M50"/>
  <c r="M156"/>
  <c r="L60"/>
  <c r="L50"/>
  <c r="L156"/>
  <c r="S50"/>
  <c r="S60"/>
  <c r="S156"/>
  <c r="V55" i="18"/>
  <c r="V68" s="1"/>
  <c r="V88" s="1"/>
  <c r="AA22" i="23" s="1"/>
  <c r="V59" i="18"/>
  <c r="V72" s="1"/>
  <c r="V92" s="1"/>
  <c r="AA26" i="23" s="1"/>
  <c r="M53" i="18"/>
  <c r="M66" s="1"/>
  <c r="M86" s="1"/>
  <c r="R20" i="23" s="1"/>
  <c r="M57" i="18"/>
  <c r="M70" s="1"/>
  <c r="M90" s="1"/>
  <c r="R24" i="23" s="1"/>
  <c r="R57" i="18"/>
  <c r="R70" s="1"/>
  <c r="R90" s="1"/>
  <c r="W24" i="23" s="1"/>
  <c r="R53" i="18"/>
  <c r="R66" s="1"/>
  <c r="R86" s="1"/>
  <c r="W20" i="23" s="1"/>
  <c r="T54" i="18"/>
  <c r="T67" s="1"/>
  <c r="T87" s="1"/>
  <c r="Y21" i="23" s="1"/>
  <c r="T58" i="18"/>
  <c r="T71" s="1"/>
  <c r="T91" s="1"/>
  <c r="Y25" i="23" s="1"/>
  <c r="V57" i="18"/>
  <c r="V70" s="1"/>
  <c r="V90" s="1"/>
  <c r="AA24" i="23" s="1"/>
  <c r="V53" i="18"/>
  <c r="V66" s="1"/>
  <c r="V86" s="1"/>
  <c r="AA20" i="23" s="1"/>
  <c r="R50" i="17"/>
  <c r="R60"/>
  <c r="R156"/>
  <c r="N50"/>
  <c r="N60"/>
  <c r="N156"/>
  <c r="P60"/>
  <c r="P50"/>
  <c r="P156"/>
  <c r="O57" i="18"/>
  <c r="O70" s="1"/>
  <c r="O90" s="1"/>
  <c r="T24" i="23" s="1"/>
  <c r="O53" i="18"/>
  <c r="O66" s="1"/>
  <c r="O86" s="1"/>
  <c r="T20" i="23" s="1"/>
  <c r="T55" i="18"/>
  <c r="T68" s="1"/>
  <c r="T88" s="1"/>
  <c r="Y22" i="23" s="1"/>
  <c r="T59" i="18"/>
  <c r="T72" s="1"/>
  <c r="T92" s="1"/>
  <c r="Y26" i="23" s="1"/>
  <c r="P54" i="18"/>
  <c r="P67" s="1"/>
  <c r="P87" s="1"/>
  <c r="U21" i="23" s="1"/>
  <c r="P58" i="18"/>
  <c r="P71" s="1"/>
  <c r="P91" s="1"/>
  <c r="U25" i="23" s="1"/>
  <c r="T50" i="17"/>
  <c r="T60"/>
  <c r="T156"/>
  <c r="V60"/>
  <c r="V50"/>
  <c r="V156"/>
  <c r="V161" s="1"/>
  <c r="J50"/>
  <c r="J60"/>
  <c r="J156"/>
  <c r="K59" i="18"/>
  <c r="K72" s="1"/>
  <c r="K92" s="1"/>
  <c r="P26" i="23" s="1"/>
  <c r="K55" i="18"/>
  <c r="K68" s="1"/>
  <c r="K88" s="1"/>
  <c r="P22" i="23" s="1"/>
  <c r="N58" i="18"/>
  <c r="N71" s="1"/>
  <c r="N91" s="1"/>
  <c r="S25" i="23" s="1"/>
  <c r="N54" i="18"/>
  <c r="N67" s="1"/>
  <c r="N87" s="1"/>
  <c r="S21" i="23" s="1"/>
  <c r="W57" i="18"/>
  <c r="W70" s="1"/>
  <c r="W90" s="1"/>
  <c r="AB24" i="23" s="1"/>
  <c r="W53" i="18"/>
  <c r="W66" s="1"/>
  <c r="W86" s="1"/>
  <c r="AB20" i="23" s="1"/>
  <c r="M54" i="18"/>
  <c r="M67" s="1"/>
  <c r="M87" s="1"/>
  <c r="R21" i="23" s="1"/>
  <c r="M58" i="18"/>
  <c r="M71" s="1"/>
  <c r="M91" s="1"/>
  <c r="R25" i="23" s="1"/>
  <c r="AA36" i="17"/>
  <c r="E60"/>
  <c r="AA41"/>
  <c r="E156"/>
  <c r="AA48"/>
  <c r="E67"/>
  <c r="E63"/>
  <c r="AA44"/>
  <c r="E159"/>
  <c r="E64"/>
  <c r="AA45"/>
  <c r="E50"/>
  <c r="AA42"/>
  <c r="E61"/>
  <c r="E157"/>
  <c r="AA46"/>
  <c r="E65"/>
  <c r="AA47"/>
  <c r="E66"/>
  <c r="E62"/>
  <c r="AA43"/>
  <c r="E158"/>
  <c r="H77" i="8"/>
  <c r="H70"/>
  <c r="G77"/>
  <c r="G70"/>
  <c r="J125"/>
  <c r="J115"/>
  <c r="J109"/>
  <c r="J128"/>
  <c r="J111"/>
  <c r="J129"/>
  <c r="J104"/>
  <c r="J121"/>
  <c r="J108"/>
  <c r="J122"/>
  <c r="J113"/>
  <c r="J123"/>
  <c r="J119"/>
  <c r="J126"/>
  <c r="J103"/>
  <c r="J140" s="1"/>
  <c r="J124"/>
  <c r="J161" s="1"/>
  <c r="J90"/>
  <c r="O15" i="23"/>
  <c r="J107" i="8"/>
  <c r="J127"/>
  <c r="J114"/>
  <c r="J117"/>
  <c r="J112"/>
  <c r="J120"/>
  <c r="J118"/>
  <c r="J106"/>
  <c r="J116"/>
  <c r="J110"/>
  <c r="J105"/>
  <c r="I70"/>
  <c r="I77"/>
  <c r="F77"/>
  <c r="F70"/>
  <c r="K21" i="23"/>
  <c r="K20"/>
  <c r="G74" i="18"/>
  <c r="G85"/>
  <c r="H85"/>
  <c r="H74"/>
  <c r="I85"/>
  <c r="I74"/>
  <c r="K26" i="23"/>
  <c r="K24"/>
  <c r="K25"/>
  <c r="K22"/>
  <c r="K23"/>
  <c r="F85" i="18"/>
  <c r="F74"/>
  <c r="N99" i="9" l="1"/>
  <c r="N136" s="1"/>
  <c r="N77"/>
  <c r="N114" s="1"/>
  <c r="N84"/>
  <c r="N98"/>
  <c r="N95"/>
  <c r="N79"/>
  <c r="N116" s="1"/>
  <c r="N87"/>
  <c r="N124" s="1"/>
  <c r="N76"/>
  <c r="N113" s="1"/>
  <c r="N97"/>
  <c r="N134" s="1"/>
  <c r="N65"/>
  <c r="N83"/>
  <c r="N96"/>
  <c r="N133" s="1"/>
  <c r="N91"/>
  <c r="N82"/>
  <c r="N119" s="1"/>
  <c r="N78"/>
  <c r="N81"/>
  <c r="N86"/>
  <c r="T3" i="23"/>
  <c r="N93" i="9"/>
  <c r="N101"/>
  <c r="N100"/>
  <c r="N137" s="1"/>
  <c r="N92"/>
  <c r="N129" s="1"/>
  <c r="N90"/>
  <c r="N80"/>
  <c r="N88"/>
  <c r="N89"/>
  <c r="N126" s="1"/>
  <c r="N102"/>
  <c r="N139" s="1"/>
  <c r="N85"/>
  <c r="N94"/>
  <c r="AD3" i="23"/>
  <c r="X99" i="9"/>
  <c r="X97"/>
  <c r="X87"/>
  <c r="X96"/>
  <c r="X65"/>
  <c r="X93"/>
  <c r="X84"/>
  <c r="X76"/>
  <c r="X113" s="1"/>
  <c r="X81"/>
  <c r="X118" s="1"/>
  <c r="X89"/>
  <c r="X90"/>
  <c r="X127" s="1"/>
  <c r="X95"/>
  <c r="X77"/>
  <c r="X100"/>
  <c r="X78"/>
  <c r="X83"/>
  <c r="X120" s="1"/>
  <c r="X98"/>
  <c r="X135" s="1"/>
  <c r="X101"/>
  <c r="X138" s="1"/>
  <c r="X80"/>
  <c r="X94"/>
  <c r="X131" s="1"/>
  <c r="X85"/>
  <c r="X122" s="1"/>
  <c r="X82"/>
  <c r="X92"/>
  <c r="X86"/>
  <c r="X123" s="1"/>
  <c r="X102"/>
  <c r="X79"/>
  <c r="X116" s="1"/>
  <c r="X88"/>
  <c r="X125" s="1"/>
  <c r="X91"/>
  <c r="X128" s="1"/>
  <c r="S22" i="8"/>
  <c r="M157" i="9"/>
  <c r="R22" i="8"/>
  <c r="L157" i="9"/>
  <c r="R93"/>
  <c r="R130" s="1"/>
  <c r="R100"/>
  <c r="R97"/>
  <c r="R91"/>
  <c r="R128" s="1"/>
  <c r="R77"/>
  <c r="R114" s="1"/>
  <c r="R76"/>
  <c r="R113" s="1"/>
  <c r="R102"/>
  <c r="R98"/>
  <c r="R135" s="1"/>
  <c r="R88"/>
  <c r="R99"/>
  <c r="R81"/>
  <c r="R82"/>
  <c r="R119" s="1"/>
  <c r="R79"/>
  <c r="R116" s="1"/>
  <c r="R95"/>
  <c r="R89"/>
  <c r="R80"/>
  <c r="R117" s="1"/>
  <c r="R87"/>
  <c r="R78"/>
  <c r="R94"/>
  <c r="R84"/>
  <c r="R121" s="1"/>
  <c r="R85"/>
  <c r="R92"/>
  <c r="X3" i="23"/>
  <c r="R65" i="9"/>
  <c r="R96"/>
  <c r="R133" s="1"/>
  <c r="R90"/>
  <c r="R127" s="1"/>
  <c r="R83"/>
  <c r="R101"/>
  <c r="R138" s="1"/>
  <c r="R86"/>
  <c r="R123" s="1"/>
  <c r="K24" i="8"/>
  <c r="AA154" i="9"/>
  <c r="S99"/>
  <c r="S136" s="1"/>
  <c r="S96"/>
  <c r="S79"/>
  <c r="S65"/>
  <c r="S100"/>
  <c r="S137" s="1"/>
  <c r="S97"/>
  <c r="S134" s="1"/>
  <c r="S77"/>
  <c r="S98"/>
  <c r="S78"/>
  <c r="S115" s="1"/>
  <c r="S101"/>
  <c r="S90"/>
  <c r="S82"/>
  <c r="Y3" i="23"/>
  <c r="S83" i="9"/>
  <c r="S120" s="1"/>
  <c r="S80"/>
  <c r="S117" s="1"/>
  <c r="S86"/>
  <c r="S92"/>
  <c r="S129" s="1"/>
  <c r="S76"/>
  <c r="S113" s="1"/>
  <c r="S94"/>
  <c r="S84"/>
  <c r="S81"/>
  <c r="S118" s="1"/>
  <c r="S91"/>
  <c r="S128" s="1"/>
  <c r="S85"/>
  <c r="S122" s="1"/>
  <c r="S89"/>
  <c r="S87"/>
  <c r="S124" s="1"/>
  <c r="S95"/>
  <c r="S132" s="1"/>
  <c r="S88"/>
  <c r="S102"/>
  <c r="S93"/>
  <c r="S130" s="1"/>
  <c r="O93"/>
  <c r="O90"/>
  <c r="O102"/>
  <c r="O88"/>
  <c r="O125" s="1"/>
  <c r="U3" i="23"/>
  <c r="O83" i="9"/>
  <c r="O85"/>
  <c r="O98"/>
  <c r="O135" s="1"/>
  <c r="O91"/>
  <c r="O128" s="1"/>
  <c r="O99"/>
  <c r="O84"/>
  <c r="O121" s="1"/>
  <c r="O89"/>
  <c r="O126" s="1"/>
  <c r="O77"/>
  <c r="O114" s="1"/>
  <c r="O97"/>
  <c r="O76"/>
  <c r="O113" s="1"/>
  <c r="O65"/>
  <c r="O92"/>
  <c r="O129" s="1"/>
  <c r="O100"/>
  <c r="O137" s="1"/>
  <c r="O87"/>
  <c r="O81"/>
  <c r="O82"/>
  <c r="O96"/>
  <c r="O86"/>
  <c r="O123" s="1"/>
  <c r="O94"/>
  <c r="O131" s="1"/>
  <c r="O78"/>
  <c r="O115" s="1"/>
  <c r="O79"/>
  <c r="O95"/>
  <c r="O80"/>
  <c r="O117" s="1"/>
  <c r="O101"/>
  <c r="O138" s="1"/>
  <c r="K95"/>
  <c r="K77"/>
  <c r="K97"/>
  <c r="K134" s="1"/>
  <c r="K98"/>
  <c r="K89"/>
  <c r="K96"/>
  <c r="K133" s="1"/>
  <c r="K65"/>
  <c r="K83"/>
  <c r="K120" s="1"/>
  <c r="K99"/>
  <c r="K88"/>
  <c r="K84"/>
  <c r="K121" s="1"/>
  <c r="K86"/>
  <c r="K101"/>
  <c r="K82"/>
  <c r="K78"/>
  <c r="K115" s="1"/>
  <c r="Q3" i="23"/>
  <c r="K91" i="9"/>
  <c r="K94"/>
  <c r="K100"/>
  <c r="K137" s="1"/>
  <c r="K92"/>
  <c r="K129" s="1"/>
  <c r="K90"/>
  <c r="K127" s="1"/>
  <c r="K87"/>
  <c r="K81"/>
  <c r="K118" s="1"/>
  <c r="K102"/>
  <c r="K139" s="1"/>
  <c r="K79"/>
  <c r="K93"/>
  <c r="K85"/>
  <c r="K122" s="1"/>
  <c r="K76"/>
  <c r="K113" s="1"/>
  <c r="K80"/>
  <c r="K117" s="1"/>
  <c r="O3" i="23"/>
  <c r="I95" i="9"/>
  <c r="I132" s="1"/>
  <c r="I79"/>
  <c r="I116" s="1"/>
  <c r="I78"/>
  <c r="I85"/>
  <c r="I93"/>
  <c r="I80"/>
  <c r="I117" s="1"/>
  <c r="I81"/>
  <c r="I94"/>
  <c r="I82"/>
  <c r="I119" s="1"/>
  <c r="I76"/>
  <c r="I113" s="1"/>
  <c r="I100"/>
  <c r="I101"/>
  <c r="I92"/>
  <c r="I129" s="1"/>
  <c r="I91"/>
  <c r="I128" s="1"/>
  <c r="I83"/>
  <c r="I102"/>
  <c r="I96"/>
  <c r="I133" s="1"/>
  <c r="I84"/>
  <c r="I121" s="1"/>
  <c r="I86"/>
  <c r="I123" s="1"/>
  <c r="I97"/>
  <c r="I89"/>
  <c r="I126" s="1"/>
  <c r="I65"/>
  <c r="I88"/>
  <c r="I77"/>
  <c r="I98"/>
  <c r="I135" s="1"/>
  <c r="I87"/>
  <c r="I124" s="1"/>
  <c r="I99"/>
  <c r="I90"/>
  <c r="K6" i="23"/>
  <c r="AA55" i="9"/>
  <c r="Y55"/>
  <c r="AE6" i="23" s="1"/>
  <c r="Y22" i="8"/>
  <c r="S157" i="9"/>
  <c r="U96"/>
  <c r="U87"/>
  <c r="U88"/>
  <c r="U65"/>
  <c r="U98"/>
  <c r="U135" s="1"/>
  <c r="U77"/>
  <c r="U79"/>
  <c r="U82"/>
  <c r="U80"/>
  <c r="U117" s="1"/>
  <c r="AA3" i="23"/>
  <c r="U83" i="9"/>
  <c r="U91"/>
  <c r="U128" s="1"/>
  <c r="U94"/>
  <c r="U131" s="1"/>
  <c r="U93"/>
  <c r="U102"/>
  <c r="U76"/>
  <c r="U113" s="1"/>
  <c r="U86"/>
  <c r="U100"/>
  <c r="U97"/>
  <c r="U84"/>
  <c r="U121" s="1"/>
  <c r="U95"/>
  <c r="U132" s="1"/>
  <c r="U92"/>
  <c r="U101"/>
  <c r="U138" s="1"/>
  <c r="U81"/>
  <c r="U118" s="1"/>
  <c r="U85"/>
  <c r="U90"/>
  <c r="U99"/>
  <c r="U89"/>
  <c r="U126" s="1"/>
  <c r="U78"/>
  <c r="U115" s="1"/>
  <c r="K157"/>
  <c r="Q22" i="8"/>
  <c r="M95" i="9"/>
  <c r="M96"/>
  <c r="M102"/>
  <c r="M65"/>
  <c r="M92"/>
  <c r="M129" s="1"/>
  <c r="M77"/>
  <c r="M114" s="1"/>
  <c r="M86"/>
  <c r="M83"/>
  <c r="M88"/>
  <c r="M97"/>
  <c r="M134" s="1"/>
  <c r="M91"/>
  <c r="M78"/>
  <c r="M80"/>
  <c r="M117" s="1"/>
  <c r="M89"/>
  <c r="M100"/>
  <c r="M101"/>
  <c r="M98"/>
  <c r="M135" s="1"/>
  <c r="S3" i="23"/>
  <c r="M93" i="9"/>
  <c r="M81"/>
  <c r="M94"/>
  <c r="M131" s="1"/>
  <c r="M82"/>
  <c r="M119" s="1"/>
  <c r="M85"/>
  <c r="M76"/>
  <c r="M113" s="1"/>
  <c r="M87"/>
  <c r="M124" s="1"/>
  <c r="M90"/>
  <c r="M84"/>
  <c r="M121" s="1"/>
  <c r="M79"/>
  <c r="M116" s="1"/>
  <c r="M99"/>
  <c r="G93"/>
  <c r="G98"/>
  <c r="G95"/>
  <c r="G78"/>
  <c r="G115" s="1"/>
  <c r="G102"/>
  <c r="G139" s="1"/>
  <c r="G96"/>
  <c r="G133" s="1"/>
  <c r="G82"/>
  <c r="G85"/>
  <c r="G122" s="1"/>
  <c r="G99"/>
  <c r="G136" s="1"/>
  <c r="G97"/>
  <c r="G134" s="1"/>
  <c r="G77"/>
  <c r="G80"/>
  <c r="G117" s="1"/>
  <c r="G90"/>
  <c r="G76"/>
  <c r="G113" s="1"/>
  <c r="G101"/>
  <c r="G100"/>
  <c r="G137" s="1"/>
  <c r="G81"/>
  <c r="G91"/>
  <c r="M3" i="23"/>
  <c r="G94" i="9"/>
  <c r="G131" s="1"/>
  <c r="G92"/>
  <c r="G129" s="1"/>
  <c r="G65"/>
  <c r="G86"/>
  <c r="G88"/>
  <c r="G125" s="1"/>
  <c r="G79"/>
  <c r="G83"/>
  <c r="G120" s="1"/>
  <c r="G84"/>
  <c r="G89"/>
  <c r="G87"/>
  <c r="G124" s="1"/>
  <c r="W22" i="8"/>
  <c r="Q157" i="9"/>
  <c r="L98"/>
  <c r="L135" s="1"/>
  <c r="L77"/>
  <c r="L65"/>
  <c r="L83"/>
  <c r="L86"/>
  <c r="L123" s="1"/>
  <c r="L92"/>
  <c r="L88"/>
  <c r="L93"/>
  <c r="L78"/>
  <c r="L115" s="1"/>
  <c r="L97"/>
  <c r="L89"/>
  <c r="L126" s="1"/>
  <c r="L100"/>
  <c r="L101"/>
  <c r="L138" s="1"/>
  <c r="R3" i="23"/>
  <c r="L102" i="9"/>
  <c r="L90"/>
  <c r="L127" s="1"/>
  <c r="L81"/>
  <c r="L118" s="1"/>
  <c r="L79"/>
  <c r="L95"/>
  <c r="L84"/>
  <c r="L121" s="1"/>
  <c r="L91"/>
  <c r="L128" s="1"/>
  <c r="L96"/>
  <c r="L133" s="1"/>
  <c r="L85"/>
  <c r="L122" s="1"/>
  <c r="L87"/>
  <c r="L94"/>
  <c r="L131" s="1"/>
  <c r="L76"/>
  <c r="L113" s="1"/>
  <c r="L80"/>
  <c r="L82"/>
  <c r="L99"/>
  <c r="L136" s="1"/>
  <c r="K5" i="23"/>
  <c r="Y54" i="9"/>
  <c r="AE5" i="23" s="1"/>
  <c r="P79" i="9"/>
  <c r="P116" s="1"/>
  <c r="P78"/>
  <c r="P115" s="1"/>
  <c r="P100"/>
  <c r="P81"/>
  <c r="P87"/>
  <c r="P124" s="1"/>
  <c r="P88"/>
  <c r="P95"/>
  <c r="P82"/>
  <c r="P119" s="1"/>
  <c r="P83"/>
  <c r="P120" s="1"/>
  <c r="P102"/>
  <c r="P98"/>
  <c r="P92"/>
  <c r="P76"/>
  <c r="P113" s="1"/>
  <c r="P94"/>
  <c r="P99"/>
  <c r="P136" s="1"/>
  <c r="P86"/>
  <c r="P91"/>
  <c r="P96"/>
  <c r="P133" s="1"/>
  <c r="P77"/>
  <c r="P84"/>
  <c r="P65"/>
  <c r="P85"/>
  <c r="P122" s="1"/>
  <c r="P101"/>
  <c r="P138" s="1"/>
  <c r="P97"/>
  <c r="P93"/>
  <c r="P130" s="1"/>
  <c r="V3" i="23"/>
  <c r="P89" i="9"/>
  <c r="P80"/>
  <c r="P90"/>
  <c r="P127" s="1"/>
  <c r="L22" i="8"/>
  <c r="F157" i="9"/>
  <c r="J65"/>
  <c r="J99"/>
  <c r="J136" s="1"/>
  <c r="J91"/>
  <c r="J128" s="1"/>
  <c r="J85"/>
  <c r="J89"/>
  <c r="J96"/>
  <c r="J77"/>
  <c r="J82"/>
  <c r="J97"/>
  <c r="J86"/>
  <c r="J123" s="1"/>
  <c r="J94"/>
  <c r="J90"/>
  <c r="J127" s="1"/>
  <c r="J88"/>
  <c r="P3" i="23"/>
  <c r="J93" i="9"/>
  <c r="J101"/>
  <c r="J83"/>
  <c r="J95"/>
  <c r="J132" s="1"/>
  <c r="J78"/>
  <c r="J115" s="1"/>
  <c r="J81"/>
  <c r="J118" s="1"/>
  <c r="J80"/>
  <c r="J76"/>
  <c r="J113" s="1"/>
  <c r="J79"/>
  <c r="J116" s="1"/>
  <c r="J102"/>
  <c r="J87"/>
  <c r="J92"/>
  <c r="J129" s="1"/>
  <c r="J100"/>
  <c r="J84"/>
  <c r="J121" s="1"/>
  <c r="J98"/>
  <c r="J135" s="1"/>
  <c r="H88"/>
  <c r="H83"/>
  <c r="H84"/>
  <c r="H80"/>
  <c r="N3" i="23"/>
  <c r="H97" i="9"/>
  <c r="H79"/>
  <c r="H92"/>
  <c r="H78"/>
  <c r="H115" s="1"/>
  <c r="H94"/>
  <c r="H131" s="1"/>
  <c r="H86"/>
  <c r="H77"/>
  <c r="H85"/>
  <c r="H122" s="1"/>
  <c r="H96"/>
  <c r="H99"/>
  <c r="H100"/>
  <c r="H87"/>
  <c r="H124" s="1"/>
  <c r="H95"/>
  <c r="H132" s="1"/>
  <c r="H65"/>
  <c r="H91"/>
  <c r="H76"/>
  <c r="H113" s="1"/>
  <c r="H89"/>
  <c r="H98"/>
  <c r="H81"/>
  <c r="H118" s="1"/>
  <c r="H90"/>
  <c r="H127" s="1"/>
  <c r="H102"/>
  <c r="H139" s="1"/>
  <c r="H93"/>
  <c r="H130" s="1"/>
  <c r="H101"/>
  <c r="H138" s="1"/>
  <c r="H82"/>
  <c r="H119" s="1"/>
  <c r="K23" i="8"/>
  <c r="AA153" i="9"/>
  <c r="N157"/>
  <c r="T22" i="8"/>
  <c r="T94" i="9"/>
  <c r="Z3" i="23"/>
  <c r="T89" i="9"/>
  <c r="T78"/>
  <c r="T115" s="1"/>
  <c r="T101"/>
  <c r="T82"/>
  <c r="T83"/>
  <c r="T98"/>
  <c r="T135" s="1"/>
  <c r="T99"/>
  <c r="T86"/>
  <c r="T77"/>
  <c r="T102"/>
  <c r="T139" s="1"/>
  <c r="T88"/>
  <c r="T125" s="1"/>
  <c r="T87"/>
  <c r="T124" s="1"/>
  <c r="T84"/>
  <c r="T121" s="1"/>
  <c r="T100"/>
  <c r="T137" s="1"/>
  <c r="T97"/>
  <c r="T79"/>
  <c r="T80"/>
  <c r="T76"/>
  <c r="T113" s="1"/>
  <c r="T81"/>
  <c r="T118" s="1"/>
  <c r="T92"/>
  <c r="T85"/>
  <c r="T122" s="1"/>
  <c r="T91"/>
  <c r="T128" s="1"/>
  <c r="T65"/>
  <c r="T95"/>
  <c r="T90"/>
  <c r="T127" s="1"/>
  <c r="T93"/>
  <c r="T130" s="1"/>
  <c r="T96"/>
  <c r="T133" s="1"/>
  <c r="M22" i="8"/>
  <c r="G157" i="9"/>
  <c r="Q81"/>
  <c r="Q118" s="1"/>
  <c r="Q88"/>
  <c r="Q125" s="1"/>
  <c r="Q65"/>
  <c r="Q101"/>
  <c r="Q100"/>
  <c r="Q137" s="1"/>
  <c r="Q97"/>
  <c r="Q80"/>
  <c r="Q93"/>
  <c r="Q82"/>
  <c r="Q85"/>
  <c r="Q122" s="1"/>
  <c r="Q84"/>
  <c r="W3" i="23"/>
  <c r="Q76" i="9"/>
  <c r="Q113" s="1"/>
  <c r="Q92"/>
  <c r="Q129" s="1"/>
  <c r="Q94"/>
  <c r="Q131" s="1"/>
  <c r="Q89"/>
  <c r="Q90"/>
  <c r="Q127" s="1"/>
  <c r="Q95"/>
  <c r="Q132" s="1"/>
  <c r="Q87"/>
  <c r="Q91"/>
  <c r="Q98"/>
  <c r="Q135" s="1"/>
  <c r="Q96"/>
  <c r="Q133" s="1"/>
  <c r="Q86"/>
  <c r="Q102"/>
  <c r="Q139" s="1"/>
  <c r="Q79"/>
  <c r="Q116" s="1"/>
  <c r="Q83"/>
  <c r="Q77"/>
  <c r="Q99"/>
  <c r="Q78"/>
  <c r="Q115" s="1"/>
  <c r="H157"/>
  <c r="N22" i="8"/>
  <c r="P157" i="9"/>
  <c r="V22" i="8"/>
  <c r="V97" i="9"/>
  <c r="V91"/>
  <c r="V128" s="1"/>
  <c r="V90"/>
  <c r="V95"/>
  <c r="V132" s="1"/>
  <c r="V87"/>
  <c r="V124" s="1"/>
  <c r="V77"/>
  <c r="V86"/>
  <c r="V93"/>
  <c r="V130" s="1"/>
  <c r="V101"/>
  <c r="V138" s="1"/>
  <c r="V92"/>
  <c r="V129" s="1"/>
  <c r="V65"/>
  <c r="V89"/>
  <c r="V83"/>
  <c r="V100"/>
  <c r="V81"/>
  <c r="V99"/>
  <c r="V136" s="1"/>
  <c r="V85"/>
  <c r="V122" s="1"/>
  <c r="V76"/>
  <c r="V113" s="1"/>
  <c r="V84"/>
  <c r="AB3" i="23"/>
  <c r="V94" i="9"/>
  <c r="V78"/>
  <c r="V115" s="1"/>
  <c r="V102"/>
  <c r="V139" s="1"/>
  <c r="V88"/>
  <c r="V125" s="1"/>
  <c r="V82"/>
  <c r="V119" s="1"/>
  <c r="V98"/>
  <c r="V80"/>
  <c r="V96"/>
  <c r="V133" s="1"/>
  <c r="V79"/>
  <c r="V116" s="1"/>
  <c r="U22" i="8"/>
  <c r="O157" i="9"/>
  <c r="P22" i="8"/>
  <c r="J157" i="9"/>
  <c r="O22" i="8"/>
  <c r="I157" i="9"/>
  <c r="R157"/>
  <c r="X22" i="8"/>
  <c r="W90" i="9"/>
  <c r="W94"/>
  <c r="W95"/>
  <c r="W132" s="1"/>
  <c r="W77"/>
  <c r="W114" s="1"/>
  <c r="W97"/>
  <c r="W78"/>
  <c r="W79"/>
  <c r="W116" s="1"/>
  <c r="AC3" i="23"/>
  <c r="W89" i="9"/>
  <c r="W101"/>
  <c r="W96"/>
  <c r="W133" s="1"/>
  <c r="W82"/>
  <c r="W119" s="1"/>
  <c r="W86"/>
  <c r="W93"/>
  <c r="W80"/>
  <c r="W117" s="1"/>
  <c r="W81"/>
  <c r="W83"/>
  <c r="W76"/>
  <c r="W113" s="1"/>
  <c r="W98"/>
  <c r="W135" s="1"/>
  <c r="W87"/>
  <c r="W124" s="1"/>
  <c r="W65"/>
  <c r="W100"/>
  <c r="W91"/>
  <c r="W128" s="1"/>
  <c r="W88"/>
  <c r="W125" s="1"/>
  <c r="W85"/>
  <c r="W122" s="1"/>
  <c r="W84"/>
  <c r="W121" s="1"/>
  <c r="W92"/>
  <c r="W129" s="1"/>
  <c r="W102"/>
  <c r="W99"/>
  <c r="K25" i="8"/>
  <c r="AA155" i="9"/>
  <c r="F98"/>
  <c r="F135" s="1"/>
  <c r="F85"/>
  <c r="F122" s="1"/>
  <c r="F84"/>
  <c r="F88"/>
  <c r="F125" s="1"/>
  <c r="F77"/>
  <c r="F114" s="1"/>
  <c r="F76"/>
  <c r="F113" s="1"/>
  <c r="F95"/>
  <c r="F92"/>
  <c r="F102"/>
  <c r="F101"/>
  <c r="F83"/>
  <c r="F79"/>
  <c r="F116" s="1"/>
  <c r="F96"/>
  <c r="F133" s="1"/>
  <c r="F65"/>
  <c r="F97"/>
  <c r="F90"/>
  <c r="F127" s="1"/>
  <c r="F94"/>
  <c r="F100"/>
  <c r="F82"/>
  <c r="F81"/>
  <c r="F118" s="1"/>
  <c r="F87"/>
  <c r="F124" s="1"/>
  <c r="F89"/>
  <c r="F86"/>
  <c r="F123" s="1"/>
  <c r="F93"/>
  <c r="F130" s="1"/>
  <c r="F80"/>
  <c r="F99"/>
  <c r="L3" i="23"/>
  <c r="F91" i="9"/>
  <c r="F128" s="1"/>
  <c r="F78"/>
  <c r="F115" s="1"/>
  <c r="K4" i="23"/>
  <c r="Y53" i="9"/>
  <c r="AE4" i="23" s="1"/>
  <c r="AA53" i="9"/>
  <c r="E94"/>
  <c r="Y52"/>
  <c r="K3" i="23"/>
  <c r="E76" i="9"/>
  <c r="E113" s="1"/>
  <c r="E92"/>
  <c r="E129" s="1"/>
  <c r="E91"/>
  <c r="E101"/>
  <c r="E97"/>
  <c r="E90"/>
  <c r="E102"/>
  <c r="E139" s="1"/>
  <c r="E99"/>
  <c r="E84"/>
  <c r="E77"/>
  <c r="E96"/>
  <c r="E87"/>
  <c r="E89"/>
  <c r="E100"/>
  <c r="E137" s="1"/>
  <c r="E88"/>
  <c r="E125" s="1"/>
  <c r="E86"/>
  <c r="E85"/>
  <c r="E122" s="1"/>
  <c r="E95"/>
  <c r="E132" s="1"/>
  <c r="E83"/>
  <c r="E120" s="1"/>
  <c r="E82"/>
  <c r="E98"/>
  <c r="E135" s="1"/>
  <c r="E93"/>
  <c r="E130" s="1"/>
  <c r="E80"/>
  <c r="E78"/>
  <c r="E79"/>
  <c r="E116" s="1"/>
  <c r="E81"/>
  <c r="E118" s="1"/>
  <c r="AA52"/>
  <c r="E65"/>
  <c r="K22" i="8"/>
  <c r="AA152" i="9"/>
  <c r="E157"/>
  <c r="N161" i="17"/>
  <c r="S22" i="18"/>
  <c r="M85" i="17"/>
  <c r="S7" i="23"/>
  <c r="M81" i="17"/>
  <c r="M103"/>
  <c r="M100"/>
  <c r="M97"/>
  <c r="M88"/>
  <c r="M102"/>
  <c r="M105"/>
  <c r="M99"/>
  <c r="M90"/>
  <c r="M94"/>
  <c r="M84"/>
  <c r="M87"/>
  <c r="M96"/>
  <c r="M83"/>
  <c r="M82"/>
  <c r="M86"/>
  <c r="M80"/>
  <c r="M117" s="1"/>
  <c r="M93"/>
  <c r="M95"/>
  <c r="M106"/>
  <c r="M91"/>
  <c r="M128" s="1"/>
  <c r="M104"/>
  <c r="M141" s="1"/>
  <c r="M89"/>
  <c r="M69"/>
  <c r="M98"/>
  <c r="M101"/>
  <c r="M92"/>
  <c r="V22" i="18"/>
  <c r="Q161" i="17"/>
  <c r="J97"/>
  <c r="J94"/>
  <c r="J102"/>
  <c r="J95"/>
  <c r="J87"/>
  <c r="J83"/>
  <c r="J88"/>
  <c r="J98"/>
  <c r="J105"/>
  <c r="J106"/>
  <c r="J103"/>
  <c r="J140" s="1"/>
  <c r="J92"/>
  <c r="J96"/>
  <c r="J90"/>
  <c r="J93"/>
  <c r="P7" i="23"/>
  <c r="J82" i="17"/>
  <c r="J85"/>
  <c r="J89"/>
  <c r="J126" s="1"/>
  <c r="J69"/>
  <c r="J81"/>
  <c r="J104"/>
  <c r="J100"/>
  <c r="J84"/>
  <c r="J91"/>
  <c r="J101"/>
  <c r="J86"/>
  <c r="J99"/>
  <c r="J136" s="1"/>
  <c r="J80"/>
  <c r="J117" s="1"/>
  <c r="V105"/>
  <c r="V106"/>
  <c r="V94"/>
  <c r="V81"/>
  <c r="V85"/>
  <c r="V97"/>
  <c r="V102"/>
  <c r="V87"/>
  <c r="V69"/>
  <c r="V84"/>
  <c r="V91"/>
  <c r="AB7" i="23"/>
  <c r="V88" i="17"/>
  <c r="V86"/>
  <c r="V95"/>
  <c r="V132" s="1"/>
  <c r="V100"/>
  <c r="V96"/>
  <c r="V80"/>
  <c r="V117" s="1"/>
  <c r="V92"/>
  <c r="V129" s="1"/>
  <c r="V98"/>
  <c r="V90"/>
  <c r="V82"/>
  <c r="V101"/>
  <c r="V93"/>
  <c r="V89"/>
  <c r="V126" s="1"/>
  <c r="V103"/>
  <c r="V104"/>
  <c r="V83"/>
  <c r="V99"/>
  <c r="P103"/>
  <c r="P89"/>
  <c r="P93"/>
  <c r="P81"/>
  <c r="P85"/>
  <c r="P100"/>
  <c r="P86"/>
  <c r="V7" i="23"/>
  <c r="P94" i="17"/>
  <c r="P69"/>
  <c r="P95"/>
  <c r="P97"/>
  <c r="P104"/>
  <c r="P141" s="1"/>
  <c r="P82"/>
  <c r="P84"/>
  <c r="P98"/>
  <c r="P135" s="1"/>
  <c r="P91"/>
  <c r="P80"/>
  <c r="P117" s="1"/>
  <c r="P106"/>
  <c r="P143" s="1"/>
  <c r="P101"/>
  <c r="P88"/>
  <c r="P96"/>
  <c r="P102"/>
  <c r="P90"/>
  <c r="P99"/>
  <c r="P92"/>
  <c r="P105"/>
  <c r="P83"/>
  <c r="P87"/>
  <c r="W22" i="18"/>
  <c r="R161" i="17"/>
  <c r="L161"/>
  <c r="Q22" i="18"/>
  <c r="G104" i="17"/>
  <c r="G106"/>
  <c r="G87"/>
  <c r="G93"/>
  <c r="G97"/>
  <c r="G95"/>
  <c r="G90"/>
  <c r="G101"/>
  <c r="G89"/>
  <c r="G100"/>
  <c r="G96"/>
  <c r="G88"/>
  <c r="G69"/>
  <c r="G81"/>
  <c r="G99"/>
  <c r="G94"/>
  <c r="G131" s="1"/>
  <c r="G103"/>
  <c r="G85"/>
  <c r="G92"/>
  <c r="G83"/>
  <c r="G105"/>
  <c r="G142" s="1"/>
  <c r="G98"/>
  <c r="G84"/>
  <c r="M7" i="23"/>
  <c r="G91" i="17"/>
  <c r="G82"/>
  <c r="G102"/>
  <c r="G80"/>
  <c r="G117" s="1"/>
  <c r="G86"/>
  <c r="K93"/>
  <c r="K90"/>
  <c r="K69"/>
  <c r="K80"/>
  <c r="K117" s="1"/>
  <c r="K98"/>
  <c r="K87"/>
  <c r="K89"/>
  <c r="K95"/>
  <c r="K86"/>
  <c r="K92"/>
  <c r="K84"/>
  <c r="K102"/>
  <c r="K88"/>
  <c r="K82"/>
  <c r="K105"/>
  <c r="Q7" i="23"/>
  <c r="K99" i="17"/>
  <c r="K97"/>
  <c r="K101"/>
  <c r="K94"/>
  <c r="K106"/>
  <c r="K83"/>
  <c r="K120" s="1"/>
  <c r="K85"/>
  <c r="K122" s="1"/>
  <c r="K100"/>
  <c r="K91"/>
  <c r="K81"/>
  <c r="K103"/>
  <c r="K104"/>
  <c r="K96"/>
  <c r="O22" i="18"/>
  <c r="J161" i="17"/>
  <c r="M161"/>
  <c r="R22" i="18"/>
  <c r="H101" i="17"/>
  <c r="H82"/>
  <c r="H100"/>
  <c r="H87"/>
  <c r="H94"/>
  <c r="H98"/>
  <c r="N7" i="23"/>
  <c r="H80" i="17"/>
  <c r="H117" s="1"/>
  <c r="H88"/>
  <c r="H102"/>
  <c r="H83"/>
  <c r="H103"/>
  <c r="H92"/>
  <c r="H97"/>
  <c r="H85"/>
  <c r="H96"/>
  <c r="H89"/>
  <c r="H126" s="1"/>
  <c r="H91"/>
  <c r="H105"/>
  <c r="H99"/>
  <c r="H81"/>
  <c r="H106"/>
  <c r="H86"/>
  <c r="H123" s="1"/>
  <c r="H90"/>
  <c r="H84"/>
  <c r="H69"/>
  <c r="H93"/>
  <c r="H95"/>
  <c r="H104"/>
  <c r="L22" i="18"/>
  <c r="G161" i="17"/>
  <c r="I80"/>
  <c r="I117" s="1"/>
  <c r="I97"/>
  <c r="I91"/>
  <c r="I84"/>
  <c r="O7" i="23"/>
  <c r="I86" i="17"/>
  <c r="I89"/>
  <c r="I82"/>
  <c r="I95"/>
  <c r="I105"/>
  <c r="I98"/>
  <c r="I81"/>
  <c r="I87"/>
  <c r="I69"/>
  <c r="I88"/>
  <c r="I94"/>
  <c r="I92"/>
  <c r="I104"/>
  <c r="I103"/>
  <c r="I96"/>
  <c r="I102"/>
  <c r="I85"/>
  <c r="I99"/>
  <c r="I136" s="1"/>
  <c r="I101"/>
  <c r="I83"/>
  <c r="I93"/>
  <c r="I90"/>
  <c r="I127" s="1"/>
  <c r="I106"/>
  <c r="I100"/>
  <c r="O97"/>
  <c r="O81"/>
  <c r="O83"/>
  <c r="O102"/>
  <c r="O101"/>
  <c r="O99"/>
  <c r="O93"/>
  <c r="O96"/>
  <c r="O105"/>
  <c r="O86"/>
  <c r="O104"/>
  <c r="O87"/>
  <c r="O90"/>
  <c r="O85"/>
  <c r="O82"/>
  <c r="O106"/>
  <c r="O88"/>
  <c r="U7" i="23"/>
  <c r="O103" i="17"/>
  <c r="O92"/>
  <c r="O80"/>
  <c r="O117" s="1"/>
  <c r="O91"/>
  <c r="O84"/>
  <c r="O121" s="1"/>
  <c r="O98"/>
  <c r="O100"/>
  <c r="O95"/>
  <c r="O69"/>
  <c r="O89"/>
  <c r="O94"/>
  <c r="K161"/>
  <c r="P22" i="18"/>
  <c r="AA50" i="17"/>
  <c r="Y22" i="18"/>
  <c r="T161" i="17"/>
  <c r="R105"/>
  <c r="R89"/>
  <c r="R101"/>
  <c r="R83"/>
  <c r="R85"/>
  <c r="R91"/>
  <c r="R93"/>
  <c r="R106"/>
  <c r="R94"/>
  <c r="R80"/>
  <c r="R117" s="1"/>
  <c r="R92"/>
  <c r="R82"/>
  <c r="R97"/>
  <c r="R81"/>
  <c r="R102"/>
  <c r="R139" s="1"/>
  <c r="R104"/>
  <c r="R100"/>
  <c r="R84"/>
  <c r="R96"/>
  <c r="X7" i="23"/>
  <c r="R90" i="17"/>
  <c r="R99"/>
  <c r="R87"/>
  <c r="R88"/>
  <c r="R69"/>
  <c r="R95"/>
  <c r="R86"/>
  <c r="R98"/>
  <c r="R103"/>
  <c r="X22" i="18"/>
  <c r="S161" i="17"/>
  <c r="F161"/>
  <c r="K22" i="18"/>
  <c r="W99" i="17"/>
  <c r="W103"/>
  <c r="W105"/>
  <c r="W106"/>
  <c r="W94"/>
  <c r="W69"/>
  <c r="W82"/>
  <c r="W100"/>
  <c r="W90"/>
  <c r="AC7" i="23"/>
  <c r="W93" i="17"/>
  <c r="W102"/>
  <c r="W81"/>
  <c r="W89"/>
  <c r="W84"/>
  <c r="W96"/>
  <c r="W95"/>
  <c r="W132" s="1"/>
  <c r="W87"/>
  <c r="W98"/>
  <c r="W91"/>
  <c r="W101"/>
  <c r="W86"/>
  <c r="W80"/>
  <c r="W117" s="1"/>
  <c r="W83"/>
  <c r="W104"/>
  <c r="W85"/>
  <c r="W88"/>
  <c r="W97"/>
  <c r="W134" s="1"/>
  <c r="W92"/>
  <c r="O161"/>
  <c r="T22" i="18"/>
  <c r="T100" i="17"/>
  <c r="T106"/>
  <c r="T86"/>
  <c r="T104"/>
  <c r="T89"/>
  <c r="T93"/>
  <c r="T91"/>
  <c r="T83"/>
  <c r="T103"/>
  <c r="T85"/>
  <c r="Z7" i="23"/>
  <c r="T84" i="17"/>
  <c r="T121" s="1"/>
  <c r="T101"/>
  <c r="T138" s="1"/>
  <c r="T98"/>
  <c r="T82"/>
  <c r="T97"/>
  <c r="T95"/>
  <c r="T96"/>
  <c r="T94"/>
  <c r="T92"/>
  <c r="T102"/>
  <c r="T139" s="1"/>
  <c r="T105"/>
  <c r="T90"/>
  <c r="T87"/>
  <c r="T80"/>
  <c r="T117" s="1"/>
  <c r="T81"/>
  <c r="T88"/>
  <c r="T69"/>
  <c r="T99"/>
  <c r="U22" i="18"/>
  <c r="P161" i="17"/>
  <c r="N85"/>
  <c r="N95"/>
  <c r="N99"/>
  <c r="T7" i="23"/>
  <c r="N81" i="17"/>
  <c r="N69"/>
  <c r="N94"/>
  <c r="N97"/>
  <c r="N98"/>
  <c r="N93"/>
  <c r="N91"/>
  <c r="N101"/>
  <c r="N83"/>
  <c r="N87"/>
  <c r="N80"/>
  <c r="N117" s="1"/>
  <c r="N104"/>
  <c r="N84"/>
  <c r="N121" s="1"/>
  <c r="N90"/>
  <c r="N89"/>
  <c r="N106"/>
  <c r="N82"/>
  <c r="N119" s="1"/>
  <c r="N88"/>
  <c r="N125" s="1"/>
  <c r="N86"/>
  <c r="N123" s="1"/>
  <c r="N92"/>
  <c r="N100"/>
  <c r="N105"/>
  <c r="N103"/>
  <c r="N96"/>
  <c r="N102"/>
  <c r="S104"/>
  <c r="S103"/>
  <c r="Y7" i="23"/>
  <c r="S96" i="17"/>
  <c r="S91"/>
  <c r="S95"/>
  <c r="S85"/>
  <c r="S102"/>
  <c r="S97"/>
  <c r="S80"/>
  <c r="S117" s="1"/>
  <c r="S101"/>
  <c r="S83"/>
  <c r="S82"/>
  <c r="S93"/>
  <c r="S106"/>
  <c r="S81"/>
  <c r="S105"/>
  <c r="S142" s="1"/>
  <c r="S89"/>
  <c r="S98"/>
  <c r="S69"/>
  <c r="S100"/>
  <c r="S99"/>
  <c r="S87"/>
  <c r="S88"/>
  <c r="S86"/>
  <c r="S92"/>
  <c r="S94"/>
  <c r="S84"/>
  <c r="S121" s="1"/>
  <c r="S90"/>
  <c r="L105"/>
  <c r="L85"/>
  <c r="L83"/>
  <c r="L91"/>
  <c r="R7" i="23"/>
  <c r="L95" i="17"/>
  <c r="L102"/>
  <c r="L69"/>
  <c r="L100"/>
  <c r="L92"/>
  <c r="L106"/>
  <c r="L101"/>
  <c r="L88"/>
  <c r="L97"/>
  <c r="L90"/>
  <c r="L80"/>
  <c r="L117" s="1"/>
  <c r="L81"/>
  <c r="L87"/>
  <c r="L89"/>
  <c r="L103"/>
  <c r="L93"/>
  <c r="L82"/>
  <c r="L84"/>
  <c r="L121" s="1"/>
  <c r="L99"/>
  <c r="L104"/>
  <c r="L98"/>
  <c r="L135" s="1"/>
  <c r="L86"/>
  <c r="L96"/>
  <c r="L94"/>
  <c r="L131" s="1"/>
  <c r="M22" i="18"/>
  <c r="H161" i="17"/>
  <c r="L7" i="23"/>
  <c r="F87" i="17"/>
  <c r="F104"/>
  <c r="F101"/>
  <c r="F94"/>
  <c r="F81"/>
  <c r="F97"/>
  <c r="F95"/>
  <c r="F106"/>
  <c r="F98"/>
  <c r="F89"/>
  <c r="F91"/>
  <c r="F86"/>
  <c r="F100"/>
  <c r="F83"/>
  <c r="F93"/>
  <c r="F82"/>
  <c r="F80"/>
  <c r="F117" s="1"/>
  <c r="F96"/>
  <c r="F84"/>
  <c r="F92"/>
  <c r="F99"/>
  <c r="F136" s="1"/>
  <c r="F88"/>
  <c r="F85"/>
  <c r="F122" s="1"/>
  <c r="F102"/>
  <c r="F105"/>
  <c r="F69"/>
  <c r="F90"/>
  <c r="F103"/>
  <c r="F140" s="1"/>
  <c r="U85"/>
  <c r="U86"/>
  <c r="U106"/>
  <c r="U100"/>
  <c r="U84"/>
  <c r="U82"/>
  <c r="U80"/>
  <c r="U117" s="1"/>
  <c r="U69"/>
  <c r="U94"/>
  <c r="U92"/>
  <c r="U95"/>
  <c r="U87"/>
  <c r="U103"/>
  <c r="U88"/>
  <c r="U98"/>
  <c r="U89"/>
  <c r="U105"/>
  <c r="U91"/>
  <c r="U90"/>
  <c r="U102"/>
  <c r="U93"/>
  <c r="U101"/>
  <c r="U97"/>
  <c r="U99"/>
  <c r="AA7" i="23"/>
  <c r="U81" i="17"/>
  <c r="U104"/>
  <c r="U83"/>
  <c r="U96"/>
  <c r="U133" s="1"/>
  <c r="Q69"/>
  <c r="Q95"/>
  <c r="Q91"/>
  <c r="Q85"/>
  <c r="Q102"/>
  <c r="W7" i="23"/>
  <c r="Q106" i="17"/>
  <c r="Q81"/>
  <c r="Q96"/>
  <c r="Q80"/>
  <c r="Q117" s="1"/>
  <c r="Q92"/>
  <c r="Q129" s="1"/>
  <c r="Q104"/>
  <c r="Q97"/>
  <c r="Q134" s="1"/>
  <c r="Q94"/>
  <c r="Q98"/>
  <c r="Q99"/>
  <c r="Q86"/>
  <c r="Q87"/>
  <c r="Q100"/>
  <c r="Q89"/>
  <c r="Q105"/>
  <c r="Q90"/>
  <c r="Q82"/>
  <c r="Q103"/>
  <c r="Q101"/>
  <c r="Q88"/>
  <c r="Q125" s="1"/>
  <c r="Q83"/>
  <c r="Q120" s="1"/>
  <c r="Q93"/>
  <c r="Q84"/>
  <c r="I161"/>
  <c r="N22" i="18"/>
  <c r="X94" i="17"/>
  <c r="X97"/>
  <c r="X103"/>
  <c r="X92"/>
  <c r="X82"/>
  <c r="X83"/>
  <c r="X102"/>
  <c r="X95"/>
  <c r="X93"/>
  <c r="X80"/>
  <c r="X117" s="1"/>
  <c r="X105"/>
  <c r="X84"/>
  <c r="X96"/>
  <c r="X85"/>
  <c r="X99"/>
  <c r="X106"/>
  <c r="X143" s="1"/>
  <c r="X90"/>
  <c r="X98"/>
  <c r="X135" s="1"/>
  <c r="X87"/>
  <c r="AD7" i="23"/>
  <c r="X89" i="17"/>
  <c r="X86"/>
  <c r="X123" s="1"/>
  <c r="X81"/>
  <c r="X101"/>
  <c r="X91"/>
  <c r="X128" s="1"/>
  <c r="X100"/>
  <c r="X88"/>
  <c r="X125" s="1"/>
  <c r="X104"/>
  <c r="X69"/>
  <c r="J155" i="8"/>
  <c r="AA158" i="17"/>
  <c r="J24" i="18"/>
  <c r="K8" i="23"/>
  <c r="Y61" i="17"/>
  <c r="AE8" i="23" s="1"/>
  <c r="Y64" i="17"/>
  <c r="AE11" i="23" s="1"/>
  <c r="K11"/>
  <c r="E80" i="17"/>
  <c r="E117" s="1"/>
  <c r="E103"/>
  <c r="Y60"/>
  <c r="AA60" s="1"/>
  <c r="E104"/>
  <c r="E97"/>
  <c r="E87"/>
  <c r="E81"/>
  <c r="E86"/>
  <c r="E91"/>
  <c r="E101"/>
  <c r="E100"/>
  <c r="E82"/>
  <c r="E105"/>
  <c r="K7" i="23"/>
  <c r="E88" i="17"/>
  <c r="E85"/>
  <c r="E89"/>
  <c r="E90"/>
  <c r="E96"/>
  <c r="E102"/>
  <c r="E84"/>
  <c r="E98"/>
  <c r="E93"/>
  <c r="E94"/>
  <c r="E99"/>
  <c r="E69"/>
  <c r="E106"/>
  <c r="E83"/>
  <c r="E92"/>
  <c r="E129" s="1"/>
  <c r="E95"/>
  <c r="Y66"/>
  <c r="AE13" i="23" s="1"/>
  <c r="K13"/>
  <c r="AA157" i="17"/>
  <c r="J23" i="18"/>
  <c r="K10" i="23"/>
  <c r="Y63" i="17"/>
  <c r="AE10" i="23" s="1"/>
  <c r="K9"/>
  <c r="Y62" i="17"/>
  <c r="AE9" i="23" s="1"/>
  <c r="J22" i="18"/>
  <c r="E161" i="17"/>
  <c r="AA156"/>
  <c r="J163" i="8"/>
  <c r="J153"/>
  <c r="J149"/>
  <c r="J144"/>
  <c r="J146"/>
  <c r="Y67" i="17"/>
  <c r="AE14" i="23" s="1"/>
  <c r="K14"/>
  <c r="K12"/>
  <c r="Y65" i="17"/>
  <c r="AE12" i="23" s="1"/>
  <c r="J25" i="18"/>
  <c r="AA159" i="17"/>
  <c r="J157" i="8"/>
  <c r="J164"/>
  <c r="J160"/>
  <c r="G123"/>
  <c r="G115"/>
  <c r="G125"/>
  <c r="G126"/>
  <c r="G90"/>
  <c r="G113"/>
  <c r="G112"/>
  <c r="L15" i="23"/>
  <c r="G127" i="8"/>
  <c r="G104"/>
  <c r="G129"/>
  <c r="G106"/>
  <c r="G105"/>
  <c r="G118"/>
  <c r="G124"/>
  <c r="G122"/>
  <c r="G111"/>
  <c r="G117"/>
  <c r="G120"/>
  <c r="G107"/>
  <c r="G144" s="1"/>
  <c r="G108"/>
  <c r="G128"/>
  <c r="G121"/>
  <c r="G158" s="1"/>
  <c r="G110"/>
  <c r="G116"/>
  <c r="G119"/>
  <c r="G156" s="1"/>
  <c r="G109"/>
  <c r="G103"/>
  <c r="G140" s="1"/>
  <c r="G114"/>
  <c r="H114"/>
  <c r="H110"/>
  <c r="H124"/>
  <c r="H129"/>
  <c r="H104"/>
  <c r="H118"/>
  <c r="H125"/>
  <c r="H162" s="1"/>
  <c r="M15" i="23"/>
  <c r="H126" i="8"/>
  <c r="H106"/>
  <c r="H90"/>
  <c r="H120"/>
  <c r="H103"/>
  <c r="H140" s="1"/>
  <c r="H123"/>
  <c r="H115"/>
  <c r="H112"/>
  <c r="H121"/>
  <c r="H122"/>
  <c r="H117"/>
  <c r="H127"/>
  <c r="H128"/>
  <c r="H113"/>
  <c r="H105"/>
  <c r="H111"/>
  <c r="H109"/>
  <c r="H108"/>
  <c r="H119"/>
  <c r="H116"/>
  <c r="H107"/>
  <c r="J158"/>
  <c r="J143"/>
  <c r="J154"/>
  <c r="J159"/>
  <c r="J166"/>
  <c r="J152"/>
  <c r="I109"/>
  <c r="I128"/>
  <c r="N15" i="23"/>
  <c r="I116" i="8"/>
  <c r="I126"/>
  <c r="I114"/>
  <c r="I105"/>
  <c r="I115"/>
  <c r="I119"/>
  <c r="I107"/>
  <c r="I106"/>
  <c r="I143" s="1"/>
  <c r="I117"/>
  <c r="I154" s="1"/>
  <c r="I122"/>
  <c r="I90"/>
  <c r="I103"/>
  <c r="I140" s="1"/>
  <c r="I121"/>
  <c r="I104"/>
  <c r="I129"/>
  <c r="I113"/>
  <c r="I110"/>
  <c r="I127"/>
  <c r="I164" s="1"/>
  <c r="I112"/>
  <c r="I120"/>
  <c r="I111"/>
  <c r="I148" s="1"/>
  <c r="I123"/>
  <c r="I125"/>
  <c r="I108"/>
  <c r="I118"/>
  <c r="I155" s="1"/>
  <c r="I124"/>
  <c r="I161" s="1"/>
  <c r="J150"/>
  <c r="J141"/>
  <c r="J147"/>
  <c r="J165"/>
  <c r="J142"/>
  <c r="J151"/>
  <c r="J156"/>
  <c r="J145"/>
  <c r="J148"/>
  <c r="J162"/>
  <c r="F90"/>
  <c r="K15" i="23"/>
  <c r="F122" i="8"/>
  <c r="F129"/>
  <c r="F116"/>
  <c r="F114"/>
  <c r="F121"/>
  <c r="F111"/>
  <c r="F128"/>
  <c r="F110"/>
  <c r="F112"/>
  <c r="F104"/>
  <c r="F117"/>
  <c r="F124"/>
  <c r="F107"/>
  <c r="F113"/>
  <c r="F115"/>
  <c r="F123"/>
  <c r="F120"/>
  <c r="F103"/>
  <c r="F140" s="1"/>
  <c r="F125"/>
  <c r="F108"/>
  <c r="F106"/>
  <c r="F118"/>
  <c r="F127"/>
  <c r="F109"/>
  <c r="F105"/>
  <c r="F126"/>
  <c r="F119"/>
  <c r="I132" i="18"/>
  <c r="I128"/>
  <c r="I108"/>
  <c r="N19" i="23"/>
  <c r="I126" i="18"/>
  <c r="I111"/>
  <c r="I122"/>
  <c r="I127"/>
  <c r="I125"/>
  <c r="I109"/>
  <c r="I131"/>
  <c r="I124"/>
  <c r="I121"/>
  <c r="I107"/>
  <c r="I144" s="1"/>
  <c r="I133"/>
  <c r="I116"/>
  <c r="I120"/>
  <c r="I130"/>
  <c r="I115"/>
  <c r="I119"/>
  <c r="I117"/>
  <c r="I114"/>
  <c r="I113"/>
  <c r="I118"/>
  <c r="I123"/>
  <c r="I129"/>
  <c r="I166" s="1"/>
  <c r="I94"/>
  <c r="I110"/>
  <c r="I112"/>
  <c r="G113"/>
  <c r="G124"/>
  <c r="G116"/>
  <c r="G120"/>
  <c r="G125"/>
  <c r="G115"/>
  <c r="G132"/>
  <c r="G133"/>
  <c r="G131"/>
  <c r="G128"/>
  <c r="L19" i="23"/>
  <c r="G111" i="18"/>
  <c r="G126"/>
  <c r="G163" s="1"/>
  <c r="G130"/>
  <c r="G122"/>
  <c r="G114"/>
  <c r="G110"/>
  <c r="G112"/>
  <c r="G119"/>
  <c r="G118"/>
  <c r="G129"/>
  <c r="G123"/>
  <c r="G94"/>
  <c r="G117"/>
  <c r="G108"/>
  <c r="G109"/>
  <c r="G107"/>
  <c r="G144" s="1"/>
  <c r="G127"/>
  <c r="G121"/>
  <c r="H116"/>
  <c r="M19" i="23"/>
  <c r="H94" i="18"/>
  <c r="H117"/>
  <c r="H122"/>
  <c r="H108"/>
  <c r="H128"/>
  <c r="H130"/>
  <c r="H107"/>
  <c r="H144" s="1"/>
  <c r="H132"/>
  <c r="H131"/>
  <c r="H115"/>
  <c r="H112"/>
  <c r="H110"/>
  <c r="H121"/>
  <c r="H124"/>
  <c r="H133"/>
  <c r="H119"/>
  <c r="H114"/>
  <c r="H120"/>
  <c r="H118"/>
  <c r="H126"/>
  <c r="H109"/>
  <c r="H111"/>
  <c r="H125"/>
  <c r="H127"/>
  <c r="H123"/>
  <c r="H113"/>
  <c r="H129"/>
  <c r="F127"/>
  <c r="K19" i="23"/>
  <c r="F109" i="18"/>
  <c r="F108"/>
  <c r="F124"/>
  <c r="F123"/>
  <c r="F128"/>
  <c r="F132"/>
  <c r="F119"/>
  <c r="F133"/>
  <c r="F116"/>
  <c r="F114"/>
  <c r="F110"/>
  <c r="F113"/>
  <c r="F125"/>
  <c r="F120"/>
  <c r="F117"/>
  <c r="F121"/>
  <c r="F107"/>
  <c r="F144" s="1"/>
  <c r="F122"/>
  <c r="F115"/>
  <c r="F131"/>
  <c r="F129"/>
  <c r="F166" s="1"/>
  <c r="F94"/>
  <c r="F126"/>
  <c r="F111"/>
  <c r="F130"/>
  <c r="F112"/>
  <c r="F118"/>
  <c r="F155" s="1"/>
  <c r="V126" i="9" l="1"/>
  <c r="M132"/>
  <c r="X132"/>
  <c r="X133"/>
  <c r="P48" i="8"/>
  <c r="P27"/>
  <c r="R118" i="17"/>
  <c r="F129" i="9"/>
  <c r="Q119"/>
  <c r="I160" i="8"/>
  <c r="G126" i="9"/>
  <c r="M136"/>
  <c r="M125"/>
  <c r="I130"/>
  <c r="O118"/>
  <c r="V48" i="8"/>
  <c r="V27"/>
  <c r="T48"/>
  <c r="T27"/>
  <c r="H125" i="9"/>
  <c r="J133"/>
  <c r="P128"/>
  <c r="U119"/>
  <c r="K51" i="8"/>
  <c r="K68" s="1"/>
  <c r="AB51"/>
  <c r="Z80" s="1"/>
  <c r="AE18" i="23" s="1"/>
  <c r="Q48" i="8"/>
  <c r="Q27"/>
  <c r="Y48"/>
  <c r="Y27"/>
  <c r="R48"/>
  <c r="R27"/>
  <c r="F119" i="9"/>
  <c r="F134"/>
  <c r="F141" s="1"/>
  <c r="F120"/>
  <c r="Y120" s="1"/>
  <c r="F132"/>
  <c r="F121"/>
  <c r="W137"/>
  <c r="W130"/>
  <c r="W138"/>
  <c r="W115"/>
  <c r="W141" s="1"/>
  <c r="W131"/>
  <c r="V117"/>
  <c r="V121"/>
  <c r="V118"/>
  <c r="V141" s="1"/>
  <c r="V123"/>
  <c r="V127"/>
  <c r="Q136"/>
  <c r="Q128"/>
  <c r="Q126"/>
  <c r="Q130"/>
  <c r="Q138"/>
  <c r="T117"/>
  <c r="T114"/>
  <c r="T141" s="1"/>
  <c r="T120"/>
  <c r="T126"/>
  <c r="H128"/>
  <c r="H137"/>
  <c r="H114"/>
  <c r="H141" s="1"/>
  <c r="H129"/>
  <c r="H117"/>
  <c r="J124"/>
  <c r="J117"/>
  <c r="J120"/>
  <c r="J125"/>
  <c r="J134"/>
  <c r="J126"/>
  <c r="P117"/>
  <c r="P134"/>
  <c r="P121"/>
  <c r="P123"/>
  <c r="P129"/>
  <c r="P118"/>
  <c r="AA54"/>
  <c r="L119"/>
  <c r="L124"/>
  <c r="L137"/>
  <c r="L130"/>
  <c r="L120"/>
  <c r="G121"/>
  <c r="G123"/>
  <c r="G138"/>
  <c r="G114"/>
  <c r="G119"/>
  <c r="G132"/>
  <c r="M118"/>
  <c r="M138"/>
  <c r="M115"/>
  <c r="M141" s="1"/>
  <c r="M120"/>
  <c r="U136"/>
  <c r="U134"/>
  <c r="U139"/>
  <c r="U120"/>
  <c r="U116"/>
  <c r="U125"/>
  <c r="I127"/>
  <c r="I114"/>
  <c r="I141" s="1"/>
  <c r="I134"/>
  <c r="I139"/>
  <c r="I138"/>
  <c r="I131"/>
  <c r="I122"/>
  <c r="K130"/>
  <c r="K124"/>
  <c r="K131"/>
  <c r="K119"/>
  <c r="K125"/>
  <c r="K114"/>
  <c r="K141" s="1"/>
  <c r="O132"/>
  <c r="O124"/>
  <c r="O122"/>
  <c r="Y122" s="1"/>
  <c r="O139"/>
  <c r="S139"/>
  <c r="S126"/>
  <c r="S121"/>
  <c r="S123"/>
  <c r="S119"/>
  <c r="S135"/>
  <c r="R120"/>
  <c r="R131"/>
  <c r="R126"/>
  <c r="R118"/>
  <c r="R139"/>
  <c r="R134"/>
  <c r="X129"/>
  <c r="X117"/>
  <c r="X115"/>
  <c r="X141" s="1"/>
  <c r="X121"/>
  <c r="X124"/>
  <c r="N131"/>
  <c r="N125"/>
  <c r="N123"/>
  <c r="N128"/>
  <c r="N132"/>
  <c r="L48" i="8"/>
  <c r="L27"/>
  <c r="S48"/>
  <c r="S27"/>
  <c r="E114" i="9"/>
  <c r="F117"/>
  <c r="Q120"/>
  <c r="T134"/>
  <c r="T138"/>
  <c r="H126"/>
  <c r="H120"/>
  <c r="J130"/>
  <c r="Y130" s="1"/>
  <c r="P139"/>
  <c r="L129"/>
  <c r="G116"/>
  <c r="G118"/>
  <c r="G141" s="1"/>
  <c r="M126"/>
  <c r="U122"/>
  <c r="U123"/>
  <c r="U133"/>
  <c r="K135"/>
  <c r="O119"/>
  <c r="S138"/>
  <c r="S133"/>
  <c r="R122"/>
  <c r="R124"/>
  <c r="R125"/>
  <c r="X139"/>
  <c r="X114"/>
  <c r="X136"/>
  <c r="N127"/>
  <c r="N130"/>
  <c r="N115"/>
  <c r="N120"/>
  <c r="N121"/>
  <c r="X48" i="8"/>
  <c r="X27"/>
  <c r="AB49"/>
  <c r="Z78" s="1"/>
  <c r="AE16" i="23" s="1"/>
  <c r="K49" i="8"/>
  <c r="K66" s="1"/>
  <c r="O48"/>
  <c r="O27"/>
  <c r="U48"/>
  <c r="U27"/>
  <c r="N48"/>
  <c r="N27"/>
  <c r="M48"/>
  <c r="M27"/>
  <c r="W48"/>
  <c r="W27"/>
  <c r="K50"/>
  <c r="K67" s="1"/>
  <c r="AB50"/>
  <c r="Z79" s="1"/>
  <c r="AE17" i="23" s="1"/>
  <c r="E127" i="9"/>
  <c r="Y129"/>
  <c r="F131"/>
  <c r="F139"/>
  <c r="W139"/>
  <c r="W118"/>
  <c r="V131"/>
  <c r="V120"/>
  <c r="V134"/>
  <c r="Q134"/>
  <c r="T136"/>
  <c r="T131"/>
  <c r="H133"/>
  <c r="H134"/>
  <c r="J137"/>
  <c r="J131"/>
  <c r="J114"/>
  <c r="J141" s="1"/>
  <c r="P131"/>
  <c r="P125"/>
  <c r="L116"/>
  <c r="L134"/>
  <c r="L114"/>
  <c r="L141" s="1"/>
  <c r="G127"/>
  <c r="G130"/>
  <c r="M127"/>
  <c r="M133"/>
  <c r="K123"/>
  <c r="O130"/>
  <c r="AA157"/>
  <c r="B65"/>
  <c r="E117"/>
  <c r="F136"/>
  <c r="F126"/>
  <c r="F137"/>
  <c r="Y137" s="1"/>
  <c r="F138"/>
  <c r="W136"/>
  <c r="W120"/>
  <c r="W123"/>
  <c r="W126"/>
  <c r="W134"/>
  <c r="W127"/>
  <c r="V135"/>
  <c r="V137"/>
  <c r="V114"/>
  <c r="Q114"/>
  <c r="Q141" s="1"/>
  <c r="Q123"/>
  <c r="Q124"/>
  <c r="Q121"/>
  <c r="Q117"/>
  <c r="T132"/>
  <c r="T129"/>
  <c r="T116"/>
  <c r="T123"/>
  <c r="T119"/>
  <c r="H135"/>
  <c r="H136"/>
  <c r="H123"/>
  <c r="H116"/>
  <c r="Y116" s="1"/>
  <c r="H121"/>
  <c r="J139"/>
  <c r="J138"/>
  <c r="J119"/>
  <c r="J122"/>
  <c r="P126"/>
  <c r="P114"/>
  <c r="P141" s="1"/>
  <c r="P135"/>
  <c r="P132"/>
  <c r="P137"/>
  <c r="L117"/>
  <c r="L132"/>
  <c r="L139"/>
  <c r="L125"/>
  <c r="G128"/>
  <c r="G135"/>
  <c r="Y135" s="1"/>
  <c r="M122"/>
  <c r="M130"/>
  <c r="M137"/>
  <c r="M128"/>
  <c r="M123"/>
  <c r="M139"/>
  <c r="Y139" s="1"/>
  <c r="U127"/>
  <c r="U129"/>
  <c r="U137"/>
  <c r="U130"/>
  <c r="U114"/>
  <c r="U141" s="1"/>
  <c r="U124"/>
  <c r="I136"/>
  <c r="I125"/>
  <c r="Y125" s="1"/>
  <c r="I120"/>
  <c r="I137"/>
  <c r="I118"/>
  <c r="I115"/>
  <c r="K116"/>
  <c r="K128"/>
  <c r="K138"/>
  <c r="K136"/>
  <c r="K126"/>
  <c r="K132"/>
  <c r="O116"/>
  <c r="O141" s="1"/>
  <c r="O133"/>
  <c r="O134"/>
  <c r="O136"/>
  <c r="O120"/>
  <c r="O127"/>
  <c r="S125"/>
  <c r="S131"/>
  <c r="S127"/>
  <c r="S114"/>
  <c r="S141" s="1"/>
  <c r="S116"/>
  <c r="R129"/>
  <c r="R115"/>
  <c r="R141" s="1"/>
  <c r="R132"/>
  <c r="Y132" s="1"/>
  <c r="R136"/>
  <c r="R137"/>
  <c r="X119"/>
  <c r="X137"/>
  <c r="X126"/>
  <c r="X130"/>
  <c r="X134"/>
  <c r="N122"/>
  <c r="N117"/>
  <c r="N138"/>
  <c r="N118"/>
  <c r="Y118" s="1"/>
  <c r="N135"/>
  <c r="Y65"/>
  <c r="C10" s="1"/>
  <c r="AE3" i="23"/>
  <c r="E131" i="9"/>
  <c r="E133"/>
  <c r="E128"/>
  <c r="E115"/>
  <c r="Y115" s="1"/>
  <c r="E119"/>
  <c r="E123"/>
  <c r="E124"/>
  <c r="E136"/>
  <c r="Y136" s="1"/>
  <c r="E138"/>
  <c r="K48" i="8"/>
  <c r="AB48"/>
  <c r="K27"/>
  <c r="Y113" i="9"/>
  <c r="X126" i="17"/>
  <c r="X119"/>
  <c r="Q140"/>
  <c r="Q126"/>
  <c r="Q118"/>
  <c r="Q122"/>
  <c r="U130"/>
  <c r="U142"/>
  <c r="F142"/>
  <c r="F135"/>
  <c r="L130"/>
  <c r="L125"/>
  <c r="S136"/>
  <c r="S126"/>
  <c r="S132"/>
  <c r="S140"/>
  <c r="N140"/>
  <c r="N136"/>
  <c r="T142"/>
  <c r="T135"/>
  <c r="T122"/>
  <c r="T130"/>
  <c r="W141"/>
  <c r="W118"/>
  <c r="W127"/>
  <c r="W131"/>
  <c r="W136"/>
  <c r="R136"/>
  <c r="R121"/>
  <c r="R126"/>
  <c r="O126"/>
  <c r="O135"/>
  <c r="O129"/>
  <c r="O143"/>
  <c r="O124"/>
  <c r="O133"/>
  <c r="O139"/>
  <c r="I137"/>
  <c r="I129"/>
  <c r="I124"/>
  <c r="H132"/>
  <c r="H127"/>
  <c r="H136"/>
  <c r="H140"/>
  <c r="K128"/>
  <c r="K125"/>
  <c r="K123"/>
  <c r="K135"/>
  <c r="K130"/>
  <c r="G122"/>
  <c r="G118"/>
  <c r="G137"/>
  <c r="G132"/>
  <c r="P142"/>
  <c r="P139"/>
  <c r="P121"/>
  <c r="P132"/>
  <c r="P123"/>
  <c r="V120"/>
  <c r="V135"/>
  <c r="V137"/>
  <c r="V124"/>
  <c r="V118"/>
  <c r="J128"/>
  <c r="J142"/>
  <c r="J124"/>
  <c r="M138"/>
  <c r="M130"/>
  <c r="M120"/>
  <c r="E126" i="9"/>
  <c r="E121"/>
  <c r="Y121" s="1"/>
  <c r="E134"/>
  <c r="X141" i="17"/>
  <c r="Q143"/>
  <c r="Q128"/>
  <c r="U136"/>
  <c r="F139"/>
  <c r="F129"/>
  <c r="F123"/>
  <c r="F143"/>
  <c r="F131"/>
  <c r="L140"/>
  <c r="L128"/>
  <c r="S119"/>
  <c r="S134"/>
  <c r="W120"/>
  <c r="O119"/>
  <c r="H120"/>
  <c r="K141"/>
  <c r="M135"/>
  <c r="O137"/>
  <c r="I141"/>
  <c r="K127"/>
  <c r="G139"/>
  <c r="G121"/>
  <c r="V122"/>
  <c r="J138"/>
  <c r="J141"/>
  <c r="J127"/>
  <c r="X137"/>
  <c r="Q133"/>
  <c r="U118"/>
  <c r="U128"/>
  <c r="F133"/>
  <c r="L124"/>
  <c r="T125"/>
  <c r="W122"/>
  <c r="W126"/>
  <c r="X138"/>
  <c r="X121"/>
  <c r="X132"/>
  <c r="X129"/>
  <c r="Q119"/>
  <c r="Q137"/>
  <c r="Q135"/>
  <c r="U120"/>
  <c r="U139"/>
  <c r="U126"/>
  <c r="U124"/>
  <c r="F119"/>
  <c r="L133"/>
  <c r="L136"/>
  <c r="L138"/>
  <c r="S127"/>
  <c r="S123"/>
  <c r="S137"/>
  <c r="S141"/>
  <c r="N142"/>
  <c r="N127"/>
  <c r="N124"/>
  <c r="N130"/>
  <c r="N132"/>
  <c r="T136"/>
  <c r="T132"/>
  <c r="T126"/>
  <c r="W128"/>
  <c r="W133"/>
  <c r="W139"/>
  <c r="W137"/>
  <c r="W143"/>
  <c r="R140"/>
  <c r="R127"/>
  <c r="R137"/>
  <c r="R134"/>
  <c r="R131"/>
  <c r="R122"/>
  <c r="R142"/>
  <c r="O140"/>
  <c r="O130"/>
  <c r="I143"/>
  <c r="I138"/>
  <c r="I133"/>
  <c r="I131"/>
  <c r="I118"/>
  <c r="I121"/>
  <c r="H130"/>
  <c r="H142"/>
  <c r="H122"/>
  <c r="H137"/>
  <c r="K137"/>
  <c r="K131"/>
  <c r="K139"/>
  <c r="G123"/>
  <c r="G128"/>
  <c r="G140"/>
  <c r="G126"/>
  <c r="G134"/>
  <c r="P129"/>
  <c r="P133"/>
  <c r="P119"/>
  <c r="P137"/>
  <c r="P126"/>
  <c r="V141"/>
  <c r="V138"/>
  <c r="V128"/>
  <c r="V131"/>
  <c r="J121"/>
  <c r="J129"/>
  <c r="J135"/>
  <c r="J132"/>
  <c r="M133"/>
  <c r="M127"/>
  <c r="M125"/>
  <c r="H164" i="18"/>
  <c r="F146" i="8"/>
  <c r="K136" i="17"/>
  <c r="G119"/>
  <c r="E132"/>
  <c r="X118"/>
  <c r="L123"/>
  <c r="N139"/>
  <c r="T124"/>
  <c r="T129"/>
  <c r="I135"/>
  <c r="H139"/>
  <c r="G125"/>
  <c r="P136"/>
  <c r="J123"/>
  <c r="M123"/>
  <c r="K56" i="18"/>
  <c r="K69" s="1"/>
  <c r="K89" s="1"/>
  <c r="P23" i="23" s="1"/>
  <c r="K52" i="18"/>
  <c r="K27"/>
  <c r="P52"/>
  <c r="P56"/>
  <c r="P69" s="1"/>
  <c r="P89" s="1"/>
  <c r="U23" i="23" s="1"/>
  <c r="P27" i="18"/>
  <c r="X52"/>
  <c r="X56"/>
  <c r="X69" s="1"/>
  <c r="X89" s="1"/>
  <c r="AC23" i="23" s="1"/>
  <c r="X27" i="18"/>
  <c r="R56"/>
  <c r="R69" s="1"/>
  <c r="R89" s="1"/>
  <c r="W23" i="23" s="1"/>
  <c r="R52" i="18"/>
  <c r="R27"/>
  <c r="S56"/>
  <c r="S69" s="1"/>
  <c r="S89" s="1"/>
  <c r="X23" i="23" s="1"/>
  <c r="S52" i="18"/>
  <c r="S27"/>
  <c r="M52"/>
  <c r="M56"/>
  <c r="M69" s="1"/>
  <c r="M89" s="1"/>
  <c r="R23" i="23" s="1"/>
  <c r="M27" i="18"/>
  <c r="Y56"/>
  <c r="Y69" s="1"/>
  <c r="Y89" s="1"/>
  <c r="AD23" i="23" s="1"/>
  <c r="Y52" i="18"/>
  <c r="Y27"/>
  <c r="O52"/>
  <c r="O56"/>
  <c r="O69" s="1"/>
  <c r="O89" s="1"/>
  <c r="T23" i="23" s="1"/>
  <c r="O27" i="18"/>
  <c r="O141" i="17"/>
  <c r="O120"/>
  <c r="I119"/>
  <c r="E119"/>
  <c r="X127"/>
  <c r="X130"/>
  <c r="Q130"/>
  <c r="Q141"/>
  <c r="U140"/>
  <c r="U121"/>
  <c r="F124"/>
  <c r="L141"/>
  <c r="L137"/>
  <c r="S130"/>
  <c r="N131"/>
  <c r="T143"/>
  <c r="W129"/>
  <c r="W138"/>
  <c r="R128"/>
  <c r="I139"/>
  <c r="H133"/>
  <c r="H124"/>
  <c r="G135"/>
  <c r="G143"/>
  <c r="P130"/>
  <c r="V130"/>
  <c r="J118"/>
  <c r="J119"/>
  <c r="J133"/>
  <c r="J134"/>
  <c r="M131"/>
  <c r="M139"/>
  <c r="M140"/>
  <c r="H163" i="8"/>
  <c r="G141"/>
  <c r="E126" i="17"/>
  <c r="E142"/>
  <c r="X122"/>
  <c r="X120"/>
  <c r="X134"/>
  <c r="Q121"/>
  <c r="Q138"/>
  <c r="Q142"/>
  <c r="Q123"/>
  <c r="Q139"/>
  <c r="U138"/>
  <c r="U125"/>
  <c r="U129"/>
  <c r="U119"/>
  <c r="U123"/>
  <c r="F125"/>
  <c r="F120"/>
  <c r="F126"/>
  <c r="F134"/>
  <c r="F141"/>
  <c r="L119"/>
  <c r="L134"/>
  <c r="L129"/>
  <c r="L132"/>
  <c r="L122"/>
  <c r="S131"/>
  <c r="S124"/>
  <c r="S135"/>
  <c r="S143"/>
  <c r="S138"/>
  <c r="S122"/>
  <c r="N133"/>
  <c r="N129"/>
  <c r="N143"/>
  <c r="N141"/>
  <c r="N138"/>
  <c r="N134"/>
  <c r="T127"/>
  <c r="T131"/>
  <c r="T119"/>
  <c r="T128"/>
  <c r="T123"/>
  <c r="W123"/>
  <c r="W124"/>
  <c r="W140"/>
  <c r="R123"/>
  <c r="R124"/>
  <c r="R133"/>
  <c r="R129"/>
  <c r="R130"/>
  <c r="R138"/>
  <c r="O131"/>
  <c r="O125"/>
  <c r="O127"/>
  <c r="O142"/>
  <c r="O138"/>
  <c r="O134"/>
  <c r="I130"/>
  <c r="I122"/>
  <c r="I142"/>
  <c r="I123"/>
  <c r="I134"/>
  <c r="H141"/>
  <c r="H121"/>
  <c r="H118"/>
  <c r="H129"/>
  <c r="H125"/>
  <c r="H131"/>
  <c r="H138"/>
  <c r="K118"/>
  <c r="K134"/>
  <c r="K119"/>
  <c r="K129"/>
  <c r="K124"/>
  <c r="G129"/>
  <c r="G136"/>
  <c r="G133"/>
  <c r="G127"/>
  <c r="G124"/>
  <c r="P120"/>
  <c r="P127"/>
  <c r="P138"/>
  <c r="P134"/>
  <c r="P118"/>
  <c r="V136"/>
  <c r="V127"/>
  <c r="V133"/>
  <c r="V125"/>
  <c r="V142"/>
  <c r="J122"/>
  <c r="J143"/>
  <c r="J120"/>
  <c r="J131"/>
  <c r="M129"/>
  <c r="M126"/>
  <c r="M132"/>
  <c r="M119"/>
  <c r="M121"/>
  <c r="M142"/>
  <c r="M137"/>
  <c r="M122"/>
  <c r="N56" i="18"/>
  <c r="N69" s="1"/>
  <c r="N89" s="1"/>
  <c r="S23" i="23" s="1"/>
  <c r="N52" i="18"/>
  <c r="N27"/>
  <c r="W56"/>
  <c r="W69" s="1"/>
  <c r="W89" s="1"/>
  <c r="AB23" i="23" s="1"/>
  <c r="W52" i="18"/>
  <c r="W27"/>
  <c r="U52"/>
  <c r="U56"/>
  <c r="U69" s="1"/>
  <c r="U89" s="1"/>
  <c r="Z23" i="23" s="1"/>
  <c r="U27" i="18"/>
  <c r="T52"/>
  <c r="T56"/>
  <c r="T69" s="1"/>
  <c r="T89" s="1"/>
  <c r="Y23" i="23" s="1"/>
  <c r="T27" i="18"/>
  <c r="L52"/>
  <c r="L56"/>
  <c r="L69" s="1"/>
  <c r="L89" s="1"/>
  <c r="Q23" i="23" s="1"/>
  <c r="L27" i="18"/>
  <c r="Q56"/>
  <c r="Q69" s="1"/>
  <c r="Q89" s="1"/>
  <c r="V23" i="23" s="1"/>
  <c r="Q52" i="18"/>
  <c r="Q27"/>
  <c r="V56"/>
  <c r="V69" s="1"/>
  <c r="V89" s="1"/>
  <c r="AA23" i="23" s="1"/>
  <c r="V52" i="18"/>
  <c r="V27"/>
  <c r="U137" i="17"/>
  <c r="S128"/>
  <c r="T140"/>
  <c r="T137"/>
  <c r="K132"/>
  <c r="G141"/>
  <c r="V139"/>
  <c r="M118"/>
  <c r="H153" i="8"/>
  <c r="E131" i="17"/>
  <c r="X133"/>
  <c r="X131"/>
  <c r="Q136"/>
  <c r="U131"/>
  <c r="U122"/>
  <c r="F137"/>
  <c r="F118"/>
  <c r="L118"/>
  <c r="L142"/>
  <c r="S129"/>
  <c r="N126"/>
  <c r="N128"/>
  <c r="T118"/>
  <c r="T133"/>
  <c r="R132"/>
  <c r="I120"/>
  <c r="I132"/>
  <c r="K133"/>
  <c r="K143"/>
  <c r="AA161"/>
  <c r="AA66"/>
  <c r="E138"/>
  <c r="E124"/>
  <c r="E140"/>
  <c r="X124"/>
  <c r="X136"/>
  <c r="X142"/>
  <c r="X139"/>
  <c r="X140"/>
  <c r="Q127"/>
  <c r="Q124"/>
  <c r="Q131"/>
  <c r="Q132"/>
  <c r="U141"/>
  <c r="U134"/>
  <c r="U127"/>
  <c r="U135"/>
  <c r="U132"/>
  <c r="U143"/>
  <c r="F127"/>
  <c r="F121"/>
  <c r="F130"/>
  <c r="F128"/>
  <c r="F132"/>
  <c r="F138"/>
  <c r="L126"/>
  <c r="L127"/>
  <c r="L143"/>
  <c r="L139"/>
  <c r="L120"/>
  <c r="S125"/>
  <c r="S118"/>
  <c r="S120"/>
  <c r="S139"/>
  <c r="S133"/>
  <c r="N137"/>
  <c r="N120"/>
  <c r="N135"/>
  <c r="N118"/>
  <c r="N122"/>
  <c r="T134"/>
  <c r="T120"/>
  <c r="T141"/>
  <c r="W125"/>
  <c r="W135"/>
  <c r="W121"/>
  <c r="W130"/>
  <c r="W119"/>
  <c r="W142"/>
  <c r="R135"/>
  <c r="R125"/>
  <c r="R141"/>
  <c r="R119"/>
  <c r="R143"/>
  <c r="R120"/>
  <c r="O132"/>
  <c r="O128"/>
  <c r="O122"/>
  <c r="O123"/>
  <c r="O136"/>
  <c r="O118"/>
  <c r="I140"/>
  <c r="I125"/>
  <c r="I126"/>
  <c r="I128"/>
  <c r="H143"/>
  <c r="H128"/>
  <c r="H134"/>
  <c r="H135"/>
  <c r="H119"/>
  <c r="K140"/>
  <c r="K138"/>
  <c r="K142"/>
  <c r="K121"/>
  <c r="K126"/>
  <c r="G120"/>
  <c r="G138"/>
  <c r="G130"/>
  <c r="P124"/>
  <c r="P125"/>
  <c r="P128"/>
  <c r="P131"/>
  <c r="P122"/>
  <c r="P140"/>
  <c r="V140"/>
  <c r="V119"/>
  <c r="V123"/>
  <c r="V121"/>
  <c r="V134"/>
  <c r="V143"/>
  <c r="J137"/>
  <c r="J130"/>
  <c r="J125"/>
  <c r="J139"/>
  <c r="M143"/>
  <c r="M124"/>
  <c r="M136"/>
  <c r="M134"/>
  <c r="I157" i="8"/>
  <c r="I142"/>
  <c r="F145"/>
  <c r="F160"/>
  <c r="I147"/>
  <c r="H144"/>
  <c r="H146"/>
  <c r="H151"/>
  <c r="G150"/>
  <c r="E136" i="17"/>
  <c r="I162" i="8"/>
  <c r="I149"/>
  <c r="I166"/>
  <c r="I144"/>
  <c r="I151"/>
  <c r="I165"/>
  <c r="F164"/>
  <c r="AB58" i="18"/>
  <c r="Z91" s="1"/>
  <c r="AE25" i="23" s="1"/>
  <c r="AB54" i="18"/>
  <c r="Z87" s="1"/>
  <c r="AE21" i="23" s="1"/>
  <c r="J58" i="18"/>
  <c r="J71" s="1"/>
  <c r="J54"/>
  <c r="J67" s="1"/>
  <c r="AB56"/>
  <c r="Z89" s="1"/>
  <c r="AE23" i="23" s="1"/>
  <c r="J52" i="18"/>
  <c r="J56"/>
  <c r="J69" s="1"/>
  <c r="AB52"/>
  <c r="J27"/>
  <c r="E134" i="17"/>
  <c r="E133"/>
  <c r="AE7" i="23"/>
  <c r="Y69" i="17"/>
  <c r="C10" s="1"/>
  <c r="F156" i="8"/>
  <c r="E135" i="17"/>
  <c r="F151" i="8"/>
  <c r="J168"/>
  <c r="H156"/>
  <c r="G147"/>
  <c r="G159"/>
  <c r="G163"/>
  <c r="AA65" i="17"/>
  <c r="AA63"/>
  <c r="E143"/>
  <c r="E130"/>
  <c r="E125"/>
  <c r="E137"/>
  <c r="E118"/>
  <c r="Y117"/>
  <c r="E128"/>
  <c r="E127"/>
  <c r="J59" i="18"/>
  <c r="J72" s="1"/>
  <c r="AB59"/>
  <c r="Z92" s="1"/>
  <c r="AE26" i="23" s="1"/>
  <c r="AB55" i="18"/>
  <c r="Z88" s="1"/>
  <c r="AE22" i="23" s="1"/>
  <c r="J55" i="18"/>
  <c r="J68" s="1"/>
  <c r="AB57"/>
  <c r="Z90" s="1"/>
  <c r="AE24" i="23" s="1"/>
  <c r="J57" i="18"/>
  <c r="J70" s="1"/>
  <c r="AB53"/>
  <c r="Z86" s="1"/>
  <c r="AE20" i="23" s="1"/>
  <c r="J53" i="18"/>
  <c r="J66" s="1"/>
  <c r="E121" i="17"/>
  <c r="E120"/>
  <c r="E123"/>
  <c r="E122"/>
  <c r="AA62"/>
  <c r="F142" i="8"/>
  <c r="F149"/>
  <c r="I159"/>
  <c r="H148"/>
  <c r="H164"/>
  <c r="H157"/>
  <c r="H166"/>
  <c r="G151"/>
  <c r="G153"/>
  <c r="G145"/>
  <c r="G148"/>
  <c r="G142"/>
  <c r="G164"/>
  <c r="G160"/>
  <c r="AA67" i="17"/>
  <c r="E139"/>
  <c r="E141"/>
  <c r="AA64"/>
  <c r="AA61"/>
  <c r="H149" i="8"/>
  <c r="I145"/>
  <c r="I150"/>
  <c r="H158"/>
  <c r="G154"/>
  <c r="H150" i="18"/>
  <c r="F162" i="8"/>
  <c r="F152"/>
  <c r="I141"/>
  <c r="I156"/>
  <c r="I163"/>
  <c r="I146"/>
  <c r="H142"/>
  <c r="H154"/>
  <c r="H152"/>
  <c r="H161"/>
  <c r="G143"/>
  <c r="H165"/>
  <c r="H141"/>
  <c r="G165"/>
  <c r="G155"/>
  <c r="G152"/>
  <c r="F150"/>
  <c r="I158"/>
  <c r="I152"/>
  <c r="I153"/>
  <c r="H145"/>
  <c r="H150"/>
  <c r="H159"/>
  <c r="H160"/>
  <c r="H143"/>
  <c r="H155"/>
  <c r="H147"/>
  <c r="G146"/>
  <c r="G157"/>
  <c r="G161"/>
  <c r="G166"/>
  <c r="G149"/>
  <c r="G162"/>
  <c r="F154"/>
  <c r="F165"/>
  <c r="F161"/>
  <c r="F147"/>
  <c r="F143"/>
  <c r="F157"/>
  <c r="F144"/>
  <c r="F158"/>
  <c r="F159"/>
  <c r="F166"/>
  <c r="F131"/>
  <c r="G131" s="1"/>
  <c r="H131" s="1"/>
  <c r="I131" s="1"/>
  <c r="J131" s="1"/>
  <c r="F153"/>
  <c r="F163"/>
  <c r="F155"/>
  <c r="F141"/>
  <c r="F148"/>
  <c r="F146" i="18"/>
  <c r="I146"/>
  <c r="H165"/>
  <c r="G170"/>
  <c r="I152"/>
  <c r="I168"/>
  <c r="H148"/>
  <c r="H157"/>
  <c r="H161"/>
  <c r="H152"/>
  <c r="H167"/>
  <c r="H154"/>
  <c r="G158"/>
  <c r="G145"/>
  <c r="G166"/>
  <c r="G147"/>
  <c r="G168"/>
  <c r="G162"/>
  <c r="G150"/>
  <c r="I147"/>
  <c r="I155"/>
  <c r="I153"/>
  <c r="I161"/>
  <c r="I164"/>
  <c r="H146"/>
  <c r="G154"/>
  <c r="G157"/>
  <c r="H166"/>
  <c r="H170"/>
  <c r="H159"/>
  <c r="G160"/>
  <c r="G149"/>
  <c r="G165"/>
  <c r="G152"/>
  <c r="I149"/>
  <c r="I160"/>
  <c r="I158"/>
  <c r="I169"/>
  <c r="I156"/>
  <c r="G146"/>
  <c r="G167"/>
  <c r="H160"/>
  <c r="H151"/>
  <c r="H158"/>
  <c r="H168"/>
  <c r="G164"/>
  <c r="G155"/>
  <c r="G151"/>
  <c r="G148"/>
  <c r="I150"/>
  <c r="I170"/>
  <c r="I159"/>
  <c r="I145"/>
  <c r="F167"/>
  <c r="H162"/>
  <c r="H155"/>
  <c r="H149"/>
  <c r="H153"/>
  <c r="G161"/>
  <c r="I154"/>
  <c r="I157"/>
  <c r="I162"/>
  <c r="I163"/>
  <c r="F163"/>
  <c r="F152"/>
  <c r="F154"/>
  <c r="F147"/>
  <c r="F161"/>
  <c r="H163"/>
  <c r="H156"/>
  <c r="H147"/>
  <c r="H169"/>
  <c r="H145"/>
  <c r="G156"/>
  <c r="G159"/>
  <c r="G169"/>
  <c r="G153"/>
  <c r="I151"/>
  <c r="I167"/>
  <c r="I148"/>
  <c r="I165"/>
  <c r="F149"/>
  <c r="F159"/>
  <c r="F151"/>
  <c r="F135"/>
  <c r="G135" s="1"/>
  <c r="H135" s="1"/>
  <c r="I135" s="1"/>
  <c r="F170"/>
  <c r="F156"/>
  <c r="F164"/>
  <c r="F148"/>
  <c r="F168"/>
  <c r="F158"/>
  <c r="F150"/>
  <c r="F160"/>
  <c r="F162"/>
  <c r="F153"/>
  <c r="F165"/>
  <c r="F157"/>
  <c r="F169"/>
  <c r="F145"/>
  <c r="N61" i="8" l="1"/>
  <c r="N65"/>
  <c r="O61"/>
  <c r="O65"/>
  <c r="R61"/>
  <c r="R65"/>
  <c r="Q61"/>
  <c r="Q65"/>
  <c r="V61"/>
  <c r="V65"/>
  <c r="Y134" i="9"/>
  <c r="Y138"/>
  <c r="Y119"/>
  <c r="Y131"/>
  <c r="N141"/>
  <c r="Y117"/>
  <c r="Y114"/>
  <c r="Y142" s="1"/>
  <c r="X61" i="8"/>
  <c r="X65"/>
  <c r="K79"/>
  <c r="AB67"/>
  <c r="M61"/>
  <c r="M65"/>
  <c r="U61"/>
  <c r="U65"/>
  <c r="S61"/>
  <c r="S65"/>
  <c r="P61"/>
  <c r="P65"/>
  <c r="Y123" i="9"/>
  <c r="Y133"/>
  <c r="W61" i="8"/>
  <c r="W65"/>
  <c r="L61"/>
  <c r="L65"/>
  <c r="K78"/>
  <c r="AB66"/>
  <c r="Y61"/>
  <c r="Y65"/>
  <c r="K80"/>
  <c r="AB68"/>
  <c r="T61"/>
  <c r="T65"/>
  <c r="Y126" i="9"/>
  <c r="Y124"/>
  <c r="Y128"/>
  <c r="Y127"/>
  <c r="K61" i="8"/>
  <c r="K65"/>
  <c r="AB61"/>
  <c r="Z77"/>
  <c r="E141" i="9"/>
  <c r="E142" s="1"/>
  <c r="F142" s="1"/>
  <c r="G142" s="1"/>
  <c r="H142" s="1"/>
  <c r="I142" s="1"/>
  <c r="J142" s="1"/>
  <c r="K142" s="1"/>
  <c r="L142" s="1"/>
  <c r="M142" s="1"/>
  <c r="N142" s="1"/>
  <c r="O142" s="1"/>
  <c r="P142" s="1"/>
  <c r="Q142" s="1"/>
  <c r="R142" s="1"/>
  <c r="S142" s="1"/>
  <c r="T142" s="1"/>
  <c r="U142" s="1"/>
  <c r="V142" s="1"/>
  <c r="W142" s="1"/>
  <c r="X142" s="1"/>
  <c r="AA65"/>
  <c r="W145" i="17"/>
  <c r="R145"/>
  <c r="V145"/>
  <c r="L145"/>
  <c r="O145"/>
  <c r="G145"/>
  <c r="Y120"/>
  <c r="Y130"/>
  <c r="N145"/>
  <c r="J145"/>
  <c r="H145"/>
  <c r="Y128"/>
  <c r="M145"/>
  <c r="Y129"/>
  <c r="U145"/>
  <c r="Q145"/>
  <c r="P145"/>
  <c r="K145"/>
  <c r="Y132"/>
  <c r="S145"/>
  <c r="F145"/>
  <c r="T145"/>
  <c r="X145"/>
  <c r="I145"/>
  <c r="V61" i="18"/>
  <c r="V65"/>
  <c r="K61"/>
  <c r="K65"/>
  <c r="T61"/>
  <c r="T65"/>
  <c r="N61"/>
  <c r="N65"/>
  <c r="R61"/>
  <c r="R65"/>
  <c r="X61"/>
  <c r="X65"/>
  <c r="Y124" i="17"/>
  <c r="Y123"/>
  <c r="Y125"/>
  <c r="Y139"/>
  <c r="Y122"/>
  <c r="Y127"/>
  <c r="Y137"/>
  <c r="Y134"/>
  <c r="Y136"/>
  <c r="Y126"/>
  <c r="Q61" i="18"/>
  <c r="Q65"/>
  <c r="L61"/>
  <c r="L65"/>
  <c r="W61"/>
  <c r="W65"/>
  <c r="O61"/>
  <c r="O65"/>
  <c r="S61"/>
  <c r="S65"/>
  <c r="U61"/>
  <c r="U65"/>
  <c r="Y61"/>
  <c r="Y65"/>
  <c r="M61"/>
  <c r="M65"/>
  <c r="P61"/>
  <c r="P65"/>
  <c r="Y140" i="17"/>
  <c r="Y119"/>
  <c r="Y141"/>
  <c r="Y121"/>
  <c r="Y118"/>
  <c r="Y143"/>
  <c r="Y135"/>
  <c r="Y133"/>
  <c r="Y138"/>
  <c r="Y131"/>
  <c r="Y142"/>
  <c r="B69"/>
  <c r="J88" i="18"/>
  <c r="AB68"/>
  <c r="AB61"/>
  <c r="Z85"/>
  <c r="J87"/>
  <c r="AB67"/>
  <c r="J92"/>
  <c r="AB72"/>
  <c r="J61"/>
  <c r="J65"/>
  <c r="G168" i="8"/>
  <c r="E145" i="17"/>
  <c r="E146" s="1"/>
  <c r="AA69"/>
  <c r="J86" i="18"/>
  <c r="AB66"/>
  <c r="J90"/>
  <c r="AB70"/>
  <c r="J89"/>
  <c r="AB69"/>
  <c r="J91"/>
  <c r="AB71"/>
  <c r="H168" i="8"/>
  <c r="I168"/>
  <c r="F168"/>
  <c r="F169" s="1"/>
  <c r="I172" i="18"/>
  <c r="G172"/>
  <c r="H172"/>
  <c r="F172"/>
  <c r="F173" s="1"/>
  <c r="V70" i="8" l="1"/>
  <c r="V77"/>
  <c r="R77"/>
  <c r="R70"/>
  <c r="N77"/>
  <c r="N70"/>
  <c r="W70"/>
  <c r="W77"/>
  <c r="U70"/>
  <c r="U77"/>
  <c r="T70"/>
  <c r="T77"/>
  <c r="Y70"/>
  <c r="Y77"/>
  <c r="L70"/>
  <c r="L77"/>
  <c r="S70"/>
  <c r="S77"/>
  <c r="M77"/>
  <c r="M70"/>
  <c r="X77"/>
  <c r="X70"/>
  <c r="P70"/>
  <c r="P77"/>
  <c r="P18" i="23"/>
  <c r="AB80" i="8"/>
  <c r="P16" i="23"/>
  <c r="AB78" i="8"/>
  <c r="P17" i="23"/>
  <c r="AB79" i="8"/>
  <c r="Q70"/>
  <c r="Q77"/>
  <c r="O77"/>
  <c r="O70"/>
  <c r="AB65"/>
  <c r="K70"/>
  <c r="K77"/>
  <c r="Z118"/>
  <c r="Z120"/>
  <c r="Z105"/>
  <c r="Z90"/>
  <c r="Z108"/>
  <c r="Z115"/>
  <c r="Z104"/>
  <c r="Z106"/>
  <c r="Z122"/>
  <c r="Z111"/>
  <c r="Z103"/>
  <c r="Z140" s="1"/>
  <c r="Z107"/>
  <c r="Z144" s="1"/>
  <c r="Z128"/>
  <c r="Z113"/>
  <c r="Z123"/>
  <c r="Z160" s="1"/>
  <c r="Z112"/>
  <c r="Z114"/>
  <c r="Z116"/>
  <c r="Z153" s="1"/>
  <c r="Z121"/>
  <c r="Z158" s="1"/>
  <c r="Z127"/>
  <c r="Z117"/>
  <c r="Z119"/>
  <c r="Z156" s="1"/>
  <c r="Z110"/>
  <c r="Z147" s="1"/>
  <c r="Z125"/>
  <c r="AE15" i="23"/>
  <c r="Z124" i="8"/>
  <c r="Z126"/>
  <c r="Z129"/>
  <c r="Z166" s="1"/>
  <c r="Z109"/>
  <c r="Z146" s="1"/>
  <c r="F146" i="17"/>
  <c r="G146" s="1"/>
  <c r="H146" s="1"/>
  <c r="I146" s="1"/>
  <c r="J146" s="1"/>
  <c r="K146" s="1"/>
  <c r="L146" s="1"/>
  <c r="M146" s="1"/>
  <c r="N146" s="1"/>
  <c r="O146" s="1"/>
  <c r="P146" s="1"/>
  <c r="Q146" s="1"/>
  <c r="R146" s="1"/>
  <c r="S146" s="1"/>
  <c r="T146" s="1"/>
  <c r="U146" s="1"/>
  <c r="V146" s="1"/>
  <c r="W146" s="1"/>
  <c r="X146" s="1"/>
  <c r="G173" i="18"/>
  <c r="H173" s="1"/>
  <c r="I173" s="1"/>
  <c r="Y146" i="17"/>
  <c r="M85" i="18"/>
  <c r="M74"/>
  <c r="U85"/>
  <c r="U74"/>
  <c r="O85"/>
  <c r="O74"/>
  <c r="L74"/>
  <c r="L85"/>
  <c r="R74"/>
  <c r="R85"/>
  <c r="T85"/>
  <c r="T74"/>
  <c r="V85"/>
  <c r="V74"/>
  <c r="P74"/>
  <c r="P85"/>
  <c r="Y85"/>
  <c r="Y74"/>
  <c r="S74"/>
  <c r="S85"/>
  <c r="W74"/>
  <c r="W85"/>
  <c r="Q74"/>
  <c r="Q85"/>
  <c r="X74"/>
  <c r="X85"/>
  <c r="N74"/>
  <c r="N85"/>
  <c r="K74"/>
  <c r="K85"/>
  <c r="O25" i="23"/>
  <c r="AB91" i="18"/>
  <c r="O24" i="23"/>
  <c r="AB90" i="18"/>
  <c r="J85"/>
  <c r="AB65"/>
  <c r="J74"/>
  <c r="O21" i="23"/>
  <c r="AB87" i="18"/>
  <c r="O22" i="23"/>
  <c r="AB88" i="18"/>
  <c r="O26" i="23"/>
  <c r="AB92" i="18"/>
  <c r="O23" i="23"/>
  <c r="AB89" i="18"/>
  <c r="O20" i="23"/>
  <c r="AB86" i="18"/>
  <c r="Z116"/>
  <c r="Z113"/>
  <c r="Z119"/>
  <c r="Z126"/>
  <c r="Z129"/>
  <c r="Z108"/>
  <c r="Z132"/>
  <c r="Z130"/>
  <c r="Z123"/>
  <c r="Z109"/>
  <c r="Z146" s="1"/>
  <c r="Z115"/>
  <c r="Z107"/>
  <c r="Z144" s="1"/>
  <c r="Z121"/>
  <c r="Z127"/>
  <c r="Z117"/>
  <c r="Z120"/>
  <c r="Z133"/>
  <c r="Z122"/>
  <c r="Z114"/>
  <c r="Z128"/>
  <c r="Z112"/>
  <c r="AE19" i="23"/>
  <c r="Z125" i="18"/>
  <c r="Z131"/>
  <c r="Z168" s="1"/>
  <c r="Z110"/>
  <c r="Z111"/>
  <c r="Z118"/>
  <c r="Z155" s="1"/>
  <c r="Z94"/>
  <c r="Z124"/>
  <c r="Z161" s="1"/>
  <c r="G169" i="8"/>
  <c r="H169" s="1"/>
  <c r="I169" s="1"/>
  <c r="J169" s="1"/>
  <c r="O103" l="1"/>
  <c r="O140" s="1"/>
  <c r="O110"/>
  <c r="O119"/>
  <c r="T15" i="23"/>
  <c r="O114" i="8"/>
  <c r="O151" s="1"/>
  <c r="O108"/>
  <c r="O115"/>
  <c r="O116"/>
  <c r="O124"/>
  <c r="O161" s="1"/>
  <c r="O126"/>
  <c r="O104"/>
  <c r="O107"/>
  <c r="O117"/>
  <c r="O154" s="1"/>
  <c r="O118"/>
  <c r="O111"/>
  <c r="O148" s="1"/>
  <c r="O109"/>
  <c r="O146" s="1"/>
  <c r="O112"/>
  <c r="O149" s="1"/>
  <c r="O128"/>
  <c r="O122"/>
  <c r="O127"/>
  <c r="O164" s="1"/>
  <c r="O106"/>
  <c r="O143" s="1"/>
  <c r="O123"/>
  <c r="O129"/>
  <c r="O166" s="1"/>
  <c r="O105"/>
  <c r="O142" s="1"/>
  <c r="O125"/>
  <c r="O162" s="1"/>
  <c r="O113"/>
  <c r="O120"/>
  <c r="O157" s="1"/>
  <c r="O90"/>
  <c r="O121"/>
  <c r="O158" s="1"/>
  <c r="X108"/>
  <c r="X116"/>
  <c r="X107"/>
  <c r="X123"/>
  <c r="X160" s="1"/>
  <c r="X119"/>
  <c r="X106"/>
  <c r="X143" s="1"/>
  <c r="X117"/>
  <c r="X90"/>
  <c r="X105"/>
  <c r="X125"/>
  <c r="X126"/>
  <c r="X111"/>
  <c r="X148" s="1"/>
  <c r="X114"/>
  <c r="X122"/>
  <c r="X159" s="1"/>
  <c r="AC15" i="23"/>
  <c r="X128" i="8"/>
  <c r="X165" s="1"/>
  <c r="X104"/>
  <c r="X127"/>
  <c r="X164" s="1"/>
  <c r="X115"/>
  <c r="X152" s="1"/>
  <c r="X124"/>
  <c r="X161" s="1"/>
  <c r="X129"/>
  <c r="X118"/>
  <c r="X155" s="1"/>
  <c r="X121"/>
  <c r="X158" s="1"/>
  <c r="X109"/>
  <c r="X146" s="1"/>
  <c r="X110"/>
  <c r="X112"/>
  <c r="X103"/>
  <c r="X140" s="1"/>
  <c r="X113"/>
  <c r="X150" s="1"/>
  <c r="X120"/>
  <c r="X157" s="1"/>
  <c r="N125"/>
  <c r="N162" s="1"/>
  <c r="N109"/>
  <c r="N146" s="1"/>
  <c r="N113"/>
  <c r="N150" s="1"/>
  <c r="N122"/>
  <c r="N129"/>
  <c r="N117"/>
  <c r="S15" i="23"/>
  <c r="N123" i="8"/>
  <c r="N160" s="1"/>
  <c r="N126"/>
  <c r="N163" s="1"/>
  <c r="N121"/>
  <c r="N116"/>
  <c r="N153" s="1"/>
  <c r="N90"/>
  <c r="N107"/>
  <c r="N104"/>
  <c r="N141" s="1"/>
  <c r="N127"/>
  <c r="N164" s="1"/>
  <c r="N111"/>
  <c r="N119"/>
  <c r="N124"/>
  <c r="N161" s="1"/>
  <c r="N128"/>
  <c r="N165" s="1"/>
  <c r="N108"/>
  <c r="N110"/>
  <c r="N147" s="1"/>
  <c r="N105"/>
  <c r="N142" s="1"/>
  <c r="N106"/>
  <c r="N143" s="1"/>
  <c r="N103"/>
  <c r="N140" s="1"/>
  <c r="N114"/>
  <c r="N112"/>
  <c r="N149" s="1"/>
  <c r="N118"/>
  <c r="N155" s="1"/>
  <c r="N115"/>
  <c r="N120"/>
  <c r="N157" s="1"/>
  <c r="S124"/>
  <c r="S119"/>
  <c r="S156" s="1"/>
  <c r="S126"/>
  <c r="S104"/>
  <c r="S141" s="1"/>
  <c r="S125"/>
  <c r="S162" s="1"/>
  <c r="S90"/>
  <c r="S105"/>
  <c r="S121"/>
  <c r="S158" s="1"/>
  <c r="S106"/>
  <c r="S143" s="1"/>
  <c r="S109"/>
  <c r="S146" s="1"/>
  <c r="S114"/>
  <c r="X15" i="23"/>
  <c r="S113" i="8"/>
  <c r="S123"/>
  <c r="S111"/>
  <c r="S116"/>
  <c r="S153" s="1"/>
  <c r="S120"/>
  <c r="S112"/>
  <c r="S149" s="1"/>
  <c r="S108"/>
  <c r="S127"/>
  <c r="S164" s="1"/>
  <c r="S103"/>
  <c r="S140" s="1"/>
  <c r="S107"/>
  <c r="S144" s="1"/>
  <c r="S115"/>
  <c r="S152" s="1"/>
  <c r="S128"/>
  <c r="S165" s="1"/>
  <c r="S110"/>
  <c r="S122"/>
  <c r="S159" s="1"/>
  <c r="S118"/>
  <c r="S129"/>
  <c r="S166" s="1"/>
  <c r="S117"/>
  <c r="Y108"/>
  <c r="Y145" s="1"/>
  <c r="Y117"/>
  <c r="Y118"/>
  <c r="Y155" s="1"/>
  <c r="Y128"/>
  <c r="Y122"/>
  <c r="Y159" s="1"/>
  <c r="Y116"/>
  <c r="Y113"/>
  <c r="Y121"/>
  <c r="Y109"/>
  <c r="Y146" s="1"/>
  <c r="Y123"/>
  <c r="Y115"/>
  <c r="Y110"/>
  <c r="Y104"/>
  <c r="Y141" s="1"/>
  <c r="Y103"/>
  <c r="Y140" s="1"/>
  <c r="Y105"/>
  <c r="Y111"/>
  <c r="Y148" s="1"/>
  <c r="Y125"/>
  <c r="Y162" s="1"/>
  <c r="Y90"/>
  <c r="Y114"/>
  <c r="Y151" s="1"/>
  <c r="Y120"/>
  <c r="Y157" s="1"/>
  <c r="Y112"/>
  <c r="Y149" s="1"/>
  <c r="AD15" i="23"/>
  <c r="Y106" i="8"/>
  <c r="Y143" s="1"/>
  <c r="Y124"/>
  <c r="Y161" s="1"/>
  <c r="Y129"/>
  <c r="Y166" s="1"/>
  <c r="Y119"/>
  <c r="Y107"/>
  <c r="Y144" s="1"/>
  <c r="Y126"/>
  <c r="Y127"/>
  <c r="Y164" s="1"/>
  <c r="U120"/>
  <c r="U103"/>
  <c r="U140" s="1"/>
  <c r="U108"/>
  <c r="U123"/>
  <c r="U114"/>
  <c r="Z15" i="23"/>
  <c r="U116" i="8"/>
  <c r="U106"/>
  <c r="U143" s="1"/>
  <c r="U117"/>
  <c r="U109"/>
  <c r="U146" s="1"/>
  <c r="U128"/>
  <c r="U121"/>
  <c r="U158" s="1"/>
  <c r="U110"/>
  <c r="U115"/>
  <c r="U152" s="1"/>
  <c r="U112"/>
  <c r="U122"/>
  <c r="U159" s="1"/>
  <c r="U104"/>
  <c r="U111"/>
  <c r="U148" s="1"/>
  <c r="U124"/>
  <c r="U113"/>
  <c r="U150" s="1"/>
  <c r="U129"/>
  <c r="U118"/>
  <c r="U155" s="1"/>
  <c r="U125"/>
  <c r="U162" s="1"/>
  <c r="U127"/>
  <c r="U164" s="1"/>
  <c r="U90"/>
  <c r="U105"/>
  <c r="U142" s="1"/>
  <c r="U107"/>
  <c r="U119"/>
  <c r="U156" s="1"/>
  <c r="U126"/>
  <c r="AA15" i="23"/>
  <c r="V127" i="8"/>
  <c r="V126"/>
  <c r="V120"/>
  <c r="V111"/>
  <c r="V123"/>
  <c r="V160" s="1"/>
  <c r="V125"/>
  <c r="V162" s="1"/>
  <c r="V116"/>
  <c r="V124"/>
  <c r="V161" s="1"/>
  <c r="V129"/>
  <c r="V110"/>
  <c r="V147" s="1"/>
  <c r="V90"/>
  <c r="V118"/>
  <c r="V113"/>
  <c r="V115"/>
  <c r="V103"/>
  <c r="V140" s="1"/>
  <c r="V112"/>
  <c r="V149" s="1"/>
  <c r="V109"/>
  <c r="V121"/>
  <c r="V158" s="1"/>
  <c r="V106"/>
  <c r="V128"/>
  <c r="V165" s="1"/>
  <c r="V107"/>
  <c r="V144" s="1"/>
  <c r="V114"/>
  <c r="V151" s="1"/>
  <c r="V119"/>
  <c r="V104"/>
  <c r="V141" s="1"/>
  <c r="V108"/>
  <c r="V145" s="1"/>
  <c r="V105"/>
  <c r="V142" s="1"/>
  <c r="V122"/>
  <c r="V117"/>
  <c r="V154" s="1"/>
  <c r="M108"/>
  <c r="M119"/>
  <c r="M156" s="1"/>
  <c r="M128"/>
  <c r="M106"/>
  <c r="M143" s="1"/>
  <c r="M105"/>
  <c r="M109"/>
  <c r="M146" s="1"/>
  <c r="M103"/>
  <c r="M140" s="1"/>
  <c r="M124"/>
  <c r="M161" s="1"/>
  <c r="M113"/>
  <c r="M120"/>
  <c r="M157" s="1"/>
  <c r="M125"/>
  <c r="M118"/>
  <c r="M155" s="1"/>
  <c r="M104"/>
  <c r="M141" s="1"/>
  <c r="R15" i="23"/>
  <c r="M111" i="8"/>
  <c r="M116"/>
  <c r="M107"/>
  <c r="M90"/>
  <c r="M129"/>
  <c r="M112"/>
  <c r="M149" s="1"/>
  <c r="M117"/>
  <c r="M121"/>
  <c r="M158" s="1"/>
  <c r="M122"/>
  <c r="M127"/>
  <c r="M164" s="1"/>
  <c r="M126"/>
  <c r="M163" s="1"/>
  <c r="M110"/>
  <c r="M147" s="1"/>
  <c r="M114"/>
  <c r="M115"/>
  <c r="M152" s="1"/>
  <c r="M123"/>
  <c r="M160" s="1"/>
  <c r="R128"/>
  <c r="R103"/>
  <c r="R140" s="1"/>
  <c r="R104"/>
  <c r="R141" s="1"/>
  <c r="R108"/>
  <c r="R122"/>
  <c r="R159" s="1"/>
  <c r="R121"/>
  <c r="R90"/>
  <c r="R111"/>
  <c r="R117"/>
  <c r="R154" s="1"/>
  <c r="R105"/>
  <c r="R123"/>
  <c r="R113"/>
  <c r="R150" s="1"/>
  <c r="R127"/>
  <c r="R112"/>
  <c r="R119"/>
  <c r="R156" s="1"/>
  <c r="R114"/>
  <c r="R151" s="1"/>
  <c r="W15" i="23"/>
  <c r="R118" i="8"/>
  <c r="R110"/>
  <c r="R147" s="1"/>
  <c r="R109"/>
  <c r="R146" s="1"/>
  <c r="R126"/>
  <c r="R163" s="1"/>
  <c r="R116"/>
  <c r="R125"/>
  <c r="R129"/>
  <c r="R166" s="1"/>
  <c r="R107"/>
  <c r="R120"/>
  <c r="R124"/>
  <c r="R161" s="1"/>
  <c r="R115"/>
  <c r="R152" s="1"/>
  <c r="R106"/>
  <c r="R143" s="1"/>
  <c r="Z150"/>
  <c r="Q107"/>
  <c r="Q144" s="1"/>
  <c r="Q128"/>
  <c r="Q165" s="1"/>
  <c r="Q113"/>
  <c r="Q150" s="1"/>
  <c r="Q110"/>
  <c r="Q112"/>
  <c r="Q104"/>
  <c r="Q126"/>
  <c r="Q163" s="1"/>
  <c r="Q123"/>
  <c r="Q111"/>
  <c r="Q148" s="1"/>
  <c r="V15" i="23"/>
  <c r="Q117" i="8"/>
  <c r="Q154" s="1"/>
  <c r="Q122"/>
  <c r="Q124"/>
  <c r="Q161" s="1"/>
  <c r="Q109"/>
  <c r="Q108"/>
  <c r="Q145" s="1"/>
  <c r="Q90"/>
  <c r="Q116"/>
  <c r="Q120"/>
  <c r="Q157" s="1"/>
  <c r="Q105"/>
  <c r="Q142" s="1"/>
  <c r="Q119"/>
  <c r="Q103"/>
  <c r="Q140" s="1"/>
  <c r="Q114"/>
  <c r="Q118"/>
  <c r="Q155" s="1"/>
  <c r="Q127"/>
  <c r="Q125"/>
  <c r="Q162" s="1"/>
  <c r="Q121"/>
  <c r="Q158" s="1"/>
  <c r="Q129"/>
  <c r="Q166" s="1"/>
  <c r="Q106"/>
  <c r="Q115"/>
  <c r="Q152" s="1"/>
  <c r="P126"/>
  <c r="P107"/>
  <c r="P144" s="1"/>
  <c r="U15" i="23"/>
  <c r="P115" i="8"/>
  <c r="P152" s="1"/>
  <c r="P112"/>
  <c r="P149" s="1"/>
  <c r="P127"/>
  <c r="P164" s="1"/>
  <c r="P124"/>
  <c r="P116"/>
  <c r="P153" s="1"/>
  <c r="P90"/>
  <c r="P108"/>
  <c r="P145" s="1"/>
  <c r="P123"/>
  <c r="P104"/>
  <c r="P141" s="1"/>
  <c r="P129"/>
  <c r="P117"/>
  <c r="P154" s="1"/>
  <c r="P113"/>
  <c r="P120"/>
  <c r="P106"/>
  <c r="P105"/>
  <c r="P142" s="1"/>
  <c r="P111"/>
  <c r="P121"/>
  <c r="P158" s="1"/>
  <c r="P109"/>
  <c r="P110"/>
  <c r="P147" s="1"/>
  <c r="P103"/>
  <c r="P140" s="1"/>
  <c r="P118"/>
  <c r="P114"/>
  <c r="P151" s="1"/>
  <c r="P119"/>
  <c r="P156" s="1"/>
  <c r="P122"/>
  <c r="P125"/>
  <c r="P162" s="1"/>
  <c r="P128"/>
  <c r="L124"/>
  <c r="L110"/>
  <c r="L103"/>
  <c r="L140" s="1"/>
  <c r="L117"/>
  <c r="L90"/>
  <c r="L125"/>
  <c r="L119"/>
  <c r="L112"/>
  <c r="L114"/>
  <c r="L115"/>
  <c r="L106"/>
  <c r="L127"/>
  <c r="L104"/>
  <c r="L141" s="1"/>
  <c r="Q15" i="23"/>
  <c r="L126" i="8"/>
  <c r="L163" s="1"/>
  <c r="L120"/>
  <c r="L105"/>
  <c r="L142" s="1"/>
  <c r="L129"/>
  <c r="L108"/>
  <c r="L145" s="1"/>
  <c r="L122"/>
  <c r="L159" s="1"/>
  <c r="L113"/>
  <c r="L150" s="1"/>
  <c r="L121"/>
  <c r="L116"/>
  <c r="L153" s="1"/>
  <c r="L128"/>
  <c r="L165" s="1"/>
  <c r="L118"/>
  <c r="L155" s="1"/>
  <c r="L107"/>
  <c r="L109"/>
  <c r="L146" s="1"/>
  <c r="L111"/>
  <c r="L148" s="1"/>
  <c r="L123"/>
  <c r="L160" s="1"/>
  <c r="T123"/>
  <c r="T121"/>
  <c r="T158" s="1"/>
  <c r="T108"/>
  <c r="T145" s="1"/>
  <c r="T111"/>
  <c r="T148" s="1"/>
  <c r="T118"/>
  <c r="T114"/>
  <c r="T128"/>
  <c r="T165" s="1"/>
  <c r="T112"/>
  <c r="T149" s="1"/>
  <c r="T116"/>
  <c r="T117"/>
  <c r="T154" s="1"/>
  <c r="T120"/>
  <c r="T119"/>
  <c r="T156" s="1"/>
  <c r="T104"/>
  <c r="T103"/>
  <c r="T140" s="1"/>
  <c r="T124"/>
  <c r="T161" s="1"/>
  <c r="T125"/>
  <c r="T162" s="1"/>
  <c r="T122"/>
  <c r="T90"/>
  <c r="T110"/>
  <c r="T126"/>
  <c r="T163" s="1"/>
  <c r="T106"/>
  <c r="T113"/>
  <c r="T115"/>
  <c r="T129"/>
  <c r="T166" s="1"/>
  <c r="T127"/>
  <c r="T105"/>
  <c r="T142" s="1"/>
  <c r="T109"/>
  <c r="T146" s="1"/>
  <c r="Y15" i="23"/>
  <c r="T107" i="8"/>
  <c r="T144" s="1"/>
  <c r="W117"/>
  <c r="W112"/>
  <c r="W126"/>
  <c r="W163" s="1"/>
  <c r="W123"/>
  <c r="W114"/>
  <c r="W151" s="1"/>
  <c r="AB15" i="23"/>
  <c r="W107" i="8"/>
  <c r="W144" s="1"/>
  <c r="W122"/>
  <c r="W121"/>
  <c r="W158" s="1"/>
  <c r="W129"/>
  <c r="W166" s="1"/>
  <c r="W108"/>
  <c r="W145" s="1"/>
  <c r="W119"/>
  <c r="W90"/>
  <c r="W120"/>
  <c r="W157" s="1"/>
  <c r="W110"/>
  <c r="W128"/>
  <c r="W115"/>
  <c r="W152" s="1"/>
  <c r="W125"/>
  <c r="W162" s="1"/>
  <c r="W111"/>
  <c r="W148" s="1"/>
  <c r="W124"/>
  <c r="W161" s="1"/>
  <c r="W105"/>
  <c r="W106"/>
  <c r="W116"/>
  <c r="W153" s="1"/>
  <c r="W118"/>
  <c r="W103"/>
  <c r="W140" s="1"/>
  <c r="W127"/>
  <c r="W109"/>
  <c r="W146" s="1"/>
  <c r="W113"/>
  <c r="W104"/>
  <c r="W141" s="1"/>
  <c r="Z163"/>
  <c r="AB70"/>
  <c r="Z161"/>
  <c r="Z148"/>
  <c r="Z152"/>
  <c r="Z157"/>
  <c r="K119"/>
  <c r="K125"/>
  <c r="K162" s="1"/>
  <c r="K124"/>
  <c r="K113"/>
  <c r="K111"/>
  <c r="K129"/>
  <c r="K117"/>
  <c r="AB77"/>
  <c r="B90" s="1"/>
  <c r="K104"/>
  <c r="K123"/>
  <c r="K112"/>
  <c r="K90"/>
  <c r="K118"/>
  <c r="K109"/>
  <c r="K107"/>
  <c r="K122"/>
  <c r="K116"/>
  <c r="K115"/>
  <c r="K128"/>
  <c r="P15" i="23"/>
  <c r="K103" i="8"/>
  <c r="K140" s="1"/>
  <c r="K120"/>
  <c r="K105"/>
  <c r="K108"/>
  <c r="K145" s="1"/>
  <c r="K110"/>
  <c r="K121"/>
  <c r="K158" s="1"/>
  <c r="K106"/>
  <c r="K143" s="1"/>
  <c r="K127"/>
  <c r="K126"/>
  <c r="K114"/>
  <c r="Z162"/>
  <c r="Z164"/>
  <c r="Z149"/>
  <c r="Z143"/>
  <c r="Z141"/>
  <c r="Z142"/>
  <c r="Z154"/>
  <c r="Z151"/>
  <c r="Z165"/>
  <c r="Z159"/>
  <c r="Z145"/>
  <c r="Z155"/>
  <c r="Z154" i="18"/>
  <c r="Z162"/>
  <c r="Z167"/>
  <c r="Z148"/>
  <c r="Z159"/>
  <c r="AB74"/>
  <c r="Y112"/>
  <c r="Y121"/>
  <c r="Y115"/>
  <c r="Y117"/>
  <c r="Y107"/>
  <c r="Y144" s="1"/>
  <c r="Y129"/>
  <c r="Y126"/>
  <c r="Y124"/>
  <c r="Y128"/>
  <c r="Y119"/>
  <c r="Y131"/>
  <c r="Y94"/>
  <c r="Y133"/>
  <c r="AD19" i="23"/>
  <c r="Y118" i="18"/>
  <c r="Y130"/>
  <c r="Y132"/>
  <c r="Y120"/>
  <c r="Y157" s="1"/>
  <c r="Y111"/>
  <c r="Y125"/>
  <c r="Y162" s="1"/>
  <c r="Y116"/>
  <c r="Y110"/>
  <c r="Y109"/>
  <c r="Y122"/>
  <c r="Y123"/>
  <c r="Y127"/>
  <c r="Y108"/>
  <c r="Y114"/>
  <c r="Y113"/>
  <c r="Y150" s="1"/>
  <c r="O124"/>
  <c r="O110"/>
  <c r="O115"/>
  <c r="O109"/>
  <c r="O111"/>
  <c r="O126"/>
  <c r="O123"/>
  <c r="O122"/>
  <c r="O127"/>
  <c r="O125"/>
  <c r="O131"/>
  <c r="O133"/>
  <c r="O94"/>
  <c r="O128"/>
  <c r="O113"/>
  <c r="O118"/>
  <c r="O119"/>
  <c r="O107"/>
  <c r="O144" s="1"/>
  <c r="O129"/>
  <c r="T19" i="23"/>
  <c r="O121" i="18"/>
  <c r="O108"/>
  <c r="O112"/>
  <c r="O117"/>
  <c r="O120"/>
  <c r="O157" s="1"/>
  <c r="O132"/>
  <c r="O116"/>
  <c r="O153" s="1"/>
  <c r="O114"/>
  <c r="O130"/>
  <c r="P19" i="23"/>
  <c r="K120" i="18"/>
  <c r="K111"/>
  <c r="K113"/>
  <c r="K132"/>
  <c r="K133"/>
  <c r="K119"/>
  <c r="K125"/>
  <c r="K94"/>
  <c r="K107"/>
  <c r="K144" s="1"/>
  <c r="K122"/>
  <c r="K116"/>
  <c r="K109"/>
  <c r="K131"/>
  <c r="K130"/>
  <c r="K115"/>
  <c r="K121"/>
  <c r="K114"/>
  <c r="K118"/>
  <c r="K110"/>
  <c r="K123"/>
  <c r="K124"/>
  <c r="K129"/>
  <c r="K112"/>
  <c r="K127"/>
  <c r="K128"/>
  <c r="K117"/>
  <c r="K108"/>
  <c r="K126"/>
  <c r="X114"/>
  <c r="X132"/>
  <c r="X120"/>
  <c r="X133"/>
  <c r="X130"/>
  <c r="X131"/>
  <c r="X107"/>
  <c r="X144" s="1"/>
  <c r="X128"/>
  <c r="X121"/>
  <c r="AC19" i="23"/>
  <c r="X123" i="18"/>
  <c r="X126"/>
  <c r="X122"/>
  <c r="X159" s="1"/>
  <c r="X110"/>
  <c r="X113"/>
  <c r="X108"/>
  <c r="X111"/>
  <c r="X116"/>
  <c r="X129"/>
  <c r="X94"/>
  <c r="X117"/>
  <c r="X115"/>
  <c r="X109"/>
  <c r="X127"/>
  <c r="X124"/>
  <c r="X125"/>
  <c r="X118"/>
  <c r="X112"/>
  <c r="X119"/>
  <c r="W111"/>
  <c r="W131"/>
  <c r="W108"/>
  <c r="W121"/>
  <c r="W94"/>
  <c r="W123"/>
  <c r="W118"/>
  <c r="W127"/>
  <c r="AB19" i="23"/>
  <c r="W130" i="18"/>
  <c r="W110"/>
  <c r="W120"/>
  <c r="W124"/>
  <c r="W126"/>
  <c r="W125"/>
  <c r="W122"/>
  <c r="W159" s="1"/>
  <c r="W112"/>
  <c r="W149" s="1"/>
  <c r="W119"/>
  <c r="W133"/>
  <c r="W128"/>
  <c r="W165" s="1"/>
  <c r="W116"/>
  <c r="W115"/>
  <c r="W132"/>
  <c r="W117"/>
  <c r="W107"/>
  <c r="W144" s="1"/>
  <c r="W114"/>
  <c r="W129"/>
  <c r="W113"/>
  <c r="W109"/>
  <c r="R112"/>
  <c r="R125"/>
  <c r="R110"/>
  <c r="R94"/>
  <c r="R116"/>
  <c r="R129"/>
  <c r="R118"/>
  <c r="R122"/>
  <c r="R107"/>
  <c r="R144" s="1"/>
  <c r="R115"/>
  <c r="R108"/>
  <c r="R131"/>
  <c r="R109"/>
  <c r="R111"/>
  <c r="R127"/>
  <c r="R113"/>
  <c r="R128"/>
  <c r="R130"/>
  <c r="R167" s="1"/>
  <c r="R124"/>
  <c r="R123"/>
  <c r="R160" s="1"/>
  <c r="R117"/>
  <c r="R154" s="1"/>
  <c r="R119"/>
  <c r="W19" i="23"/>
  <c r="R114" i="18"/>
  <c r="R151" s="1"/>
  <c r="R121"/>
  <c r="R132"/>
  <c r="R120"/>
  <c r="R126"/>
  <c r="R133"/>
  <c r="T120"/>
  <c r="T131"/>
  <c r="T122"/>
  <c r="T126"/>
  <c r="T109"/>
  <c r="T121"/>
  <c r="T114"/>
  <c r="T111"/>
  <c r="T119"/>
  <c r="T112"/>
  <c r="T94"/>
  <c r="Y19" i="23"/>
  <c r="T133" i="18"/>
  <c r="T123"/>
  <c r="T127"/>
  <c r="T115"/>
  <c r="T116"/>
  <c r="T129"/>
  <c r="T107"/>
  <c r="T144" s="1"/>
  <c r="T113"/>
  <c r="T130"/>
  <c r="T110"/>
  <c r="T124"/>
  <c r="T108"/>
  <c r="T118"/>
  <c r="T125"/>
  <c r="T117"/>
  <c r="T132"/>
  <c r="T128"/>
  <c r="U126"/>
  <c r="U120"/>
  <c r="U133"/>
  <c r="U109"/>
  <c r="U118"/>
  <c r="U114"/>
  <c r="U131"/>
  <c r="Z19" i="23"/>
  <c r="U117" i="18"/>
  <c r="U110"/>
  <c r="U123"/>
  <c r="U132"/>
  <c r="U111"/>
  <c r="U121"/>
  <c r="U158" s="1"/>
  <c r="U124"/>
  <c r="U161" s="1"/>
  <c r="U107"/>
  <c r="U144" s="1"/>
  <c r="U128"/>
  <c r="U122"/>
  <c r="U159" s="1"/>
  <c r="U130"/>
  <c r="U127"/>
  <c r="U119"/>
  <c r="U156" s="1"/>
  <c r="U94"/>
  <c r="U112"/>
  <c r="U129"/>
  <c r="U125"/>
  <c r="U108"/>
  <c r="U115"/>
  <c r="U116"/>
  <c r="U113"/>
  <c r="Z157"/>
  <c r="V125"/>
  <c r="V121"/>
  <c r="V128"/>
  <c r="V107"/>
  <c r="V144" s="1"/>
  <c r="V113"/>
  <c r="V127"/>
  <c r="V116"/>
  <c r="V132"/>
  <c r="V110"/>
  <c r="V131"/>
  <c r="V120"/>
  <c r="V118"/>
  <c r="AA19" i="23"/>
  <c r="V111" i="18"/>
  <c r="V108"/>
  <c r="V119"/>
  <c r="V156" s="1"/>
  <c r="V112"/>
  <c r="V123"/>
  <c r="V130"/>
  <c r="V122"/>
  <c r="V124"/>
  <c r="V109"/>
  <c r="V117"/>
  <c r="V154" s="1"/>
  <c r="V133"/>
  <c r="V170" s="1"/>
  <c r="V115"/>
  <c r="V126"/>
  <c r="V94"/>
  <c r="V129"/>
  <c r="V114"/>
  <c r="V151" s="1"/>
  <c r="M132"/>
  <c r="M124"/>
  <c r="M120"/>
  <c r="M119"/>
  <c r="M115"/>
  <c r="M125"/>
  <c r="M109"/>
  <c r="R19" i="23"/>
  <c r="M127" i="18"/>
  <c r="M129"/>
  <c r="M130"/>
  <c r="M123"/>
  <c r="M121"/>
  <c r="M94"/>
  <c r="M108"/>
  <c r="M126"/>
  <c r="M110"/>
  <c r="M122"/>
  <c r="M114"/>
  <c r="M112"/>
  <c r="M107"/>
  <c r="M144" s="1"/>
  <c r="M117"/>
  <c r="M118"/>
  <c r="M131"/>
  <c r="M113"/>
  <c r="M111"/>
  <c r="M116"/>
  <c r="M128"/>
  <c r="M133"/>
  <c r="M170" s="1"/>
  <c r="N130"/>
  <c r="N123"/>
  <c r="N109"/>
  <c r="N117"/>
  <c r="N131"/>
  <c r="N111"/>
  <c r="N122"/>
  <c r="N113"/>
  <c r="N126"/>
  <c r="N125"/>
  <c r="N119"/>
  <c r="N112"/>
  <c r="N133"/>
  <c r="S19" i="23"/>
  <c r="N107" i="18"/>
  <c r="N144" s="1"/>
  <c r="N129"/>
  <c r="N121"/>
  <c r="N108"/>
  <c r="N114"/>
  <c r="N124"/>
  <c r="N128"/>
  <c r="N116"/>
  <c r="N132"/>
  <c r="N115"/>
  <c r="N110"/>
  <c r="N118"/>
  <c r="N120"/>
  <c r="N157" s="1"/>
  <c r="N127"/>
  <c r="N94"/>
  <c r="Q111"/>
  <c r="Q118"/>
  <c r="Q124"/>
  <c r="Q128"/>
  <c r="Q127"/>
  <c r="Q130"/>
  <c r="Q108"/>
  <c r="Q121"/>
  <c r="Q133"/>
  <c r="Q94"/>
  <c r="Q116"/>
  <c r="Q125"/>
  <c r="Q120"/>
  <c r="Q109"/>
  <c r="Q123"/>
  <c r="Q132"/>
  <c r="V19" i="23"/>
  <c r="Q112" i="18"/>
  <c r="Q129"/>
  <c r="Q114"/>
  <c r="Q119"/>
  <c r="Q126"/>
  <c r="Q107"/>
  <c r="Q144" s="1"/>
  <c r="Q122"/>
  <c r="Q159" s="1"/>
  <c r="Q113"/>
  <c r="Q117"/>
  <c r="Q115"/>
  <c r="Q131"/>
  <c r="Q110"/>
  <c r="S112"/>
  <c r="S128"/>
  <c r="S119"/>
  <c r="S129"/>
  <c r="S110"/>
  <c r="S123"/>
  <c r="X19" i="23"/>
  <c r="S132" i="18"/>
  <c r="S133"/>
  <c r="S118"/>
  <c r="S120"/>
  <c r="S125"/>
  <c r="S124"/>
  <c r="S109"/>
  <c r="S113"/>
  <c r="S121"/>
  <c r="S117"/>
  <c r="S122"/>
  <c r="S111"/>
  <c r="S115"/>
  <c r="S127"/>
  <c r="S130"/>
  <c r="S116"/>
  <c r="S131"/>
  <c r="S107"/>
  <c r="S144" s="1"/>
  <c r="S94"/>
  <c r="S108"/>
  <c r="S114"/>
  <c r="S126"/>
  <c r="P115"/>
  <c r="P112"/>
  <c r="P113"/>
  <c r="P126"/>
  <c r="P110"/>
  <c r="P119"/>
  <c r="P130"/>
  <c r="P129"/>
  <c r="P94"/>
  <c r="P132"/>
  <c r="P127"/>
  <c r="P125"/>
  <c r="P122"/>
  <c r="P117"/>
  <c r="P109"/>
  <c r="P124"/>
  <c r="P118"/>
  <c r="U19" i="23"/>
  <c r="P121" i="18"/>
  <c r="P111"/>
  <c r="P114"/>
  <c r="P131"/>
  <c r="P108"/>
  <c r="P128"/>
  <c r="P133"/>
  <c r="P116"/>
  <c r="P123"/>
  <c r="P107"/>
  <c r="P144" s="1"/>
  <c r="P120"/>
  <c r="L110"/>
  <c r="L132"/>
  <c r="Q19" i="23"/>
  <c r="L126" i="18"/>
  <c r="L115"/>
  <c r="L112"/>
  <c r="L122"/>
  <c r="L130"/>
  <c r="L94"/>
  <c r="L124"/>
  <c r="L131"/>
  <c r="L128"/>
  <c r="L117"/>
  <c r="L109"/>
  <c r="L111"/>
  <c r="L116"/>
  <c r="L118"/>
  <c r="L155" s="1"/>
  <c r="L120"/>
  <c r="L125"/>
  <c r="L107"/>
  <c r="L144" s="1"/>
  <c r="L129"/>
  <c r="L123"/>
  <c r="L108"/>
  <c r="L127"/>
  <c r="L164" s="1"/>
  <c r="L114"/>
  <c r="L133"/>
  <c r="L170" s="1"/>
  <c r="L121"/>
  <c r="L113"/>
  <c r="L119"/>
  <c r="L156" s="1"/>
  <c r="Z170"/>
  <c r="Z164"/>
  <c r="Z145"/>
  <c r="Z150"/>
  <c r="J112"/>
  <c r="J131"/>
  <c r="J110"/>
  <c r="J108"/>
  <c r="J115"/>
  <c r="J119"/>
  <c r="J107"/>
  <c r="J144" s="1"/>
  <c r="J124"/>
  <c r="J133"/>
  <c r="J94"/>
  <c r="J125"/>
  <c r="J132"/>
  <c r="J127"/>
  <c r="J122"/>
  <c r="J114"/>
  <c r="J128"/>
  <c r="AB85"/>
  <c r="B94" s="1"/>
  <c r="J121"/>
  <c r="O19" i="23"/>
  <c r="J116" i="18"/>
  <c r="J120"/>
  <c r="J123"/>
  <c r="J160" s="1"/>
  <c r="J130"/>
  <c r="J126"/>
  <c r="J118"/>
  <c r="J109"/>
  <c r="J113"/>
  <c r="J111"/>
  <c r="J129"/>
  <c r="J117"/>
  <c r="Z163"/>
  <c r="Z165"/>
  <c r="Z147"/>
  <c r="Z149"/>
  <c r="Z158"/>
  <c r="Z160"/>
  <c r="Z166"/>
  <c r="Z153"/>
  <c r="Z151"/>
  <c r="Z152"/>
  <c r="Z169"/>
  <c r="Z156"/>
  <c r="W147" i="8" l="1"/>
  <c r="L151"/>
  <c r="L161"/>
  <c r="R144"/>
  <c r="R164"/>
  <c r="R165"/>
  <c r="V152"/>
  <c r="V163"/>
  <c r="U160"/>
  <c r="S160"/>
  <c r="K163"/>
  <c r="K147"/>
  <c r="K153"/>
  <c r="K155"/>
  <c r="W150"/>
  <c r="W155"/>
  <c r="W165"/>
  <c r="W156"/>
  <c r="W159"/>
  <c r="W160"/>
  <c r="T164"/>
  <c r="T143"/>
  <c r="T159"/>
  <c r="T141"/>
  <c r="T168" s="1"/>
  <c r="T153"/>
  <c r="T155"/>
  <c r="T160"/>
  <c r="L144"/>
  <c r="L158"/>
  <c r="L166"/>
  <c r="L152"/>
  <c r="L162"/>
  <c r="L147"/>
  <c r="P159"/>
  <c r="P148"/>
  <c r="P150"/>
  <c r="P160"/>
  <c r="P161"/>
  <c r="Q143"/>
  <c r="Q168" s="1"/>
  <c r="Q164"/>
  <c r="Q156"/>
  <c r="Q159"/>
  <c r="Q160"/>
  <c r="Q147"/>
  <c r="R157"/>
  <c r="R153"/>
  <c r="R155"/>
  <c r="R149"/>
  <c r="R142"/>
  <c r="R158"/>
  <c r="M151"/>
  <c r="M159"/>
  <c r="M166"/>
  <c r="M148"/>
  <c r="M162"/>
  <c r="M165"/>
  <c r="V159"/>
  <c r="V156"/>
  <c r="V143"/>
  <c r="V168" s="1"/>
  <c r="V153"/>
  <c r="V157"/>
  <c r="U163"/>
  <c r="U166"/>
  <c r="U141"/>
  <c r="U168" s="1"/>
  <c r="U147"/>
  <c r="U154"/>
  <c r="U151"/>
  <c r="U157"/>
  <c r="Y156"/>
  <c r="Y160"/>
  <c r="Y153"/>
  <c r="Y154"/>
  <c r="S155"/>
  <c r="S145"/>
  <c r="S148"/>
  <c r="S151"/>
  <c r="S142"/>
  <c r="S163"/>
  <c r="N152"/>
  <c r="N145"/>
  <c r="N148"/>
  <c r="N159"/>
  <c r="X147"/>
  <c r="X166"/>
  <c r="X141"/>
  <c r="X151"/>
  <c r="X142"/>
  <c r="X156"/>
  <c r="X145"/>
  <c r="O150"/>
  <c r="O160"/>
  <c r="O165"/>
  <c r="O155"/>
  <c r="O163"/>
  <c r="O145"/>
  <c r="O147"/>
  <c r="K151"/>
  <c r="K146"/>
  <c r="K160"/>
  <c r="W142"/>
  <c r="W154"/>
  <c r="T150"/>
  <c r="T151"/>
  <c r="L143"/>
  <c r="L168" s="1"/>
  <c r="L156"/>
  <c r="P155"/>
  <c r="P157"/>
  <c r="Q153"/>
  <c r="Q149"/>
  <c r="R162"/>
  <c r="R160"/>
  <c r="M153"/>
  <c r="V155"/>
  <c r="V148"/>
  <c r="Y142"/>
  <c r="Y168" s="1"/>
  <c r="Y152"/>
  <c r="Y150"/>
  <c r="N151"/>
  <c r="N168" s="1"/>
  <c r="N156"/>
  <c r="N144"/>
  <c r="N166"/>
  <c r="X149"/>
  <c r="X162"/>
  <c r="X153"/>
  <c r="O159"/>
  <c r="O141"/>
  <c r="O168" s="1"/>
  <c r="O152"/>
  <c r="O156"/>
  <c r="Z169"/>
  <c r="W164"/>
  <c r="W143"/>
  <c r="W168" s="1"/>
  <c r="W149"/>
  <c r="T152"/>
  <c r="T147"/>
  <c r="T157"/>
  <c r="L157"/>
  <c r="L164"/>
  <c r="L149"/>
  <c r="L154"/>
  <c r="P165"/>
  <c r="P146"/>
  <c r="P143"/>
  <c r="P168" s="1"/>
  <c r="P166"/>
  <c r="P163"/>
  <c r="Q151"/>
  <c r="Q146"/>
  <c r="Q141"/>
  <c r="R148"/>
  <c r="R145"/>
  <c r="R168" s="1"/>
  <c r="M154"/>
  <c r="M144"/>
  <c r="M150"/>
  <c r="M142"/>
  <c r="M168" s="1"/>
  <c r="M145"/>
  <c r="V146"/>
  <c r="V150"/>
  <c r="V166"/>
  <c r="V164"/>
  <c r="U144"/>
  <c r="U161"/>
  <c r="U149"/>
  <c r="U165"/>
  <c r="U153"/>
  <c r="U145"/>
  <c r="Y163"/>
  <c r="Y147"/>
  <c r="Y158"/>
  <c r="Y165"/>
  <c r="S154"/>
  <c r="S147"/>
  <c r="S168" s="1"/>
  <c r="S157"/>
  <c r="S150"/>
  <c r="S161"/>
  <c r="N158"/>
  <c r="N154"/>
  <c r="X168"/>
  <c r="X163"/>
  <c r="X154"/>
  <c r="X144"/>
  <c r="O144"/>
  <c r="O153"/>
  <c r="K166"/>
  <c r="K131"/>
  <c r="L131" s="1"/>
  <c r="M131" s="1"/>
  <c r="N131" s="1"/>
  <c r="O131" s="1"/>
  <c r="P131" s="1"/>
  <c r="Q131" s="1"/>
  <c r="R131" s="1"/>
  <c r="S131" s="1"/>
  <c r="T131" s="1"/>
  <c r="U131" s="1"/>
  <c r="V131" s="1"/>
  <c r="W131" s="1"/>
  <c r="X131" s="1"/>
  <c r="Y131" s="1"/>
  <c r="K148"/>
  <c r="K157"/>
  <c r="K152"/>
  <c r="O145" i="18"/>
  <c r="K141" i="8"/>
  <c r="K168" s="1"/>
  <c r="K169" s="1"/>
  <c r="K156"/>
  <c r="N168" i="18"/>
  <c r="K142" i="8"/>
  <c r="K165"/>
  <c r="K144"/>
  <c r="K149"/>
  <c r="K154"/>
  <c r="K161"/>
  <c r="C10"/>
  <c r="AB90"/>
  <c r="K164"/>
  <c r="K159"/>
  <c r="K150"/>
  <c r="X164" i="18"/>
  <c r="M162"/>
  <c r="S157"/>
  <c r="J163"/>
  <c r="L166"/>
  <c r="L154"/>
  <c r="P153"/>
  <c r="Q162"/>
  <c r="K165"/>
  <c r="O166"/>
  <c r="Y153"/>
  <c r="J148"/>
  <c r="L151"/>
  <c r="T147"/>
  <c r="T158"/>
  <c r="R157"/>
  <c r="K161"/>
  <c r="K170"/>
  <c r="Y164"/>
  <c r="P156"/>
  <c r="S156"/>
  <c r="W156"/>
  <c r="W163"/>
  <c r="X146"/>
  <c r="X166"/>
  <c r="K147"/>
  <c r="O164"/>
  <c r="O148"/>
  <c r="Y169"/>
  <c r="P148"/>
  <c r="M165"/>
  <c r="J166"/>
  <c r="L160"/>
  <c r="L157"/>
  <c r="L146"/>
  <c r="L149"/>
  <c r="L169"/>
  <c r="P160"/>
  <c r="P145"/>
  <c r="P158"/>
  <c r="P164"/>
  <c r="P167"/>
  <c r="P150"/>
  <c r="S151"/>
  <c r="S168"/>
  <c r="S152"/>
  <c r="S158"/>
  <c r="S162"/>
  <c r="S166"/>
  <c r="Q147"/>
  <c r="Q150"/>
  <c r="Q156"/>
  <c r="Q157"/>
  <c r="Q170"/>
  <c r="Q164"/>
  <c r="N155"/>
  <c r="N153"/>
  <c r="N145"/>
  <c r="N162"/>
  <c r="N148"/>
  <c r="N160"/>
  <c r="M153"/>
  <c r="M155"/>
  <c r="M151"/>
  <c r="M145"/>
  <c r="M167"/>
  <c r="M157"/>
  <c r="V166"/>
  <c r="V159"/>
  <c r="V155"/>
  <c r="V169"/>
  <c r="U145"/>
  <c r="U147"/>
  <c r="U151"/>
  <c r="U157"/>
  <c r="T154"/>
  <c r="T161"/>
  <c r="T164"/>
  <c r="T151"/>
  <c r="T159"/>
  <c r="R163"/>
  <c r="R150"/>
  <c r="R168"/>
  <c r="R159"/>
  <c r="W146"/>
  <c r="W153"/>
  <c r="W161"/>
  <c r="W148"/>
  <c r="X162"/>
  <c r="X152"/>
  <c r="X147"/>
  <c r="X168"/>
  <c r="K154"/>
  <c r="K166"/>
  <c r="K159"/>
  <c r="K148"/>
  <c r="O151"/>
  <c r="O154"/>
  <c r="O170"/>
  <c r="O159"/>
  <c r="O146"/>
  <c r="Y160"/>
  <c r="Y165"/>
  <c r="Y149"/>
  <c r="J146"/>
  <c r="L145"/>
  <c r="L148"/>
  <c r="L168"/>
  <c r="S154"/>
  <c r="S161"/>
  <c r="S147"/>
  <c r="S149"/>
  <c r="Q154"/>
  <c r="Q163"/>
  <c r="Q146"/>
  <c r="Q167"/>
  <c r="N169"/>
  <c r="N151"/>
  <c r="N159"/>
  <c r="M149"/>
  <c r="M163"/>
  <c r="M160"/>
  <c r="V161"/>
  <c r="V149"/>
  <c r="V147"/>
  <c r="U149"/>
  <c r="U167"/>
  <c r="U170"/>
  <c r="T169"/>
  <c r="T150"/>
  <c r="T148"/>
  <c r="T163"/>
  <c r="R170"/>
  <c r="R158"/>
  <c r="R165"/>
  <c r="R146"/>
  <c r="R153"/>
  <c r="R149"/>
  <c r="W151"/>
  <c r="W167"/>
  <c r="W160"/>
  <c r="X155"/>
  <c r="X150"/>
  <c r="X160"/>
  <c r="X157"/>
  <c r="K145"/>
  <c r="K152"/>
  <c r="K162"/>
  <c r="O167"/>
  <c r="O161"/>
  <c r="Y147"/>
  <c r="Y156"/>
  <c r="Q152"/>
  <c r="Q166"/>
  <c r="N164"/>
  <c r="V146"/>
  <c r="U166"/>
  <c r="U164"/>
  <c r="T167"/>
  <c r="R156"/>
  <c r="R148"/>
  <c r="W166"/>
  <c r="X149"/>
  <c r="K158"/>
  <c r="O169"/>
  <c r="Y155"/>
  <c r="Y168"/>
  <c r="L161"/>
  <c r="S169"/>
  <c r="Q148"/>
  <c r="M146"/>
  <c r="X169"/>
  <c r="K155"/>
  <c r="O155"/>
  <c r="L162"/>
  <c r="L159"/>
  <c r="P161"/>
  <c r="P162"/>
  <c r="P163"/>
  <c r="Q149"/>
  <c r="N156"/>
  <c r="N146"/>
  <c r="M168"/>
  <c r="M156"/>
  <c r="V152"/>
  <c r="V150"/>
  <c r="U152"/>
  <c r="U160"/>
  <c r="T145"/>
  <c r="T152"/>
  <c r="W152"/>
  <c r="W168"/>
  <c r="K149"/>
  <c r="K153"/>
  <c r="K150"/>
  <c r="O158"/>
  <c r="O156"/>
  <c r="Y166"/>
  <c r="Y158"/>
  <c r="L150"/>
  <c r="L153"/>
  <c r="L165"/>
  <c r="L167"/>
  <c r="L163"/>
  <c r="P157"/>
  <c r="P170"/>
  <c r="P151"/>
  <c r="P155"/>
  <c r="P159"/>
  <c r="P147"/>
  <c r="P152"/>
  <c r="S167"/>
  <c r="S159"/>
  <c r="S146"/>
  <c r="S155"/>
  <c r="S160"/>
  <c r="S165"/>
  <c r="Q160"/>
  <c r="Q153"/>
  <c r="Q145"/>
  <c r="Q161"/>
  <c r="N152"/>
  <c r="N161"/>
  <c r="N166"/>
  <c r="N149"/>
  <c r="N150"/>
  <c r="N154"/>
  <c r="M150"/>
  <c r="M147"/>
  <c r="M158"/>
  <c r="M164"/>
  <c r="M152"/>
  <c r="M169"/>
  <c r="V163"/>
  <c r="V160"/>
  <c r="V148"/>
  <c r="V168"/>
  <c r="V164"/>
  <c r="V158"/>
  <c r="U153"/>
  <c r="U169"/>
  <c r="U146"/>
  <c r="T165"/>
  <c r="T155"/>
  <c r="T153"/>
  <c r="T170"/>
  <c r="T156"/>
  <c r="T146"/>
  <c r="T157"/>
  <c r="R169"/>
  <c r="R152"/>
  <c r="R166"/>
  <c r="R162"/>
  <c r="W169"/>
  <c r="W170"/>
  <c r="W162"/>
  <c r="W147"/>
  <c r="W155"/>
  <c r="W145"/>
  <c r="X145"/>
  <c r="X163"/>
  <c r="X165"/>
  <c r="X170"/>
  <c r="K163"/>
  <c r="K164"/>
  <c r="K160"/>
  <c r="K146"/>
  <c r="K169"/>
  <c r="O165"/>
  <c r="O162"/>
  <c r="O163"/>
  <c r="O147"/>
  <c r="Y145"/>
  <c r="Y146"/>
  <c r="Y148"/>
  <c r="Y163"/>
  <c r="Y152"/>
  <c r="P146"/>
  <c r="X153"/>
  <c r="K167"/>
  <c r="K156"/>
  <c r="Y170"/>
  <c r="L158"/>
  <c r="P165"/>
  <c r="P166"/>
  <c r="S163"/>
  <c r="S164"/>
  <c r="S170"/>
  <c r="Q155"/>
  <c r="V162"/>
  <c r="U168"/>
  <c r="L152"/>
  <c r="L147"/>
  <c r="P168"/>
  <c r="P154"/>
  <c r="P169"/>
  <c r="P149"/>
  <c r="S145"/>
  <c r="S153"/>
  <c r="S148"/>
  <c r="S150"/>
  <c r="Q168"/>
  <c r="Q151"/>
  <c r="Q169"/>
  <c r="Q158"/>
  <c r="Q165"/>
  <c r="N147"/>
  <c r="N165"/>
  <c r="N158"/>
  <c r="N170"/>
  <c r="N163"/>
  <c r="N167"/>
  <c r="M148"/>
  <c r="M154"/>
  <c r="M159"/>
  <c r="M166"/>
  <c r="M161"/>
  <c r="V167"/>
  <c r="V145"/>
  <c r="V157"/>
  <c r="V153"/>
  <c r="V165"/>
  <c r="U150"/>
  <c r="U162"/>
  <c r="U165"/>
  <c r="U148"/>
  <c r="U154"/>
  <c r="U155"/>
  <c r="U163"/>
  <c r="T162"/>
  <c r="T166"/>
  <c r="T160"/>
  <c r="T149"/>
  <c r="T168"/>
  <c r="R161"/>
  <c r="R164"/>
  <c r="R145"/>
  <c r="R155"/>
  <c r="R147"/>
  <c r="W150"/>
  <c r="W154"/>
  <c r="W157"/>
  <c r="W164"/>
  <c r="W158"/>
  <c r="X156"/>
  <c r="X161"/>
  <c r="X154"/>
  <c r="X148"/>
  <c r="X158"/>
  <c r="X167"/>
  <c r="X151"/>
  <c r="K151"/>
  <c r="K168"/>
  <c r="K157"/>
  <c r="O149"/>
  <c r="O150"/>
  <c r="O168"/>
  <c r="O160"/>
  <c r="O152"/>
  <c r="Y151"/>
  <c r="Y159"/>
  <c r="Y167"/>
  <c r="Y161"/>
  <c r="Y154"/>
  <c r="J162"/>
  <c r="J169"/>
  <c r="Z173"/>
  <c r="J155"/>
  <c r="J157"/>
  <c r="J164"/>
  <c r="J152"/>
  <c r="J149"/>
  <c r="J170"/>
  <c r="J135"/>
  <c r="K135" s="1"/>
  <c r="L135" s="1"/>
  <c r="M135" s="1"/>
  <c r="N135" s="1"/>
  <c r="O135" s="1"/>
  <c r="P135" s="1"/>
  <c r="Q135" s="1"/>
  <c r="R135" s="1"/>
  <c r="S135" s="1"/>
  <c r="T135" s="1"/>
  <c r="U135" s="1"/>
  <c r="V135" s="1"/>
  <c r="W135" s="1"/>
  <c r="X135" s="1"/>
  <c r="Y135" s="1"/>
  <c r="C10"/>
  <c r="AB94"/>
  <c r="J154"/>
  <c r="J158"/>
  <c r="J159"/>
  <c r="J156"/>
  <c r="J168"/>
  <c r="J150"/>
  <c r="J167"/>
  <c r="J151"/>
  <c r="J147"/>
  <c r="J153"/>
  <c r="J165"/>
  <c r="J161"/>
  <c r="J145"/>
  <c r="L169" i="8" l="1"/>
  <c r="M169" s="1"/>
  <c r="N169" s="1"/>
  <c r="O169" s="1"/>
  <c r="P169" s="1"/>
  <c r="Q169" s="1"/>
  <c r="R169" s="1"/>
  <c r="S169" s="1"/>
  <c r="T169" s="1"/>
  <c r="U169" s="1"/>
  <c r="V169" s="1"/>
  <c r="W169" s="1"/>
  <c r="X169" s="1"/>
  <c r="Y169" s="1"/>
  <c r="X172" i="18"/>
  <c r="K172"/>
  <c r="T172"/>
  <c r="O172"/>
  <c r="W172"/>
  <c r="R172"/>
  <c r="S172"/>
  <c r="P172"/>
  <c r="Y172"/>
  <c r="U172"/>
  <c r="L172"/>
  <c r="M172"/>
  <c r="V172"/>
  <c r="N172"/>
  <c r="Q172"/>
  <c r="J172"/>
  <c r="J173" s="1"/>
  <c r="K173" l="1"/>
  <c r="L173" s="1"/>
  <c r="M173" s="1"/>
  <c r="N173" s="1"/>
  <c r="O173" s="1"/>
  <c r="P173" s="1"/>
  <c r="Q173" s="1"/>
  <c r="R173" s="1"/>
  <c r="S173" s="1"/>
  <c r="T173" s="1"/>
  <c r="U173" s="1"/>
  <c r="V173" s="1"/>
  <c r="W173" s="1"/>
  <c r="X173" s="1"/>
  <c r="Y173" s="1"/>
</calcChain>
</file>

<file path=xl/comments1.xml><?xml version="1.0" encoding="utf-8"?>
<comments xmlns="http://schemas.openxmlformats.org/spreadsheetml/2006/main">
  <authors>
    <author>Tina Jayaweera</author>
    <author>Massoud Jourabchi</author>
  </authors>
  <commentList>
    <comment ref="E3" authorId="0">
      <text>
        <r>
          <rPr>
            <b/>
            <sz val="9"/>
            <color indexed="81"/>
            <rFont val="Tahoma"/>
            <family val="2"/>
          </rPr>
          <t>Tina Jayaweera:</t>
        </r>
        <r>
          <rPr>
            <sz val="9"/>
            <color indexed="81"/>
            <rFont val="Tahoma"/>
            <family val="2"/>
          </rPr>
          <t xml:space="preserve">
Ecotope/ODOE eval of New MF Homes in PNW, ~2002 used in 6PP</t>
        </r>
      </text>
    </comment>
    <comment ref="E17" authorId="0">
      <text>
        <r>
          <rPr>
            <b/>
            <sz val="9"/>
            <color indexed="81"/>
            <rFont val="Tahoma"/>
            <family val="2"/>
          </rPr>
          <t>Tina Jayaweera:</t>
        </r>
        <r>
          <rPr>
            <sz val="9"/>
            <color indexed="81"/>
            <rFont val="Tahoma"/>
            <family val="2"/>
          </rPr>
          <t xml:space="preserve">
Ecotope/ODOE eval of New MF Homes in PNW, ~2002 used in 6PP</t>
        </r>
      </text>
    </comment>
    <comment ref="A27" authorId="1">
      <text>
        <r>
          <rPr>
            <b/>
            <sz val="8"/>
            <color indexed="81"/>
            <rFont val="Tahoma"/>
            <family val="2"/>
          </rPr>
          <t>Massoud Jourabchi:</t>
        </r>
        <r>
          <rPr>
            <sz val="8"/>
            <color indexed="81"/>
            <rFont val="Tahoma"/>
            <family val="2"/>
          </rPr>
          <t xml:space="preserve">
Computer includes monitor</t>
        </r>
      </text>
    </comment>
    <comment ref="A32" authorId="1">
      <text>
        <r>
          <rPr>
            <b/>
            <sz val="8"/>
            <color indexed="81"/>
            <rFont val="Tahoma"/>
            <family val="2"/>
          </rPr>
          <t>Massoud Jourabchi:</t>
        </r>
        <r>
          <rPr>
            <sz val="8"/>
            <color indexed="81"/>
            <rFont val="Tahoma"/>
            <family val="2"/>
          </rPr>
          <t xml:space="preserve">
Computer includes monitor</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sharedStrings.xml><?xml version="1.0" encoding="utf-8"?>
<sst xmlns="http://schemas.openxmlformats.org/spreadsheetml/2006/main" count="1880" uniqueCount="607">
  <si>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</si>
  <si>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</si>
  <si>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</si>
  <si>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</si>
  <si>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</si>
  <si>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</si>
  <si>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</si>
  <si>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</si>
  <si>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</si>
  <si>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</si>
  <si>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</si>
  <si>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</si>
  <si>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</si>
  <si>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</si>
  <si>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</si>
  <si>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</si>
  <si>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</si>
  <si>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</si>
  <si>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</si>
  <si>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</si>
  <si>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</si>
  <si>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</si>
  <si>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</si>
  <si>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</si>
  <si>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</si>
  <si>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</si>
  <si>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</si>
  <si>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</si>
  <si>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</si>
  <si>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</si>
  <si>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</si>
  <si>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</si>
  <si>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</si>
  <si>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</si>
  <si>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</si>
  <si>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</si>
  <si>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</si>
  <si>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</si>
  <si>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</si>
  <si>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</si>
  <si>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</si>
  <si>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</si>
  <si>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</si>
  <si>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</si>
  <si>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</si>
  <si>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</si>
  <si>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</si>
  <si>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</si>
  <si>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</si>
  <si>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</si>
  <si>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</si>
  <si>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</si>
  <si>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New</t>
  </si>
  <si>
    <t>Methodology</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</si>
  <si>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</si>
  <si>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</si>
  <si>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</si>
  <si>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</si>
  <si>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</si>
  <si>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</si>
  <si>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</si>
  <si>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</si>
  <si>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</si>
  <si>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</si>
  <si>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</si>
  <si>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</si>
  <si>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</si>
  <si>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</si>
  <si>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</si>
  <si>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</si>
  <si>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</si>
  <si>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</si>
  <si>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</si>
  <si>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</si>
  <si>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</si>
  <si>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</si>
  <si>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</si>
  <si>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</si>
  <si>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</si>
  <si>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</si>
  <si>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</si>
  <si>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</si>
  <si>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</si>
  <si>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</si>
  <si>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</si>
  <si>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</si>
  <si>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</si>
  <si>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</si>
  <si>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</si>
  <si>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</si>
  <si>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</si>
  <si>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</si>
  <si>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</si>
  <si>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</si>
  <si>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</si>
  <si>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</si>
  <si>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</si>
  <si>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</si>
  <si>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</si>
  <si>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</si>
  <si>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</si>
  <si>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</si>
  <si>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</si>
  <si>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</si>
  <si>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</si>
  <si>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</si>
  <si>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</si>
  <si>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</si>
  <si>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</si>
  <si>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</si>
  <si>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</si>
  <si>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</si>
  <si>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</si>
  <si>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</si>
  <si>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</si>
  <si>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</si>
  <si>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</si>
  <si>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</si>
  <si>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</si>
  <si>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</si>
  <si>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</si>
  <si>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</si>
  <si>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</si>
  <si>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</si>
  <si>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</si>
  <si>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</si>
  <si>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</si>
  <si>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</si>
  <si>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</si>
  <si>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</si>
  <si>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</si>
  <si>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</si>
  <si>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</si>
  <si>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</si>
  <si>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</si>
  <si>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</si>
  <si>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</si>
  <si>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</si>
  <si>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</si>
  <si>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</si>
  <si>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</si>
  <si>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</si>
  <si>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</si>
  <si>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</si>
  <si>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</si>
  <si>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UNITS PER HOME</t>
  </si>
  <si>
    <t># HOMES</t>
  </si>
  <si>
    <t>EXISTING HOMES</t>
  </si>
  <si>
    <t>UNTREATED NEW HOMES</t>
  </si>
  <si>
    <t>='[7P Forecasts D1.xlsx]Res Forecast (Base Case)'!$D$5</t>
  </si>
  <si>
    <t>FLAT</t>
  </si>
  <si>
    <t>Computer</t>
  </si>
  <si>
    <t>-</t>
  </si>
  <si>
    <t>Monitor</t>
  </si>
  <si>
    <t>Low</t>
  </si>
  <si>
    <t>Desktops</t>
  </si>
  <si>
    <t>Laptops</t>
  </si>
  <si>
    <t>Desktop</t>
  </si>
  <si>
    <t>Laptop</t>
  </si>
  <si>
    <t>Power:</t>
  </si>
  <si>
    <t>Monitors</t>
  </si>
  <si>
    <t>Desktop Computer Calculations for the ENERGY STAR Office Equipment Calculator</t>
  </si>
  <si>
    <r>
      <t xml:space="preserve"> INPUTS</t>
    </r>
    <r>
      <rPr>
        <i/>
        <sz val="11"/>
        <rFont val="Arial"/>
        <family val="2"/>
      </rPr>
      <t xml:space="preserve"> - to edit these values go to the INPUTS tab</t>
    </r>
  </si>
  <si>
    <t>Defaults</t>
  </si>
  <si>
    <t>User Entry</t>
  </si>
  <si>
    <t>Commercial</t>
  </si>
  <si>
    <t>Residential</t>
  </si>
  <si>
    <t>Portion turned off at night</t>
  </si>
  <si>
    <t>Portion with sleep enabled</t>
  </si>
  <si>
    <r>
      <t xml:space="preserve"> Assumptions</t>
    </r>
    <r>
      <rPr>
        <i/>
        <sz val="11"/>
        <rFont val="Arial"/>
        <family val="2"/>
      </rPr>
      <t xml:space="preserve"> - users can edit the highlighted cells to modify the assumptions</t>
    </r>
  </si>
  <si>
    <r>
      <t xml:space="preserve">Performance Level </t>
    </r>
    <r>
      <rPr>
        <sz val="9"/>
        <rFont val="Arial"/>
        <family val="2"/>
      </rPr>
      <t xml:space="preserve">
(see detailed descriptions below)</t>
    </r>
  </si>
  <si>
    <t>Conventional</t>
  </si>
  <si>
    <t>ENERGY STAR</t>
  </si>
  <si>
    <t>Idle wattage (W)</t>
  </si>
  <si>
    <t>Sleep wattage (W)</t>
  </si>
  <si>
    <t>Off wattage (W)</t>
  </si>
  <si>
    <t>Medium</t>
  </si>
  <si>
    <t>High</t>
  </si>
  <si>
    <t>Operation Profile</t>
  </si>
  <si>
    <t>Commercial use</t>
  </si>
  <si>
    <t>Residential use</t>
  </si>
  <si>
    <t>Annual idle hours</t>
  </si>
  <si>
    <t>Annual sleep hours</t>
  </si>
  <si>
    <t>Annual off hours</t>
  </si>
  <si>
    <t>Power managed, Turned off</t>
  </si>
  <si>
    <t>Not power managed, Turned off</t>
  </si>
  <si>
    <t>Power managed, Left on</t>
  </si>
  <si>
    <t>Not power managed, Left on</t>
  </si>
  <si>
    <t>Annual operating hours - weighted average Commercial</t>
  </si>
  <si>
    <t>Annual operating hours - weighted average Residential</t>
  </si>
  <si>
    <t>Equipment lifetime (years)</t>
  </si>
  <si>
    <t xml:space="preserve"> References</t>
  </si>
  <si>
    <t>- EPA research on available products, 2013</t>
  </si>
  <si>
    <t>Turn-off rate:</t>
  </si>
  <si>
    <t>- Default percentage of computers turned off each night is assumed based upon 2004 Lawrence Berkeley National Lab Report</t>
  </si>
  <si>
    <t xml:space="preserve">  "After-hours Power Status of Office Equipment and Inventory of Miscellaneous Plug-Load Equipment"</t>
  </si>
  <si>
    <t>Operating Hours:</t>
  </si>
  <si>
    <t xml:space="preserve">- "Office Technology Energy Use and Savings Potential in New York." Piette, M. A., M. Cramer, J. Eto and J. Koomey. 1995. </t>
  </si>
  <si>
    <t xml:space="preserve">  Prepared for the NY State Energy R&amp;D Authority and Con-Ed by LBNL. Lawrence Berkeley Laboratory. LBL-36752.  January 1995. p. 4-2.</t>
  </si>
  <si>
    <t>Lifetime:</t>
  </si>
  <si>
    <t>- U.S. Department of Energy, energy conservation standards rulemaking analysis</t>
  </si>
  <si>
    <t xml:space="preserve"> Definition of Performance Levels</t>
  </si>
  <si>
    <t>Performance Levels Used in Calculator</t>
  </si>
  <si>
    <t>ENERGY STAR Specification, Table 6</t>
  </si>
  <si>
    <t>Graphics Capability</t>
  </si>
  <si>
    <t>Performance Score</t>
  </si>
  <si>
    <t>Any Graphics</t>
  </si>
  <si>
    <r>
      <t>P</t>
    </r>
    <r>
      <rPr>
        <sz val="9"/>
        <rFont val="Arial"/>
        <family val="2"/>
      </rPr>
      <t xml:space="preserve"> ≤ 3</t>
    </r>
  </si>
  <si>
    <t>dGfx ≤ G7</t>
  </si>
  <si>
    <t>I1</t>
  </si>
  <si>
    <t>Integrated or Switchable Graphics</t>
  </si>
  <si>
    <r>
      <t xml:space="preserve">3 &lt; </t>
    </r>
    <r>
      <rPr>
        <i/>
        <sz val="9"/>
        <rFont val="Arial"/>
        <family val="2"/>
      </rPr>
      <t>P</t>
    </r>
    <r>
      <rPr>
        <sz val="9"/>
        <rFont val="Arial"/>
        <family val="2"/>
      </rPr>
      <t xml:space="preserve"> ≤ 6</t>
    </r>
  </si>
  <si>
    <t>I2</t>
  </si>
  <si>
    <t>6 &lt; P ≤ 7</t>
  </si>
  <si>
    <t>I3</t>
  </si>
  <si>
    <r>
      <t>P</t>
    </r>
    <r>
      <rPr>
        <sz val="9"/>
        <rFont val="Arial"/>
        <family val="2"/>
      </rPr>
      <t xml:space="preserve"> &gt; 7</t>
    </r>
  </si>
  <si>
    <t>D1</t>
  </si>
  <si>
    <t>Discrete Graphics</t>
  </si>
  <si>
    <r>
      <t xml:space="preserve">3 &lt; </t>
    </r>
    <r>
      <rPr>
        <i/>
        <sz val="9"/>
        <rFont val="Arial"/>
        <family val="2"/>
      </rPr>
      <t>P</t>
    </r>
    <r>
      <rPr>
        <sz val="9"/>
        <rFont val="Arial"/>
        <family val="2"/>
      </rPr>
      <t xml:space="preserve"> ≤ 9</t>
    </r>
  </si>
  <si>
    <t>D2</t>
  </si>
  <si>
    <r>
      <t>P</t>
    </r>
    <r>
      <rPr>
        <sz val="9"/>
        <rFont val="Arial"/>
        <family val="2"/>
      </rPr>
      <t xml:space="preserve"> &gt; 9</t>
    </r>
  </si>
  <si>
    <t>GDP Price Deflators (Taken from SIW)</t>
  </si>
  <si>
    <t>Xcel Energy Table:</t>
  </si>
  <si>
    <t>https://www.xcelenergy.com/staticfiles/xe/Regulatory/Regulatory%20PDFs/ES_RetailerIncentiveFile.pdf</t>
  </si>
  <si>
    <t>Xcel Energy Link:</t>
  </si>
  <si>
    <r>
      <rPr>
        <b/>
        <sz val="11"/>
        <color theme="1"/>
        <rFont val="Calibri"/>
        <family val="2"/>
        <scheme val="minor"/>
      </rPr>
      <t>Notes</t>
    </r>
    <r>
      <rPr>
        <sz val="10"/>
        <rFont val="Arial"/>
        <family val="2"/>
      </rPr>
      <t>: CEC did a match pair analysis of a few computer displays. The results of their analysis are in three graphs pasted below. Although these graphs don’t give us an exact incremental cost number, they give us a fair idea. Incremental costs regardless of size seem to fall between the $0 and $ 10 range for the difference between conventional and efficient test units. 
The RTF small saver workbook uses a hard coded value of $ 12 for incremental cost.
The only other source I could find was Xcel energy (Colorado). They use an incremental cost of $ 8.75 to go from an Energy Star to an Energy Star + standard. I have pasted the link and worksheet below.</t>
    </r>
  </si>
  <si>
    <t>http://www.energy.ca.gov/appliances/2013rulemaking/documents/proposals/12-AAER-2A_Consumer_Electronics/California_IOUs_Supplemental_Technical_Report_Electronic_Displays_2014-01-08_TN-72475.pdf</t>
  </si>
  <si>
    <t>Report Link:</t>
  </si>
  <si>
    <t>Upper Limit</t>
  </si>
  <si>
    <t>Lower Limit</t>
  </si>
  <si>
    <t>2012$</t>
  </si>
  <si>
    <t>2013$</t>
  </si>
  <si>
    <t>Incremental cost values in above table are in 2013  $.</t>
  </si>
  <si>
    <t>Solid State Drive incremental cost is in 2015 $ (projected). This needs to be derated for 2013 $; however, costs for SSD are falling as well. We assume that the cost derating from 2015 to 2013, and the natural price drop from 2013 to 2015 balance each other out. So, assume 2015 costs apply in 2013 as well.</t>
  </si>
  <si>
    <t>http://www.energy.ca.gov/appliances/2013rulemaking/documents/proposals/12-AAER-2A_Consumer_Electronics/California_IOUs_Standards_Proposal_Computers_UPDATED_2013-08-06_TN-71813.pdf</t>
  </si>
  <si>
    <t xml:space="preserve">Report link: </t>
  </si>
  <si>
    <t>Laptop Computers</t>
  </si>
  <si>
    <t>Incremental cost values in above table are in 2013 $.</t>
  </si>
  <si>
    <t>Desktop Computers</t>
  </si>
  <si>
    <r>
      <t>Energy Star states that "Competitive pricing and manufacturing costs make incremental costs difficult to calculate—particularly as new CE products often cost more than traditional products when first introduced—but then quickly drop in price. Further, while CE prices may accurately reflect features and demand, it is difficult to attribute a cost differential to the energy-efficiency features alone when the components that offer key performance features are also contributing to the product’s improved energy performance. (</t>
    </r>
    <r>
      <rPr>
        <u/>
        <sz val="11"/>
        <color theme="1"/>
        <rFont val="Calibri"/>
        <family val="2"/>
        <scheme val="minor"/>
      </rPr>
      <t>http://www.energystar.gov/ia/partners/downloads/CE_Guide.pdf</t>
    </r>
    <r>
      <rPr>
        <sz val="10"/>
        <rFont val="Arial"/>
        <family val="2"/>
      </rPr>
      <t>)</t>
    </r>
  </si>
  <si>
    <t>These data are not for ENERGY STAR's latest standard. But it is a cost to upgrade efficiency in conmputers. The computer and monitor market is constantly evolving, I found no studies that pointed to incremental costs for Energy Star machines/ monitors specifically.</t>
  </si>
  <si>
    <t>CEC technology reports for title 20 standard development. They conducted a match pair cost analysis on computers and monitors. Although this data is a little old (2 years), this is the best available.</t>
  </si>
  <si>
    <t xml:space="preserve">Incremental cost data for these equipment are hard to collect. </t>
  </si>
  <si>
    <t>Computer Monitor Calculations for the ENERGY STAR Office Equipment Calculator</t>
  </si>
  <si>
    <t xml:space="preserve"> INPUTS - to edit these values go to the INPUTS tab</t>
  </si>
  <si>
    <t>Default</t>
  </si>
  <si>
    <t>Diagonal screen size (inches)</t>
  </si>
  <si>
    <t xml:space="preserve"> Assumptions - users can edit the highlighted cells to modify the assumptions</t>
  </si>
  <si>
    <t>Screen Area (square inches)</t>
  </si>
  <si>
    <t>Resolution 1 (pixels)</t>
  </si>
  <si>
    <t>Resolution 2 (pixels)</t>
  </si>
  <si>
    <t>Total Resolution (megapixels)</t>
  </si>
  <si>
    <t>Active wattage (W)</t>
  </si>
  <si>
    <t>Diagonal Screen Size</t>
  </si>
  <si>
    <t>Less than 12 inches</t>
  </si>
  <si>
    <t>12.0 - 16.9 inches</t>
  </si>
  <si>
    <t>17.0 - 22.9 inches</t>
  </si>
  <si>
    <t>23.0 - 24.9 inches</t>
  </si>
  <si>
    <t>25.0 - 29.9 inches</t>
  </si>
  <si>
    <t>30.0 - 60.9 inches</t>
  </si>
  <si>
    <t>Annual active hours</t>
  </si>
  <si>
    <t>Annual operating hours - weighted average for Residential</t>
  </si>
  <si>
    <t>- ENERGY STAR level: ENERGY STAR specification V6.0</t>
  </si>
  <si>
    <t>- Conventional: ENERGY STAR specification V5.1</t>
  </si>
  <si>
    <t>Screen size &amp; resolution:</t>
  </si>
  <si>
    <t>- ENERGY STAR Certified Product List</t>
  </si>
  <si>
    <t>- "Efficiency Improvements in U.S. Office Equipment: Expected Policy Impacts and Uncertainties", Koomey, Cramer, Piette, Eto. Lawrence Berkeley National Laboratory. 1995. Table 3.</t>
  </si>
  <si>
    <t xml:space="preserve"> Annual electricity consumption per desktop computer (kWh)</t>
  </si>
  <si>
    <t>Performance Level</t>
  </si>
  <si>
    <t>Energy Star</t>
  </si>
  <si>
    <t>Weighting*</t>
  </si>
  <si>
    <t>Low budget/ grade model</t>
  </si>
  <si>
    <t>Medium budget/ grade model</t>
  </si>
  <si>
    <t>High budget/ grade model</t>
  </si>
  <si>
    <t>*Weighting is based on availability of machines per Energy Star's product list</t>
  </si>
  <si>
    <t xml:space="preserve">Assumed EUL: </t>
  </si>
  <si>
    <t>Years</t>
  </si>
  <si>
    <t xml:space="preserve"> Annual electricity consumption per computer (kWh)</t>
  </si>
  <si>
    <t>Monnitors</t>
  </si>
  <si>
    <t xml:space="preserve"> Annual electricity consumption per display (kWh)</t>
  </si>
  <si>
    <t>Monitor Size</t>
  </si>
  <si>
    <t>Weighting</t>
  </si>
  <si>
    <t>Laptop Computer Calculations for the ENERGY STAR Office Equipment Calculator</t>
  </si>
  <si>
    <t>Performance Level 
(see detailed descriptions below)</t>
  </si>
  <si>
    <t>Selected</t>
  </si>
  <si>
    <t>P ≤ 3</t>
  </si>
  <si>
    <t>3 &lt; P ≤ 6</t>
  </si>
  <si>
    <t>P &gt; 7</t>
  </si>
  <si>
    <t>3 &lt; P ≤ 9</t>
  </si>
  <si>
    <t>P &gt; 9</t>
  </si>
  <si>
    <t>Com Savings</t>
  </si>
  <si>
    <t>Res Savings</t>
  </si>
  <si>
    <t>ENERGY STAR Monitors</t>
  </si>
  <si>
    <t>ENERGY STAR Desktops</t>
  </si>
  <si>
    <t>ENERGY STAR Laptops</t>
  </si>
  <si>
    <t>https://www.energystar.gov/ia/partners/downloads/unit_shipment_data/2013_USD_Summary_Report.pdf?2212-4850</t>
  </si>
  <si>
    <t>ENERGY STAR Shipment Data</t>
  </si>
  <si>
    <t>As of 2013</t>
  </si>
  <si>
    <t>Cost</t>
  </si>
  <si>
    <t>ENERGY STAR LCD Display</t>
  </si>
  <si>
    <t>ENERGY STAR Desktop</t>
  </si>
  <si>
    <t>ENERGY STAR Notebook</t>
  </si>
  <si>
    <t>No Changes from Raw</t>
  </si>
  <si>
    <t>Notebooks</t>
  </si>
  <si>
    <t>New Homes only.  Also use this to calculate New Homes not addressed due to achievability, and send that to the Retrofit pool.</t>
  </si>
  <si>
    <t>NR</t>
  </si>
  <si>
    <t>Natural replacement</t>
  </si>
  <si>
    <t>ONLY INCLUDE AFTER ONE EUL</t>
  </si>
  <si>
    <t>Turnover</t>
  </si>
  <si>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</si>
  <si>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</si>
  <si>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</si>
  <si>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</si>
  <si>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</si>
  <si>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</si>
  <si>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</si>
  <si>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</si>
  <si>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</si>
  <si>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</si>
  <si>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</si>
  <si>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</si>
  <si>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</si>
  <si>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Measure Life</t>
  </si>
  <si>
    <t>Savings Shape</t>
  </si>
  <si>
    <t>Achievability Ramp Rate</t>
  </si>
  <si>
    <t>ENERGY STAR desktops, laptops and monitors</t>
  </si>
  <si>
    <t>ENERGY STAR Computers &amp; Displays</t>
  </si>
  <si>
    <t>ENERGY STAR calculator</t>
  </si>
  <si>
    <t>\\nas2\Q\SeventhPlan\Conservation Analysis\Global EE Inputs\Units Forecasts\[7P Forecasts D1.xlsx]</t>
  </si>
  <si>
    <t># of units per home from RBSA</t>
  </si>
  <si>
    <t>ENERGY STAR shipment data (2013)</t>
  </si>
  <si>
    <t>Retro or LO</t>
  </si>
  <si>
    <t>Early Retrofit Parameters</t>
  </si>
  <si>
    <t>R or L</t>
  </si>
  <si>
    <t>Savings 2
(kWh)</t>
  </si>
  <si>
    <t>Remaining
Life (yrs)</t>
  </si>
  <si>
    <t>Salvage Value ($)</t>
  </si>
  <si>
    <t>L</t>
  </si>
  <si>
    <t>aMW</t>
  </si>
  <si>
    <t>Existing</t>
  </si>
  <si>
    <t>Desktop PC(+monitor)</t>
  </si>
  <si>
    <t>Laptop PC</t>
  </si>
  <si>
    <t>UNITS PER HOME (2012)</t>
  </si>
  <si>
    <t>R-All-Elec-Comp-All-All-R</t>
  </si>
  <si>
    <t>R-All-Elec-Monitor-All-All-R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</si>
  <si>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</si>
  <si>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</si>
  <si>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</si>
  <si>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</si>
  <si>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</si>
  <si>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</si>
  <si>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</si>
  <si>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</si>
  <si>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</si>
  <si>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</si>
  <si>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</si>
  <si>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</si>
  <si>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</si>
  <si>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</si>
  <si>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</si>
  <si>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</si>
  <si>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</si>
  <si>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</si>
  <si>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</si>
  <si>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</si>
  <si>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</si>
  <si>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</si>
  <si>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</si>
  <si>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</si>
  <si>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</si>
  <si>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</si>
  <si>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</si>
  <si>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</si>
  <si>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</si>
  <si>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</si>
  <si>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</si>
  <si>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</si>
  <si>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</si>
  <si>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</si>
  <si>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</si>
  <si>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</si>
  <si>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</si>
  <si>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</si>
  <si>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</si>
  <si>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</si>
  <si>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</si>
  <si>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</si>
  <si>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</si>
  <si>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</si>
  <si>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</si>
  <si>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</si>
  <si>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</si>
  <si>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</si>
  <si>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</si>
  <si>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</si>
  <si>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</si>
  <si>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</si>
  <si>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</si>
  <si>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</si>
  <si>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</si>
  <si>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</si>
  <si>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</si>
  <si>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</si>
  <si>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</si>
  <si>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</si>
  <si>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</si>
  <si>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</si>
  <si>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</si>
  <si>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</si>
  <si>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</si>
  <si>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</si>
  <si>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</si>
  <si>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</si>
  <si>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</si>
  <si>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</si>
  <si>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</si>
  <si>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</si>
  <si>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</si>
  <si>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</si>
  <si>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</si>
  <si>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</si>
  <si>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</si>
  <si>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</si>
  <si>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</si>
  <si>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</si>
  <si>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</si>
  <si>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</si>
  <si>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</si>
  <si>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</si>
  <si>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</si>
  <si>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</si>
  <si>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</si>
  <si>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</si>
  <si>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</si>
  <si>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</si>
  <si>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</si>
  <si>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</si>
  <si>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</si>
  <si>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</si>
  <si>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</si>
  <si>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</si>
  <si>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</si>
  <si>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</si>
  <si>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</si>
  <si>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</si>
  <si>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</si>
  <si>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</si>
  <si>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</si>
  <si>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</si>
  <si>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</si>
  <si>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</si>
  <si>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</si>
  <si>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</si>
  <si>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</si>
  <si>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</si>
  <si>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</si>
  <si>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</si>
  <si>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</si>
  <si>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</si>
  <si>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</si>
  <si>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</si>
  <si>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</si>
  <si>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</si>
  <si>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</si>
  <si>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</si>
  <si>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</si>
  <si>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</si>
  <si>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</si>
  <si>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</si>
  <si>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</si>
  <si>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</si>
  <si>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</si>
  <si>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</si>
  <si>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</si>
  <si>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</si>
  <si>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</si>
  <si>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</si>
  <si>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</si>
  <si>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</si>
  <si>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</si>
  <si>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</si>
  <si>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</si>
  <si>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</si>
  <si>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</si>
  <si>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</si>
  <si>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</si>
  <si>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</si>
  <si>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</si>
  <si>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</si>
  <si>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</si>
  <si>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</si>
  <si>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</si>
  <si>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</si>
  <si>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</si>
  <si>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</si>
  <si>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</si>
  <si>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</si>
  <si>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</si>
  <si>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</si>
  <si>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</si>
  <si>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</si>
  <si>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</si>
  <si>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</si>
  <si>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</si>
  <si>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</si>
  <si>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</si>
  <si>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</si>
  <si>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</si>
  <si>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</si>
  <si>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</si>
  <si>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</si>
  <si>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</si>
  <si>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</si>
  <si>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</si>
  <si>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</si>
  <si>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</si>
  <si>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</si>
  <si>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</si>
  <si>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</si>
  <si>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</si>
  <si>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</si>
  <si>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</si>
  <si>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</si>
  <si>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</si>
  <si>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 units changes over forecast horizon</t>
  </si>
  <si>
    <t>RBSA metered computer and monitor</t>
  </si>
  <si>
    <t>Calculator updated August 2014</t>
  </si>
  <si>
    <t>Using current ENERGY STAR specs throughout horizon</t>
  </si>
  <si>
    <t>Market changing quickly, ENERGY STAR working on v7 for displays, draft likely to be released early 2015</t>
  </si>
  <si>
    <t>New specs</t>
  </si>
  <si>
    <t>Based on new forecast</t>
  </si>
  <si>
    <t>increase in baseline saturation from 6P from 10%-15%</t>
  </si>
  <si>
    <t>6P used a specialized ramp rate for electronics, similar to LO Fast</t>
  </si>
  <si>
    <t>New metered data</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</si>
  <si>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</si>
  <si>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</si>
  <si>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</si>
  <si>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</si>
  <si>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</si>
  <si>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</si>
  <si>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</si>
  <si>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</si>
  <si>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</si>
  <si>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</si>
  <si>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</si>
  <si>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</si>
  <si>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</si>
  <si>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</si>
  <si>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</si>
  <si>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</si>
  <si>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</si>
  <si>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</si>
  <si>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</si>
  <si>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</si>
  <si>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</si>
  <si>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</si>
  <si>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</si>
  <si>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</si>
  <si>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</si>
  <si>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</si>
  <si>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</si>
  <si>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</si>
  <si>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</si>
  <si>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</si>
  <si>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</si>
  <si>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</si>
  <si>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</si>
  <si>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</si>
  <si>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</si>
  <si>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</si>
  <si>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</si>
  <si>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Computer - ESv6.1, eff 9/10/14, Displays - ESv6.0 eff 6/1/13</t>
  </si>
  <si>
    <t>Block 2: 0-10 mills/kWh</t>
  </si>
  <si>
    <t>Ramp Rate</t>
  </si>
  <si>
    <t>Resource Type</t>
  </si>
  <si>
    <t>Sector</t>
  </si>
  <si>
    <t>End Use</t>
  </si>
  <si>
    <t>kW per unit</t>
  </si>
  <si>
    <t>kWh per unit</t>
  </si>
  <si>
    <t>50Fast</t>
  </si>
  <si>
    <t>End Use:</t>
  </si>
  <si>
    <t>Measure Category</t>
  </si>
  <si>
    <t>TRC Net Levelized Cost (Net of All Benefits)</t>
  </si>
  <si>
    <t>Existing homes</t>
  </si>
  <si>
    <t>Home Electronics</t>
  </si>
  <si>
    <t>Units Per Household</t>
  </si>
  <si>
    <t>Televisions (All Types &amp; Sizes)</t>
  </si>
  <si>
    <t>&lt;32"</t>
  </si>
  <si>
    <t>32" - 46"</t>
  </si>
  <si>
    <t>&gt;46"</t>
  </si>
  <si>
    <t>Set-Top Box</t>
  </si>
  <si>
    <t>Without DVR Capability</t>
  </si>
  <si>
    <t>With DVR Capability</t>
  </si>
  <si>
    <t>Computer Monitor</t>
  </si>
  <si>
    <t>&lt;=20"</t>
  </si>
  <si>
    <t>&gt;20"</t>
  </si>
  <si>
    <t>Game Consoles</t>
  </si>
  <si>
    <t>Standard not avail until March 2013?</t>
  </si>
  <si>
    <t>Non-ENERGY STAR</t>
  </si>
  <si>
    <t>Table 7. Home Electronic Saturations – Single Family Region</t>
  </si>
  <si>
    <t xml:space="preserve"> Using MH as a proxy for number of notebooks versus desktops for MF since we don't have refined data table</t>
  </si>
  <si>
    <t>From Residential background file Jan 2015 version.xls</t>
  </si>
  <si>
    <t>forecast of % saturation in region, based on NEMS (not actual state-level saturation)</t>
  </si>
  <si>
    <t>Normalized to 2012 #s</t>
  </si>
  <si>
    <t>Although ENERGY STAR assumes 4 years, other data suggest consumer desktops have longer lives. 5 years better corresponds with sales data</t>
  </si>
  <si>
    <t>Friday, 6 March , 2015 at 1:51 PM</t>
  </si>
  <si>
    <t>Total Max Potential (aMW)</t>
  </si>
</sst>
</file>

<file path=xl/styles.xml><?xml version="1.0" encoding="utf-8"?>
<styleSheet xmlns="http://schemas.openxmlformats.org/spreadsheetml/2006/main">
  <numFmts count="1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_(* #,##0.0_);_(* \(#,##0.0\);_(* &quot;-&quot;?_);_(@_)"/>
    <numFmt numFmtId="171" formatCode="_(* #,##0_);_(* \(#,##0\);_(* &quot;-&quot;??_);_(@_)"/>
    <numFmt numFmtId="172" formatCode="&quot;$&quot;#,##0.00"/>
    <numFmt numFmtId="173" formatCode="mmm\-yyyy"/>
    <numFmt numFmtId="174" formatCode="0.0;[Red]\-0.0"/>
    <numFmt numFmtId="175" formatCode="\ "/>
  </numFmts>
  <fonts count="100">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u/>
      <sz val="10"/>
      <color theme="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b/>
      <sz val="11"/>
      <color indexed="56"/>
      <name val="Calibri"/>
      <family val="2"/>
    </font>
    <font>
      <u/>
      <sz val="10"/>
      <color indexed="12"/>
      <name val="Arial"/>
      <family val="2"/>
    </font>
    <font>
      <u/>
      <sz val="7"/>
      <color indexed="12"/>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Arial"/>
      <family val="2"/>
    </font>
    <font>
      <sz val="9"/>
      <name val="Arial"/>
      <family val="2"/>
    </font>
    <font>
      <b/>
      <sz val="11"/>
      <name val="Arial"/>
      <family val="2"/>
    </font>
    <font>
      <b/>
      <sz val="13"/>
      <name val="Arial"/>
      <family val="2"/>
    </font>
    <font>
      <sz val="8"/>
      <color indexed="45"/>
      <name val="Arial"/>
      <family val="2"/>
    </font>
    <font>
      <i/>
      <sz val="11"/>
      <name val="Arial"/>
      <family val="2"/>
    </font>
    <font>
      <sz val="9"/>
      <color indexed="57"/>
      <name val="Arial"/>
      <family val="2"/>
    </font>
    <font>
      <sz val="9"/>
      <color indexed="49"/>
      <name val="Arial"/>
      <family val="2"/>
    </font>
    <font>
      <sz val="8"/>
      <name val="Arial"/>
      <family val="2"/>
    </font>
    <font>
      <sz val="9"/>
      <color indexed="9"/>
      <name val="Arial"/>
      <family val="2"/>
    </font>
    <font>
      <i/>
      <sz val="8.5"/>
      <color rgb="FFFF3399"/>
      <name val="Arial"/>
      <family val="2"/>
    </font>
    <font>
      <b/>
      <sz val="10.5"/>
      <name val="Arial"/>
      <family val="2"/>
    </font>
    <font>
      <sz val="9"/>
      <color indexed="55"/>
      <name val="Arial"/>
      <family val="2"/>
    </font>
    <font>
      <b/>
      <sz val="9"/>
      <color indexed="8"/>
      <name val="Arial"/>
      <family val="2"/>
    </font>
    <font>
      <sz val="8"/>
      <color indexed="22"/>
      <name val="Arial"/>
      <family val="2"/>
    </font>
    <font>
      <sz val="8"/>
      <color indexed="18"/>
      <name val="Arial"/>
      <family val="2"/>
    </font>
    <font>
      <b/>
      <i/>
      <sz val="9"/>
      <color rgb="FFFF0000"/>
      <name val="Arial"/>
      <family val="2"/>
    </font>
    <font>
      <sz val="9"/>
      <color indexed="40"/>
      <name val="Arial"/>
      <family val="2"/>
    </font>
    <font>
      <u/>
      <sz val="9"/>
      <color indexed="12"/>
      <name val="Arial"/>
      <family val="2"/>
    </font>
    <font>
      <i/>
      <sz val="9"/>
      <color rgb="FFFF3399"/>
      <name val="Arial"/>
      <family val="2"/>
    </font>
    <font>
      <i/>
      <sz val="9"/>
      <name val="Arial"/>
      <family val="2"/>
    </font>
    <font>
      <sz val="9"/>
      <color indexed="10"/>
      <name val="Arial"/>
      <family val="2"/>
    </font>
    <font>
      <sz val="9"/>
      <color indexed="8"/>
      <name val="Arial"/>
      <family val="2"/>
    </font>
    <font>
      <b/>
      <u/>
      <sz val="11"/>
      <color theme="1"/>
      <name val="Calibri"/>
      <family val="2"/>
      <scheme val="minor"/>
    </font>
    <font>
      <b/>
      <i/>
      <u/>
      <sz val="11"/>
      <color theme="1"/>
      <name val="Calibri"/>
      <family val="2"/>
      <scheme val="minor"/>
    </font>
    <font>
      <u/>
      <sz val="11"/>
      <color theme="1"/>
      <name val="Calibri"/>
      <family val="2"/>
      <scheme val="minor"/>
    </font>
    <font>
      <sz val="11"/>
      <color indexed="14"/>
      <name val="Calibri"/>
      <family val="2"/>
    </font>
    <font>
      <b/>
      <sz val="15"/>
      <color indexed="62"/>
      <name val="Calibri"/>
      <family val="2"/>
    </font>
    <font>
      <b/>
      <sz val="13"/>
      <color indexed="56"/>
      <name val="Calibri"/>
      <family val="2"/>
    </font>
    <font>
      <b/>
      <sz val="11"/>
      <color indexed="62"/>
      <name val="Calibri"/>
      <family val="2"/>
    </font>
    <font>
      <sz val="10"/>
      <name val="Verdana"/>
      <family val="2"/>
    </font>
    <font>
      <sz val="10"/>
      <name val="Helv"/>
      <charset val="204"/>
    </font>
    <font>
      <b/>
      <sz val="18"/>
      <color indexed="62"/>
      <name val="Cambria"/>
      <family val="2"/>
    </font>
    <font>
      <b/>
      <i/>
      <sz val="10"/>
      <color rgb="FF0070C0"/>
      <name val="Arial"/>
      <family val="2"/>
    </font>
    <font>
      <sz val="10"/>
      <color rgb="FF0070C0"/>
      <name val="Arial"/>
      <family val="2"/>
    </font>
    <font>
      <i/>
      <sz val="9"/>
      <color rgb="FFFF0000"/>
      <name val="Arial"/>
      <family val="2"/>
    </font>
    <font>
      <b/>
      <i/>
      <u/>
      <sz val="11"/>
      <name val="Century"/>
      <family val="1"/>
    </font>
    <font>
      <sz val="11"/>
      <color theme="1"/>
      <name val="Century"/>
      <family val="1"/>
    </font>
    <font>
      <b/>
      <sz val="11"/>
      <name val="Century"/>
      <family val="1"/>
    </font>
    <font>
      <sz val="8"/>
      <name val="Century"/>
      <family val="1"/>
    </font>
    <font>
      <sz val="9"/>
      <name val="Century"/>
      <family val="1"/>
    </font>
    <font>
      <b/>
      <sz val="8"/>
      <name val="Century"/>
      <family val="1"/>
    </font>
    <font>
      <sz val="9"/>
      <color indexed="49"/>
      <name val="Century"/>
      <family val="1"/>
    </font>
    <font>
      <b/>
      <i/>
      <sz val="11"/>
      <name val="Century"/>
      <family val="1"/>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0"/>
      <name val="Times New Roman"/>
      <family val="1"/>
    </font>
    <font>
      <b/>
      <sz val="10"/>
      <color indexed="8"/>
      <name val="Arial"/>
      <family val="2"/>
    </font>
    <font>
      <u/>
      <sz val="10"/>
      <color indexed="12"/>
      <name val="Times New Roman"/>
      <family val="1"/>
    </font>
    <font>
      <u/>
      <sz val="11"/>
      <color theme="10"/>
      <name val="Calibri"/>
      <family val="2"/>
    </font>
    <font>
      <u/>
      <sz val="11"/>
      <color theme="10"/>
      <name val="Calibri"/>
      <family val="2"/>
      <scheme val="minor"/>
    </font>
    <font>
      <sz val="12"/>
      <name val="Helv"/>
    </font>
    <font>
      <sz val="10"/>
      <name val="굴림"/>
      <family val="3"/>
      <charset val="129"/>
    </font>
    <font>
      <sz val="10"/>
      <color indexed="10"/>
      <name val="Arial"/>
      <family val="2"/>
    </font>
    <font>
      <b/>
      <sz val="9"/>
      <color theme="1"/>
      <name val="Arial"/>
      <family val="2"/>
    </font>
    <font>
      <sz val="6"/>
      <color theme="1"/>
      <name val="Arial"/>
      <family val="2"/>
    </font>
  </fonts>
  <fills count="81">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indexed="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E1FFFF"/>
        <bgColor indexed="64"/>
      </patternFill>
    </fill>
    <fill>
      <patternFill patternType="solid">
        <fgColor indexed="9"/>
      </patternFill>
    </fill>
    <fill>
      <patternFill patternType="solid">
        <fgColor indexed="41"/>
      </patternFill>
    </fill>
    <fill>
      <patternFill patternType="solid">
        <fgColor indexed="19"/>
      </patternFill>
    </fill>
    <fill>
      <patternFill patternType="solid">
        <fgColor indexed="54"/>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13"/>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4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s>
  <cellStyleXfs count="518">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0" borderId="0"/>
    <xf numFmtId="0" fontId="5" fillId="9" borderId="0" applyNumberFormat="0" applyAlignment="0">
      <alignment horizontal="right"/>
    </xf>
    <xf numFmtId="0" fontId="5" fillId="8" borderId="0" applyNumberFormat="0" applyAlignment="0"/>
    <xf numFmtId="169" fontId="15" fillId="0" borderId="0"/>
    <xf numFmtId="0" fontId="16" fillId="0" borderId="0">
      <alignment horizontal="center" wrapText="1"/>
    </xf>
    <xf numFmtId="9" fontId="5"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0" fontId="5" fillId="0" borderId="0">
      <alignment readingOrder="1"/>
    </xf>
    <xf numFmtId="43" fontId="5" fillId="0" borderId="0" applyFont="0" applyFill="0" applyBorder="0" applyAlignment="0" applyProtection="0"/>
    <xf numFmtId="0" fontId="5" fillId="0" borderId="0">
      <alignment readingOrder="1"/>
    </xf>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5" borderId="0" applyNumberFormat="0" applyBorder="0" applyAlignment="0" applyProtection="0"/>
    <xf numFmtId="0" fontId="24" fillId="19" borderId="0" applyNumberFormat="0" applyBorder="0" applyAlignment="0" applyProtection="0"/>
    <xf numFmtId="0" fontId="25" fillId="36" borderId="18" applyNumberFormat="0" applyAlignment="0" applyProtection="0"/>
    <xf numFmtId="0" fontId="26" fillId="37" borderId="19"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27" fillId="0" borderId="0" applyNumberFormat="0" applyFill="0" applyBorder="0" applyAlignment="0" applyProtection="0"/>
    <xf numFmtId="0" fontId="28" fillId="20" borderId="0" applyNumberFormat="0" applyBorder="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21"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4" fillId="23" borderId="18" applyNumberFormat="0" applyAlignment="0" applyProtection="0"/>
    <xf numFmtId="0" fontId="35" fillId="0" borderId="23" applyNumberFormat="0" applyFill="0" applyAlignment="0" applyProtection="0"/>
    <xf numFmtId="0" fontId="36" fillId="38" borderId="0" applyNumberFormat="0" applyBorder="0" applyAlignment="0" applyProtection="0"/>
    <xf numFmtId="0" fontId="22" fillId="0" borderId="0"/>
    <xf numFmtId="0" fontId="22" fillId="0" borderId="0"/>
    <xf numFmtId="0" fontId="22" fillId="0" borderId="0"/>
    <xf numFmtId="0" fontId="5" fillId="0" borderId="0"/>
    <xf numFmtId="0" fontId="20" fillId="0" borderId="0"/>
    <xf numFmtId="0" fontId="20" fillId="0" borderId="0"/>
    <xf numFmtId="0" fontId="5" fillId="0" borderId="0"/>
    <xf numFmtId="0" fontId="5" fillId="0" borderId="0"/>
    <xf numFmtId="0" fontId="5" fillId="0" borderId="0"/>
    <xf numFmtId="0" fontId="22" fillId="0" borderId="0"/>
    <xf numFmtId="0" fontId="22" fillId="0" borderId="0"/>
    <xf numFmtId="0" fontId="5" fillId="0" borderId="0">
      <alignment readingOrder="1"/>
    </xf>
    <xf numFmtId="0" fontId="5" fillId="0" borderId="0">
      <alignment readingOrder="1"/>
    </xf>
    <xf numFmtId="0" fontId="22" fillId="0" borderId="0"/>
    <xf numFmtId="0" fontId="5" fillId="0" borderId="0">
      <alignment readingOrder="1"/>
    </xf>
    <xf numFmtId="0" fontId="5" fillId="0" borderId="0"/>
    <xf numFmtId="0" fontId="5" fillId="0" borderId="0"/>
    <xf numFmtId="0" fontId="5" fillId="0" borderId="0"/>
    <xf numFmtId="0" fontId="5" fillId="0" borderId="0"/>
    <xf numFmtId="0" fontId="20" fillId="0" borderId="0"/>
    <xf numFmtId="0" fontId="22" fillId="0" borderId="0"/>
    <xf numFmtId="0" fontId="20" fillId="0" borderId="0"/>
    <xf numFmtId="0" fontId="22" fillId="0" borderId="0"/>
    <xf numFmtId="0" fontId="22" fillId="0" borderId="0"/>
    <xf numFmtId="0" fontId="37" fillId="0" borderId="0"/>
    <xf numFmtId="0" fontId="22" fillId="0" borderId="0"/>
    <xf numFmtId="0" fontId="22" fillId="0" borderId="0"/>
    <xf numFmtId="0" fontId="22" fillId="0" borderId="0"/>
    <xf numFmtId="0" fontId="22" fillId="0" borderId="0"/>
    <xf numFmtId="0" fontId="5" fillId="0" borderId="0">
      <alignment readingOrder="1"/>
    </xf>
    <xf numFmtId="0" fontId="5" fillId="0" borderId="0">
      <alignment readingOrder="1"/>
    </xf>
    <xf numFmtId="0" fontId="22" fillId="39" borderId="24" applyNumberFormat="0" applyFont="0" applyAlignment="0" applyProtection="0"/>
    <xf numFmtId="0" fontId="22" fillId="39" borderId="24" applyNumberFormat="0" applyFont="0" applyAlignment="0" applyProtection="0"/>
    <xf numFmtId="0" fontId="38" fillId="36" borderId="25" applyNumberFormat="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5" fillId="0" borderId="0"/>
    <xf numFmtId="0" fontId="5" fillId="0" borderId="0"/>
    <xf numFmtId="0" fontId="21" fillId="0" borderId="0" applyNumberFormat="0" applyFill="0" applyBorder="0" applyAlignment="0" applyProtection="0">
      <alignment readingOrder="1"/>
    </xf>
    <xf numFmtId="0" fontId="5" fillId="0" borderId="0"/>
    <xf numFmtId="44" fontId="20" fillId="0" borderId="0" applyFont="0" applyFill="0" applyBorder="0" applyAlignment="0" applyProtection="0"/>
    <xf numFmtId="0" fontId="5" fillId="0" borderId="0"/>
    <xf numFmtId="0" fontId="2" fillId="0" borderId="0"/>
    <xf numFmtId="0" fontId="22" fillId="42"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6"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36" borderId="0" applyNumberFormat="0" applyBorder="0" applyAlignment="0" applyProtection="0"/>
    <xf numFmtId="0" fontId="22" fillId="23" borderId="0" applyNumberFormat="0" applyBorder="0" applyAlignment="0" applyProtection="0"/>
    <xf numFmtId="0" fontId="23" fillId="30" borderId="0" applyNumberFormat="0" applyBorder="0" applyAlignment="0" applyProtection="0"/>
    <xf numFmtId="0" fontId="23" fillId="18" borderId="0" applyNumberFormat="0" applyBorder="0" applyAlignment="0" applyProtection="0"/>
    <xf numFmtId="0" fontId="23" fillId="36" borderId="0" applyNumberFormat="0" applyBorder="0" applyAlignment="0" applyProtection="0"/>
    <xf numFmtId="0" fontId="23" fillId="23" borderId="0" applyNumberFormat="0" applyBorder="0" applyAlignment="0" applyProtection="0"/>
    <xf numFmtId="0" fontId="23" fillId="30" borderId="0" applyNumberFormat="0" applyBorder="0" applyAlignment="0" applyProtection="0"/>
    <xf numFmtId="0" fontId="23" fillId="44" borderId="0" applyNumberFormat="0" applyBorder="0" applyAlignment="0" applyProtection="0"/>
    <xf numFmtId="0" fontId="23" fillId="18" borderId="0" applyNumberFormat="0" applyBorder="0" applyAlignment="0" applyProtection="0"/>
    <xf numFmtId="0" fontId="23" fillId="45" borderId="0" applyNumberFormat="0" applyBorder="0" applyAlignment="0" applyProtection="0"/>
    <xf numFmtId="0" fontId="23" fillId="25" borderId="0" applyNumberFormat="0" applyBorder="0" applyAlignment="0" applyProtection="0"/>
    <xf numFmtId="0" fontId="68" fillId="19" borderId="0" applyNumberFormat="0" applyBorder="0" applyAlignment="0" applyProtection="0"/>
    <xf numFmtId="0" fontId="25" fillId="42" borderId="18" applyNumberFormat="0" applyAlignment="0" applyProtection="0"/>
    <xf numFmtId="43" fontId="5" fillId="0" borderId="0" applyFont="0" applyFill="0" applyBorder="0" applyAlignment="0" applyProtection="0"/>
    <xf numFmtId="0" fontId="5" fillId="8" borderId="0" applyNumberFormat="0" applyAlignment="0"/>
    <xf numFmtId="0" fontId="5" fillId="8" borderId="0" applyNumberFormat="0" applyAlignment="0"/>
    <xf numFmtId="0" fontId="5" fillId="8" borderId="0" applyNumberFormat="0" applyAlignment="0"/>
    <xf numFmtId="0" fontId="69" fillId="0" borderId="28" applyNumberFormat="0" applyFill="0" applyAlignment="0" applyProtection="0"/>
    <xf numFmtId="0" fontId="30" fillId="0" borderId="21" applyNumberFormat="0" applyFill="0" applyAlignment="0" applyProtection="0"/>
    <xf numFmtId="0" fontId="70" fillId="0" borderId="21" applyNumberFormat="0" applyFill="0" applyAlignment="0" applyProtection="0"/>
    <xf numFmtId="0" fontId="71" fillId="0" borderId="29" applyNumberFormat="0" applyFill="0" applyAlignment="0" applyProtection="0"/>
    <xf numFmtId="0" fontId="71" fillId="0" borderId="0" applyNumberFormat="0" applyFill="0" applyBorder="0" applyAlignment="0" applyProtection="0"/>
    <xf numFmtId="0" fontId="36" fillId="39" borderId="0" applyNumberFormat="0" applyBorder="0" applyAlignment="0" applyProtection="0"/>
    <xf numFmtId="0" fontId="22" fillId="39" borderId="24" applyNumberFormat="0" applyFont="0" applyAlignment="0" applyProtection="0"/>
    <xf numFmtId="0" fontId="72" fillId="38" borderId="24" applyNumberFormat="0" applyFont="0" applyAlignment="0" applyProtection="0"/>
    <xf numFmtId="0" fontId="38" fillId="42" borderId="25" applyNumberFormat="0" applyAlignment="0" applyProtection="0"/>
    <xf numFmtId="0" fontId="73" fillId="0" borderId="0"/>
    <xf numFmtId="0" fontId="74" fillId="0" borderId="0" applyNumberFormat="0" applyFill="0" applyBorder="0" applyAlignment="0" applyProtection="0"/>
    <xf numFmtId="0" fontId="40" fillId="0" borderId="30" applyNumberFormat="0" applyFill="0" applyAlignment="0" applyProtection="0"/>
    <xf numFmtId="0" fontId="5" fillId="0" borderId="0">
      <alignment readingOrder="1"/>
    </xf>
    <xf numFmtId="0" fontId="3" fillId="0" borderId="0"/>
    <xf numFmtId="0" fontId="22" fillId="42" borderId="0" applyNumberFormat="0" applyBorder="0" applyAlignment="0" applyProtection="0"/>
    <xf numFmtId="0" fontId="22" fillId="19" borderId="0" applyNumberFormat="0" applyBorder="0" applyAlignment="0" applyProtection="0"/>
    <xf numFmtId="0" fontId="22" fillId="42" borderId="0" applyNumberFormat="0" applyBorder="0" applyAlignment="0" applyProtection="0"/>
    <xf numFmtId="0" fontId="89" fillId="23" borderId="0" applyNumberFormat="0" applyBorder="0" applyAlignment="0" applyProtection="0"/>
    <xf numFmtId="0" fontId="22" fillId="3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6" borderId="0" applyNumberFormat="0" applyBorder="0" applyAlignment="0" applyProtection="0"/>
    <xf numFmtId="0" fontId="89" fillId="24" borderId="0" applyNumberFormat="0" applyBorder="0" applyAlignment="0" applyProtection="0"/>
    <xf numFmtId="0" fontId="22" fillId="23" borderId="0" applyNumberFormat="0" applyBorder="0" applyAlignment="0" applyProtection="0"/>
    <xf numFmtId="0" fontId="23" fillId="30" borderId="0" applyNumberFormat="0" applyBorder="0" applyAlignment="0" applyProtection="0"/>
    <xf numFmtId="0" fontId="23" fillId="19" borderId="0" applyNumberFormat="0" applyBorder="0" applyAlignment="0" applyProtection="0"/>
    <xf numFmtId="0" fontId="23" fillId="25" borderId="0" applyNumberFormat="0" applyBorder="0" applyAlignment="0" applyProtection="0"/>
    <xf numFmtId="0" fontId="23" fillId="19" borderId="0" applyNumberFormat="0" applyBorder="0" applyAlignment="0" applyProtection="0"/>
    <xf numFmtId="0" fontId="23" fillId="36" borderId="0" applyNumberFormat="0" applyBorder="0" applyAlignment="0" applyProtection="0"/>
    <xf numFmtId="0" fontId="23" fillId="30" borderId="0" applyNumberFormat="0" applyBorder="0" applyAlignment="0" applyProtection="0"/>
    <xf numFmtId="0" fontId="23" fillId="2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23" fillId="30"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2" borderId="0" applyNumberFormat="0" applyBorder="0" applyAlignment="0" applyProtection="0"/>
    <xf numFmtId="0" fontId="23" fillId="19"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2" fillId="54" borderId="0" applyNumberFormat="0" applyBorder="0" applyAlignment="0" applyProtection="0"/>
    <xf numFmtId="0" fontId="23" fillId="45" borderId="0" applyNumberFormat="0" applyBorder="0" applyAlignment="0" applyProtection="0"/>
    <xf numFmtId="0" fontId="10" fillId="55" borderId="0" applyNumberFormat="0" applyBorder="0" applyAlignment="0" applyProtection="0"/>
    <xf numFmtId="0" fontId="10" fillId="47" borderId="0" applyNumberFormat="0" applyBorder="0" applyAlignment="0" applyProtection="0"/>
    <xf numFmtId="0" fontId="12" fillId="56" borderId="0" applyNumberFormat="0" applyBorder="0" applyAlignment="0" applyProtection="0"/>
    <xf numFmtId="0" fontId="23" fillId="30"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2" fillId="59" borderId="0" applyNumberFormat="0" applyBorder="0" applyAlignment="0" applyProtection="0"/>
    <xf numFmtId="0" fontId="24" fillId="21" borderId="0" applyNumberFormat="0" applyBorder="0" applyAlignment="0" applyProtection="0"/>
    <xf numFmtId="0" fontId="25" fillId="42" borderId="18" applyNumberFormat="0" applyAlignment="0" applyProtection="0"/>
    <xf numFmtId="0" fontId="26" fillId="37" borderId="19" applyNumberFormat="0" applyAlignment="0" applyProtection="0"/>
    <xf numFmtId="41" fontId="9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91" fillId="60" borderId="0" applyNumberFormat="0" applyBorder="0" applyAlignment="0" applyProtection="0"/>
    <xf numFmtId="0" fontId="91" fillId="61" borderId="0" applyNumberFormat="0" applyBorder="0" applyAlignment="0" applyProtection="0"/>
    <xf numFmtId="0" fontId="91" fillId="62" borderId="0" applyNumberFormat="0" applyBorder="0" applyAlignment="0" applyProtection="0"/>
    <xf numFmtId="0" fontId="27" fillId="0" borderId="0" applyNumberFormat="0" applyFill="0" applyBorder="0" applyAlignment="0" applyProtection="0"/>
    <xf numFmtId="0" fontId="28" fillId="20" borderId="0" applyNumberFormat="0" applyBorder="0" applyAlignment="0" applyProtection="0"/>
    <xf numFmtId="0" fontId="69" fillId="0" borderId="28" applyNumberFormat="0" applyFill="0" applyAlignment="0" applyProtection="0"/>
    <xf numFmtId="0" fontId="71" fillId="0" borderId="29" applyNumberFormat="0" applyFill="0" applyAlignment="0" applyProtection="0"/>
    <xf numFmtId="0" fontId="71" fillId="0" borderId="0" applyNumberFormat="0" applyFill="0" applyBorder="0" applyAlignment="0" applyProtection="0"/>
    <xf numFmtId="0" fontId="9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34" fillId="23" borderId="18" applyNumberFormat="0" applyAlignment="0" applyProtection="0"/>
    <xf numFmtId="0" fontId="35" fillId="0" borderId="23" applyNumberFormat="0" applyFill="0" applyAlignment="0" applyProtection="0"/>
    <xf numFmtId="0" fontId="5" fillId="0" borderId="0"/>
    <xf numFmtId="0" fontId="5" fillId="0" borderId="0">
      <alignment readingOrder="1"/>
    </xf>
    <xf numFmtId="0" fontId="20" fillId="0" borderId="0"/>
    <xf numFmtId="0" fontId="1"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5" fillId="0" borderId="0">
      <alignment readingOrder="1"/>
    </xf>
    <xf numFmtId="0" fontId="20" fillId="0" borderId="0"/>
    <xf numFmtId="0" fontId="5" fillId="0" borderId="0"/>
    <xf numFmtId="0" fontId="5" fillId="0" borderId="0"/>
    <xf numFmtId="0" fontId="5" fillId="0" borderId="0">
      <alignment readingOrder="1"/>
    </xf>
    <xf numFmtId="0" fontId="5" fillId="0" borderId="0"/>
    <xf numFmtId="0" fontId="20" fillId="0" borderId="0"/>
    <xf numFmtId="0" fontId="20" fillId="0" borderId="0"/>
    <xf numFmtId="0" fontId="20" fillId="0" borderId="0"/>
    <xf numFmtId="0" fontId="20" fillId="0" borderId="0"/>
    <xf numFmtId="0" fontId="5" fillId="0" borderId="0">
      <alignment readingOrder="1"/>
    </xf>
    <xf numFmtId="0" fontId="20" fillId="0" borderId="0"/>
    <xf numFmtId="0" fontId="20" fillId="0" borderId="0"/>
    <xf numFmtId="0" fontId="5" fillId="0" borderId="0">
      <alignment readingOrder="1"/>
    </xf>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alignment readingOrder="1"/>
    </xf>
    <xf numFmtId="0" fontId="5" fillId="0" borderId="0"/>
    <xf numFmtId="0" fontId="22" fillId="0" borderId="0"/>
    <xf numFmtId="0" fontId="43" fillId="0" borderId="0"/>
    <xf numFmtId="0" fontId="95" fillId="0" borderId="0"/>
    <xf numFmtId="0" fontId="95" fillId="0" borderId="0"/>
    <xf numFmtId="0" fontId="95" fillId="0" borderId="0"/>
    <xf numFmtId="0" fontId="5" fillId="0" borderId="0"/>
    <xf numFmtId="0" fontId="5" fillId="0" borderId="0"/>
    <xf numFmtId="0" fontId="5" fillId="0" borderId="0"/>
    <xf numFmtId="0" fontId="95" fillId="0" borderId="0"/>
    <xf numFmtId="0" fontId="95" fillId="0" borderId="0"/>
    <xf numFmtId="0" fontId="95" fillId="0" borderId="0"/>
    <xf numFmtId="0" fontId="5" fillId="0" borderId="0"/>
    <xf numFmtId="0" fontId="5" fillId="0" borderId="0">
      <alignment readingOrder="1"/>
    </xf>
    <xf numFmtId="0" fontId="5" fillId="0" borderId="0"/>
    <xf numFmtId="0" fontId="5" fillId="0" borderId="0"/>
    <xf numFmtId="0" fontId="2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5" fillId="0" borderId="0" applyNumberFormat="0" applyFill="0" applyBorder="0" applyAlignment="0" applyProtection="0"/>
    <xf numFmtId="0" fontId="20" fillId="0" borderId="0"/>
    <xf numFmtId="0" fontId="20" fillId="0" borderId="0"/>
    <xf numFmtId="0" fontId="90" fillId="0" borderId="0"/>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5" fillId="0" borderId="0"/>
    <xf numFmtId="0" fontId="20" fillId="0" borderId="0"/>
    <xf numFmtId="0" fontId="20" fillId="0" borderId="0"/>
    <xf numFmtId="0" fontId="5" fillId="0" borderId="0"/>
    <xf numFmtId="0" fontId="20" fillId="0" borderId="0"/>
    <xf numFmtId="0" fontId="5" fillId="0" borderId="0">
      <alignment readingOrder="1"/>
    </xf>
    <xf numFmtId="0" fontId="5" fillId="39" borderId="24" applyNumberFormat="0" applyFont="0" applyAlignment="0" applyProtection="0"/>
    <xf numFmtId="0" fontId="38" fillId="42" borderId="2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39" fillId="0" borderId="0" applyNumberFormat="0" applyFill="0" applyBorder="0" applyAlignment="0" applyProtection="0"/>
    <xf numFmtId="0" fontId="73" fillId="0" borderId="0"/>
    <xf numFmtId="173" fontId="5" fillId="0" borderId="0" applyFill="0" applyBorder="0" applyAlignment="0" applyProtection="0">
      <alignment wrapText="1"/>
    </xf>
    <xf numFmtId="0" fontId="74" fillId="0" borderId="0" applyNumberFormat="0" applyFill="0" applyBorder="0" applyAlignment="0" applyProtection="0"/>
    <xf numFmtId="0" fontId="40" fillId="0" borderId="30" applyNumberFormat="0" applyFill="0" applyAlignment="0" applyProtection="0"/>
    <xf numFmtId="0" fontId="41" fillId="0" borderId="0" applyNumberFormat="0" applyFill="0" applyBorder="0" applyAlignment="0" applyProtection="0"/>
    <xf numFmtId="0" fontId="96" fillId="0" borderId="0">
      <alignment vertical="center"/>
    </xf>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9" borderId="0" applyNumberFormat="0" applyBorder="0" applyAlignment="0" applyProtection="0"/>
    <xf numFmtId="0" fontId="20" fillId="79" borderId="0" applyNumberFormat="0" applyBorder="0" applyAlignment="0" applyProtection="0"/>
    <xf numFmtId="0" fontId="20" fillId="79" borderId="0" applyNumberFormat="0" applyBorder="0" applyAlignment="0" applyProtection="0"/>
    <xf numFmtId="0" fontId="20" fillId="79" borderId="0" applyNumberFormat="0" applyBorder="0" applyAlignment="0" applyProtection="0"/>
    <xf numFmtId="0" fontId="20" fillId="7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80" borderId="0" applyNumberFormat="0" applyBorder="0" applyAlignment="0" applyProtection="0"/>
    <xf numFmtId="0" fontId="20" fillId="80" borderId="0" applyNumberFormat="0" applyBorder="0" applyAlignment="0" applyProtection="0"/>
    <xf numFmtId="0" fontId="20" fillId="80" borderId="0" applyNumberFormat="0" applyBorder="0" applyAlignment="0" applyProtection="0"/>
    <xf numFmtId="0" fontId="20" fillId="8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22" fillId="0" borderId="0"/>
    <xf numFmtId="0" fontId="22" fillId="0" borderId="0"/>
    <xf numFmtId="0" fontId="20" fillId="0" borderId="0"/>
    <xf numFmtId="0" fontId="5" fillId="0" borderId="0">
      <alignment readingOrder="1"/>
    </xf>
    <xf numFmtId="0" fontId="20" fillId="0" borderId="0"/>
    <xf numFmtId="0" fontId="5" fillId="0" borderId="0"/>
    <xf numFmtId="0" fontId="5" fillId="0" borderId="0"/>
    <xf numFmtId="0" fontId="22" fillId="0" borderId="0"/>
    <xf numFmtId="0" fontId="20" fillId="0" borderId="0"/>
    <xf numFmtId="0" fontId="20" fillId="0" borderId="0"/>
    <xf numFmtId="0" fontId="5" fillId="0" borderId="0"/>
    <xf numFmtId="0" fontId="5"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20" fillId="68" borderId="42" applyNumberFormat="0" applyFont="0" applyAlignment="0" applyProtection="0"/>
    <xf numFmtId="0" fontId="20" fillId="68" borderId="42" applyNumberFormat="0" applyFont="0" applyAlignment="0" applyProtection="0"/>
    <xf numFmtId="0" fontId="20" fillId="68" borderId="42" applyNumberFormat="0" applyFont="0" applyAlignment="0" applyProtection="0"/>
    <xf numFmtId="0" fontId="20" fillId="68" borderId="42" applyNumberFormat="0" applyFont="0" applyAlignment="0" applyProtection="0"/>
    <xf numFmtId="0" fontId="20" fillId="68" borderId="42" applyNumberFormat="0" applyFont="0" applyAlignment="0" applyProtection="0"/>
    <xf numFmtId="0" fontId="20" fillId="68" borderId="42" applyNumberFormat="0" applyFont="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cellStyleXfs>
  <cellXfs count="495">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5" fillId="0" borderId="0" xfId="2" applyFont="1" applyFill="1"/>
    <xf numFmtId="165" fontId="5" fillId="0" borderId="0" xfId="2" applyNumberFormat="1" applyFont="1"/>
    <xf numFmtId="0" fontId="0" fillId="0" borderId="0" xfId="0">
      <alignment readingOrder="1"/>
    </xf>
    <xf numFmtId="0" fontId="4"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5" fillId="6" borderId="0" xfId="4" applyFont="1" applyFill="1" applyBorder="1" applyAlignment="1">
      <alignment wrapText="1"/>
    </xf>
    <xf numFmtId="1" fontId="5" fillId="6" borderId="0" xfId="4" applyNumberFormat="1" applyFont="1" applyFill="1" applyBorder="1" applyAlignment="1">
      <alignment wrapText="1"/>
    </xf>
    <xf numFmtId="168" fontId="5" fillId="6" borderId="0" xfId="1" applyNumberFormat="1" applyFont="1" applyFill="1" applyBorder="1" applyAlignment="1">
      <alignment wrapText="1"/>
    </xf>
    <xf numFmtId="2" fontId="5" fillId="6" borderId="0" xfId="4" applyNumberFormat="1" applyFont="1" applyFill="1" applyBorder="1" applyAlignment="1">
      <alignment wrapText="1"/>
    </xf>
    <xf numFmtId="0" fontId="0" fillId="0" borderId="0" xfId="0" applyFill="1" applyBorder="1">
      <alignment readingOrder="1"/>
    </xf>
    <xf numFmtId="164" fontId="9" fillId="0" borderId="0" xfId="0" applyNumberFormat="1" applyFont="1" applyFill="1" applyBorder="1">
      <alignment readingOrder="1"/>
    </xf>
    <xf numFmtId="2" fontId="0" fillId="0" borderId="0" xfId="0" applyNumberFormat="1" applyFill="1" applyBorder="1">
      <alignment readingOrder="1"/>
    </xf>
    <xf numFmtId="0" fontId="12" fillId="0" borderId="0" xfId="0" applyFont="1" applyFill="1" applyBorder="1" applyAlignment="1">
      <alignment horizontal="center" wrapText="1" readingOrder="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0" fontId="0" fillId="5" borderId="0" xfId="0" applyFill="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0" fontId="0" fillId="0" borderId="0" xfId="0" applyNumberFormat="1">
      <alignment readingOrder="1"/>
    </xf>
    <xf numFmtId="1" fontId="0" fillId="0" borderId="0" xfId="0" applyNumberFormat="1" applyFont="1">
      <alignment readingOrder="1"/>
    </xf>
    <xf numFmtId="0" fontId="0" fillId="14" borderId="0" xfId="0" applyFill="1">
      <alignment readingOrder="1"/>
    </xf>
    <xf numFmtId="0" fontId="0" fillId="0" borderId="0" xfId="0" quotePrefix="1" applyFill="1">
      <alignment readingOrder="1"/>
    </xf>
    <xf numFmtId="0" fontId="19" fillId="6" borderId="5" xfId="0" applyFont="1" applyFill="1" applyBorder="1"/>
    <xf numFmtId="9" fontId="5" fillId="15" borderId="0" xfId="9" applyFill="1" applyAlignment="1">
      <alignment horizontal="center" readingOrder="1"/>
    </xf>
    <xf numFmtId="1" fontId="0" fillId="12" borderId="0" xfId="0" applyNumberFormat="1" applyFill="1" applyAlignment="1">
      <alignment horizontal="center" readingOrder="1"/>
    </xf>
    <xf numFmtId="0" fontId="19" fillId="16" borderId="1" xfId="0" applyFont="1" applyFill="1" applyBorder="1"/>
    <xf numFmtId="0" fontId="19" fillId="16" borderId="4" xfId="0" applyFont="1" applyFill="1" applyBorder="1"/>
    <xf numFmtId="0" fontId="19" fillId="16" borderId="3" xfId="0" applyFont="1" applyFill="1" applyBorder="1"/>
    <xf numFmtId="0" fontId="19" fillId="16" borderId="11" xfId="0" applyFont="1" applyFill="1" applyBorder="1"/>
    <xf numFmtId="0" fontId="19" fillId="16" borderId="12" xfId="0" applyFont="1" applyFill="1" applyBorder="1"/>
    <xf numFmtId="0" fontId="19" fillId="16" borderId="13" xfId="0" applyFont="1" applyFill="1" applyBorder="1"/>
    <xf numFmtId="0" fontId="19" fillId="16" borderId="5" xfId="0" applyFont="1" applyFill="1" applyBorder="1"/>
    <xf numFmtId="0" fontId="19" fillId="15" borderId="5" xfId="0" applyFont="1" applyFill="1" applyBorder="1"/>
    <xf numFmtId="164" fontId="19" fillId="15" borderId="5" xfId="0" applyNumberFormat="1" applyFont="1" applyFill="1" applyBorder="1"/>
    <xf numFmtId="164" fontId="0" fillId="17" borderId="0" xfId="0" applyNumberFormat="1" applyFill="1" applyAlignment="1">
      <alignment horizontal="center" readingOrder="1"/>
    </xf>
    <xf numFmtId="9" fontId="19" fillId="16" borderId="5" xfId="9" applyFont="1" applyFill="1" applyBorder="1"/>
    <xf numFmtId="1" fontId="0" fillId="15" borderId="0" xfId="0" applyNumberFormat="1" applyFill="1" applyAlignment="1">
      <alignment horizontal="center" readingOrder="1"/>
    </xf>
    <xf numFmtId="164" fontId="0" fillId="12" borderId="0" xfId="0" applyNumberFormat="1" applyFill="1" applyAlignment="1">
      <alignment horizontal="center" readingOrder="1"/>
    </xf>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 fontId="5" fillId="0" borderId="0" xfId="4" applyNumberFormat="1" applyFont="1" applyBorder="1" applyAlignment="1">
      <alignment wrapText="1"/>
    </xf>
    <xf numFmtId="0" fontId="5" fillId="0" borderId="0" xfId="0" applyFont="1" applyBorder="1">
      <alignment readingOrder="1"/>
    </xf>
    <xf numFmtId="0" fontId="5" fillId="0" borderId="0" xfId="0" applyFont="1" applyAlignment="1">
      <alignment horizontal="center" readingOrder="1"/>
    </xf>
    <xf numFmtId="0" fontId="5" fillId="0" borderId="0" xfId="15">
      <alignment readingOrder="1"/>
    </xf>
    <xf numFmtId="9" fontId="5" fillId="0" borderId="0" xfId="15" applyNumberFormat="1">
      <alignment readingOrder="1"/>
    </xf>
    <xf numFmtId="43" fontId="0" fillId="0" borderId="0" xfId="14" applyFont="1"/>
    <xf numFmtId="164" fontId="0" fillId="15" borderId="0" xfId="0" applyNumberFormat="1" applyFill="1" applyAlignment="1">
      <alignment horizontal="center" readingOrder="1"/>
    </xf>
    <xf numFmtId="0" fontId="45" fillId="0" borderId="0" xfId="78" applyFont="1" applyAlignment="1" applyProtection="1">
      <alignment vertical="center"/>
    </xf>
    <xf numFmtId="0" fontId="46" fillId="0" borderId="0" xfId="78" applyFont="1" applyAlignment="1" applyProtection="1">
      <alignment horizontal="left"/>
    </xf>
    <xf numFmtId="0" fontId="46" fillId="0" borderId="0" xfId="78" applyFont="1" applyAlignment="1" applyProtection="1">
      <alignment horizontal="center"/>
    </xf>
    <xf numFmtId="0" fontId="46" fillId="0" borderId="0" xfId="78" applyFont="1" applyProtection="1">
      <protection locked="0"/>
    </xf>
    <xf numFmtId="0" fontId="44" fillId="0" borderId="0" xfId="78" applyFont="1" applyBorder="1" applyAlignment="1" applyProtection="1">
      <alignment horizontal="left"/>
    </xf>
    <xf numFmtId="9" fontId="43" fillId="0" borderId="0" xfId="78" applyNumberFormat="1" applyFont="1" applyBorder="1" applyAlignment="1" applyProtection="1">
      <alignment horizontal="center" vertical="center"/>
    </xf>
    <xf numFmtId="0" fontId="48" fillId="0" borderId="0" xfId="78" applyFont="1" applyBorder="1" applyAlignment="1" applyProtection="1">
      <alignment vertical="center"/>
    </xf>
    <xf numFmtId="0" fontId="43" fillId="0" borderId="0" xfId="78" applyFont="1" applyBorder="1" applyAlignment="1" applyProtection="1">
      <alignment vertical="center"/>
      <protection locked="0"/>
    </xf>
    <xf numFmtId="0" fontId="49" fillId="0" borderId="0" xfId="125" applyFont="1" applyFill="1" applyBorder="1" applyProtection="1">
      <protection locked="0"/>
    </xf>
    <xf numFmtId="0" fontId="43" fillId="0" borderId="0" xfId="125" applyFont="1" applyFill="1" applyProtection="1">
      <protection locked="0"/>
    </xf>
    <xf numFmtId="0" fontId="42" fillId="0" borderId="0" xfId="78" applyFont="1" applyBorder="1" applyAlignment="1" applyProtection="1">
      <alignment vertical="center"/>
      <protection locked="0"/>
    </xf>
    <xf numFmtId="0" fontId="43" fillId="0" borderId="0" xfId="78" applyFont="1" applyBorder="1" applyAlignment="1" applyProtection="1">
      <alignment horizontal="center" vertical="center"/>
      <protection locked="0"/>
    </xf>
    <xf numFmtId="0" fontId="49" fillId="0" borderId="0" xfId="125" applyFont="1" applyFill="1" applyBorder="1" applyAlignment="1" applyProtection="1">
      <alignment horizontal="center"/>
      <protection locked="0"/>
    </xf>
    <xf numFmtId="0" fontId="42" fillId="0" borderId="5" xfId="78" applyFont="1" applyBorder="1" applyAlignment="1" applyProtection="1">
      <alignment horizontal="center" vertical="center"/>
    </xf>
    <xf numFmtId="0" fontId="42" fillId="0" borderId="5" xfId="78" applyFont="1" applyBorder="1" applyAlignment="1" applyProtection="1">
      <alignment vertical="center"/>
    </xf>
    <xf numFmtId="9" fontId="43" fillId="0" borderId="5" xfId="78" applyNumberFormat="1" applyFont="1" applyBorder="1" applyAlignment="1" applyProtection="1">
      <alignment horizontal="center" vertical="center"/>
    </xf>
    <xf numFmtId="0" fontId="50" fillId="0" borderId="0" xfId="78" applyFont="1" applyAlignment="1" applyProtection="1">
      <alignment horizontal="left"/>
    </xf>
    <xf numFmtId="172" fontId="50" fillId="0" borderId="0" xfId="126" applyNumberFormat="1" applyFont="1" applyBorder="1" applyAlignment="1" applyProtection="1">
      <alignment horizontal="center"/>
    </xf>
    <xf numFmtId="172" fontId="50" fillId="0" borderId="0" xfId="78" applyNumberFormat="1" applyFont="1" applyBorder="1" applyAlignment="1" applyProtection="1">
      <alignment horizontal="center"/>
    </xf>
    <xf numFmtId="0" fontId="50" fillId="0" borderId="0" xfId="78" applyFont="1" applyFill="1" applyBorder="1" applyAlignment="1" applyProtection="1">
      <alignment horizontal="center"/>
      <protection locked="0"/>
    </xf>
    <xf numFmtId="0" fontId="5" fillId="0" borderId="0" xfId="78" applyFont="1" applyBorder="1" applyAlignment="1">
      <alignment horizontal="center"/>
    </xf>
    <xf numFmtId="0" fontId="5" fillId="0" borderId="0" xfId="78" applyFont="1" applyAlignment="1">
      <alignment horizontal="center"/>
    </xf>
    <xf numFmtId="0" fontId="50" fillId="0" borderId="0" xfId="78" applyFont="1" applyBorder="1" applyAlignment="1" applyProtection="1">
      <alignment horizontal="center"/>
      <protection locked="0"/>
    </xf>
    <xf numFmtId="0" fontId="50" fillId="0" borderId="0" xfId="78" applyFont="1" applyBorder="1" applyProtection="1">
      <protection locked="0"/>
    </xf>
    <xf numFmtId="0" fontId="50" fillId="0" borderId="0" xfId="78" applyFont="1" applyProtection="1">
      <protection locked="0"/>
    </xf>
    <xf numFmtId="0" fontId="51" fillId="0" borderId="0" xfId="125" applyFont="1" applyFill="1" applyBorder="1" applyProtection="1">
      <protection locked="0"/>
    </xf>
    <xf numFmtId="0" fontId="43" fillId="0" borderId="0" xfId="125" applyFont="1" applyFill="1" applyBorder="1" applyProtection="1">
      <protection locked="0"/>
    </xf>
    <xf numFmtId="0" fontId="42" fillId="0" borderId="5" xfId="78" applyFont="1" applyFill="1" applyBorder="1" applyAlignment="1" applyProtection="1">
      <alignment vertical="center"/>
    </xf>
    <xf numFmtId="2" fontId="50" fillId="0" borderId="5" xfId="78" applyNumberFormat="1" applyFont="1" applyFill="1" applyBorder="1" applyAlignment="1" applyProtection="1">
      <alignment horizontal="center" vertical="center"/>
      <protection locked="0"/>
    </xf>
    <xf numFmtId="0" fontId="52" fillId="0" borderId="0" xfId="125" applyFont="1" applyFill="1" applyBorder="1" applyProtection="1">
      <protection locked="0"/>
    </xf>
    <xf numFmtId="0" fontId="53" fillId="0" borderId="0" xfId="78" applyFont="1" applyFill="1" applyBorder="1" applyAlignment="1" applyProtection="1">
      <alignment horizontal="left" indent="1"/>
    </xf>
    <xf numFmtId="0" fontId="43" fillId="0" borderId="0" xfId="78" applyFont="1" applyFill="1" applyBorder="1" applyAlignment="1" applyProtection="1">
      <alignment horizontal="center" vertical="center"/>
    </xf>
    <xf numFmtId="0" fontId="54" fillId="0" borderId="0" xfId="78" applyFont="1" applyFill="1" applyBorder="1" applyAlignment="1" applyProtection="1">
      <alignment horizontal="center" vertical="center"/>
      <protection locked="0"/>
    </xf>
    <xf numFmtId="0" fontId="42" fillId="0" borderId="0" xfId="78" applyFont="1" applyFill="1" applyBorder="1" applyAlignment="1" applyProtection="1">
      <alignment horizontal="center" vertical="center"/>
      <protection locked="0"/>
    </xf>
    <xf numFmtId="3" fontId="43" fillId="0" borderId="0" xfId="78" applyNumberFormat="1" applyFont="1" applyFill="1" applyBorder="1" applyAlignment="1" applyProtection="1">
      <alignment horizontal="center" vertical="center"/>
    </xf>
    <xf numFmtId="0" fontId="42" fillId="0" borderId="5" xfId="78" applyFont="1" applyBorder="1" applyAlignment="1" applyProtection="1">
      <alignment vertical="center" wrapText="1"/>
    </xf>
    <xf numFmtId="3" fontId="43" fillId="0" borderId="5" xfId="78" applyNumberFormat="1" applyFont="1" applyFill="1" applyBorder="1" applyAlignment="1" applyProtection="1">
      <alignment horizontal="center" vertical="center"/>
    </xf>
    <xf numFmtId="0" fontId="42" fillId="0" borderId="27" xfId="78" applyFont="1" applyBorder="1" applyAlignment="1" applyProtection="1">
      <alignment vertical="center" wrapText="1"/>
    </xf>
    <xf numFmtId="3" fontId="43" fillId="0" borderId="15" xfId="78" applyNumberFormat="1" applyFont="1" applyFill="1" applyBorder="1" applyAlignment="1" applyProtection="1">
      <alignment horizontal="center" vertical="center"/>
    </xf>
    <xf numFmtId="3" fontId="43" fillId="0" borderId="27" xfId="78" applyNumberFormat="1" applyFont="1" applyFill="1" applyBorder="1" applyAlignment="1" applyProtection="1">
      <alignment horizontal="center" vertical="center"/>
    </xf>
    <xf numFmtId="0" fontId="42" fillId="0" borderId="0" xfId="78" applyFont="1" applyBorder="1" applyAlignment="1" applyProtection="1">
      <alignment horizontal="left" vertical="center" wrapText="1"/>
    </xf>
    <xf numFmtId="3" fontId="43" fillId="41" borderId="0" xfId="78" applyNumberFormat="1" applyFont="1" applyFill="1" applyBorder="1" applyAlignment="1" applyProtection="1">
      <alignment horizontal="center" vertical="center"/>
      <protection locked="0"/>
    </xf>
    <xf numFmtId="0" fontId="43" fillId="0" borderId="0" xfId="125" applyFont="1" applyFill="1" applyAlignment="1" applyProtection="1">
      <alignment horizontal="center"/>
      <protection locked="0"/>
    </xf>
    <xf numFmtId="0" fontId="42" fillId="0" borderId="0" xfId="78" applyFont="1" applyFill="1" applyBorder="1" applyAlignment="1" applyProtection="1">
      <alignment horizontal="left" vertical="center" wrapText="1"/>
    </xf>
    <xf numFmtId="3" fontId="43" fillId="0" borderId="0" xfId="78" applyNumberFormat="1" applyFont="1" applyFill="1" applyBorder="1" applyAlignment="1" applyProtection="1">
      <alignment horizontal="center" vertical="center"/>
      <protection locked="0"/>
    </xf>
    <xf numFmtId="0" fontId="42" fillId="0" borderId="5" xfId="78" applyFont="1" applyFill="1" applyBorder="1" applyAlignment="1" applyProtection="1">
      <alignment horizontal="left" vertical="center" wrapText="1"/>
    </xf>
    <xf numFmtId="0" fontId="43" fillId="41" borderId="5" xfId="126" applyNumberFormat="1" applyFont="1" applyFill="1" applyBorder="1" applyAlignment="1" applyProtection="1">
      <alignment horizontal="center"/>
      <protection locked="0"/>
    </xf>
    <xf numFmtId="0" fontId="50" fillId="0" borderId="0" xfId="78" applyFont="1" applyFill="1" applyAlignment="1" applyProtection="1">
      <alignment horizontal="left"/>
    </xf>
    <xf numFmtId="172" fontId="50" fillId="0" borderId="0" xfId="126" applyNumberFormat="1" applyFont="1" applyFill="1" applyBorder="1" applyAlignment="1" applyProtection="1">
      <alignment horizontal="center"/>
    </xf>
    <xf numFmtId="172" fontId="50" fillId="0" borderId="0" xfId="78" applyNumberFormat="1" applyFont="1" applyFill="1" applyBorder="1" applyAlignment="1" applyProtection="1">
      <alignment horizontal="center"/>
      <protection locked="0"/>
    </xf>
    <xf numFmtId="0" fontId="50" fillId="0" borderId="0" xfId="78" applyFont="1" applyFill="1" applyBorder="1" applyAlignment="1" applyProtection="1">
      <alignment horizontal="left"/>
      <protection locked="0"/>
    </xf>
    <xf numFmtId="0" fontId="56" fillId="0" borderId="12" xfId="78" applyFont="1" applyBorder="1" applyProtection="1">
      <protection locked="0"/>
    </xf>
    <xf numFmtId="0" fontId="50" fillId="0" borderId="12" xfId="78" applyFont="1" applyBorder="1" applyAlignment="1" applyProtection="1">
      <alignment horizontal="left"/>
      <protection locked="0"/>
    </xf>
    <xf numFmtId="0" fontId="50" fillId="0" borderId="12" xfId="78" applyFont="1" applyBorder="1" applyAlignment="1" applyProtection="1">
      <alignment horizontal="center"/>
      <protection locked="0"/>
    </xf>
    <xf numFmtId="0" fontId="50" fillId="0" borderId="12" xfId="78" applyFont="1" applyBorder="1" applyProtection="1">
      <protection locked="0"/>
    </xf>
    <xf numFmtId="0" fontId="44" fillId="0" borderId="0" xfId="78" applyFont="1" applyBorder="1" applyAlignment="1" applyProtection="1">
      <alignment horizontal="left" vertical="center"/>
    </xf>
    <xf numFmtId="0" fontId="50" fillId="0" borderId="0" xfId="78" applyFont="1" applyAlignment="1" applyProtection="1">
      <alignment horizontal="center"/>
      <protection locked="0"/>
    </xf>
    <xf numFmtId="0" fontId="57" fillId="0" borderId="0" xfId="78" applyFont="1" applyProtection="1">
      <protection locked="0"/>
    </xf>
    <xf numFmtId="0" fontId="43" fillId="0" borderId="0" xfId="125" applyFont="1" applyFill="1" applyAlignment="1" applyProtection="1">
      <alignment horizontal="left" vertical="center"/>
      <protection locked="0"/>
    </xf>
    <xf numFmtId="0" fontId="43" fillId="0" borderId="0" xfId="78" applyFont="1" applyAlignment="1" applyProtection="1">
      <alignment horizontal="left" indent="1"/>
    </xf>
    <xf numFmtId="0" fontId="43" fillId="0" borderId="0" xfId="78" quotePrefix="1" applyFont="1" applyAlignment="1" applyProtection="1">
      <alignment horizontal="left"/>
    </xf>
    <xf numFmtId="0" fontId="43" fillId="0" borderId="0" xfId="78" applyFont="1" applyAlignment="1" applyProtection="1">
      <alignment horizontal="left" vertical="center"/>
    </xf>
    <xf numFmtId="0" fontId="58" fillId="0" borderId="0" xfId="78" applyFont="1" applyAlignment="1" applyProtection="1">
      <alignment horizontal="left"/>
    </xf>
    <xf numFmtId="0" fontId="43" fillId="0" borderId="0" xfId="125" applyFont="1" applyFill="1" applyBorder="1" applyAlignment="1" applyProtection="1">
      <alignment horizontal="left" vertical="center"/>
      <protection locked="0"/>
    </xf>
    <xf numFmtId="0" fontId="50" fillId="0" borderId="0" xfId="78" applyFont="1" applyBorder="1" applyAlignment="1" applyProtection="1">
      <alignment horizontal="left" vertical="center"/>
      <protection locked="0"/>
    </xf>
    <xf numFmtId="0" fontId="43" fillId="0" borderId="0" xfId="78" applyFont="1" applyFill="1" applyBorder="1" applyAlignment="1" applyProtection="1">
      <alignment horizontal="left" vertical="center"/>
    </xf>
    <xf numFmtId="0" fontId="59" fillId="0" borderId="0" xfId="78" applyFont="1" applyFill="1" applyBorder="1" applyAlignment="1" applyProtection="1">
      <alignment horizontal="left" vertical="center"/>
    </xf>
    <xf numFmtId="0" fontId="59" fillId="0" borderId="0" xfId="78" applyFont="1" applyBorder="1" applyAlignment="1" applyProtection="1">
      <alignment horizontal="left" vertical="center"/>
      <protection locked="0"/>
    </xf>
    <xf numFmtId="0" fontId="43" fillId="0" borderId="0" xfId="78" applyFont="1" applyBorder="1" applyAlignment="1" applyProtection="1">
      <alignment horizontal="left" vertical="center"/>
      <protection locked="0"/>
    </xf>
    <xf numFmtId="0" fontId="43" fillId="0" borderId="0" xfId="78" applyFont="1" applyBorder="1" applyAlignment="1" applyProtection="1">
      <alignment horizontal="left" indent="1"/>
    </xf>
    <xf numFmtId="0" fontId="43" fillId="0" borderId="0" xfId="125" applyFont="1" applyFill="1" applyAlignment="1" applyProtection="1">
      <alignment horizontal="left" vertical="center"/>
    </xf>
    <xf numFmtId="0" fontId="43" fillId="0" borderId="0" xfId="125" applyFont="1" applyFill="1" applyBorder="1" applyAlignment="1" applyProtection="1">
      <alignment horizontal="left" vertical="center"/>
    </xf>
    <xf numFmtId="0" fontId="60" fillId="0" borderId="0" xfId="68" applyFont="1" applyAlignment="1" applyProtection="1">
      <alignment horizontal="left"/>
    </xf>
    <xf numFmtId="0" fontId="20" fillId="0" borderId="0" xfId="78" applyAlignment="1">
      <alignment horizontal="left"/>
    </xf>
    <xf numFmtId="0" fontId="61" fillId="0" borderId="0" xfId="78" applyFont="1" applyAlignment="1" applyProtection="1">
      <alignment horizontal="left" vertical="center"/>
    </xf>
    <xf numFmtId="0" fontId="62" fillId="0" borderId="0" xfId="78" applyFont="1" applyBorder="1" applyAlignment="1" applyProtection="1">
      <alignment vertical="center"/>
      <protection locked="0"/>
    </xf>
    <xf numFmtId="0" fontId="44" fillId="0" borderId="0" xfId="78" applyFont="1" applyFill="1" applyBorder="1" applyAlignment="1" applyProtection="1">
      <alignment horizontal="left"/>
    </xf>
    <xf numFmtId="0" fontId="50" fillId="0" borderId="0" xfId="78" applyFont="1" applyFill="1" applyBorder="1" applyAlignment="1" applyProtection="1">
      <alignment horizontal="left"/>
    </xf>
    <xf numFmtId="0" fontId="43" fillId="0" borderId="0" xfId="80" applyFont="1" applyFill="1" applyBorder="1" applyAlignment="1">
      <alignment vertical="center"/>
    </xf>
    <xf numFmtId="0" fontId="5" fillId="0" borderId="0" xfId="78" applyFont="1" applyFill="1" applyBorder="1" applyAlignment="1" applyProtection="1">
      <alignment horizontal="center"/>
    </xf>
    <xf numFmtId="0" fontId="50" fillId="0" borderId="0" xfId="78" applyFont="1" applyFill="1" applyProtection="1"/>
    <xf numFmtId="0" fontId="20" fillId="0" borderId="0" xfId="78" applyFill="1"/>
    <xf numFmtId="0" fontId="43" fillId="0" borderId="0" xfId="125" applyFont="1" applyFill="1" applyBorder="1" applyAlignment="1" applyProtection="1">
      <alignment vertical="top"/>
      <protection locked="0"/>
    </xf>
    <xf numFmtId="0" fontId="63" fillId="0" borderId="0" xfId="125" applyFont="1" applyFill="1" applyBorder="1" applyProtection="1">
      <protection locked="0"/>
    </xf>
    <xf numFmtId="0" fontId="42" fillId="0" borderId="5" xfId="78" applyFont="1" applyFill="1" applyBorder="1" applyAlignment="1">
      <alignment horizontal="center" vertical="center"/>
    </xf>
    <xf numFmtId="0" fontId="43" fillId="0" borderId="2" xfId="78" applyFont="1" applyFill="1" applyBorder="1" applyAlignment="1">
      <alignment horizontal="center" vertical="center" wrapText="1"/>
    </xf>
    <xf numFmtId="0" fontId="43" fillId="0" borderId="16" xfId="78" applyFont="1" applyFill="1" applyBorder="1" applyAlignment="1">
      <alignment horizontal="center" vertical="center" wrapText="1"/>
    </xf>
    <xf numFmtId="0" fontId="43" fillId="0" borderId="5" xfId="78" applyFont="1" applyFill="1" applyBorder="1" applyAlignment="1">
      <alignment horizontal="center" vertical="center" wrapText="1"/>
    </xf>
    <xf numFmtId="0" fontId="42" fillId="0" borderId="5" xfId="78" applyFont="1" applyFill="1" applyBorder="1" applyAlignment="1">
      <alignment horizontal="center" vertical="center" wrapText="1"/>
    </xf>
    <xf numFmtId="0" fontId="62" fillId="0" borderId="5" xfId="78" applyFont="1" applyFill="1" applyBorder="1" applyAlignment="1">
      <alignment horizontal="center" vertical="center" wrapText="1"/>
    </xf>
    <xf numFmtId="0" fontId="64" fillId="0" borderId="0" xfId="125" applyFont="1" applyFill="1" applyAlignment="1" applyProtection="1">
      <alignment horizontal="right" vertical="top"/>
      <protection locked="0"/>
    </xf>
    <xf numFmtId="0" fontId="43" fillId="0" borderId="0" xfId="125" applyFont="1" applyFill="1" applyAlignment="1" applyProtection="1">
      <alignment horizontal="left" vertical="top"/>
      <protection locked="0"/>
    </xf>
    <xf numFmtId="0" fontId="20" fillId="40" borderId="0" xfId="78" applyFill="1"/>
    <xf numFmtId="44" fontId="2" fillId="0" borderId="5" xfId="126" applyFont="1" applyBorder="1"/>
    <xf numFmtId="0" fontId="2" fillId="0" borderId="5" xfId="128" applyFill="1" applyBorder="1"/>
    <xf numFmtId="0" fontId="2" fillId="0" borderId="5" xfId="128" applyBorder="1"/>
    <xf numFmtId="0" fontId="65" fillId="40" borderId="0" xfId="78" applyFont="1" applyFill="1"/>
    <xf numFmtId="0" fontId="32" fillId="40" borderId="0" xfId="68" applyFill="1" applyAlignment="1" applyProtection="1"/>
    <xf numFmtId="0" fontId="66" fillId="40" borderId="0" xfId="78" applyFont="1" applyFill="1"/>
    <xf numFmtId="44" fontId="20" fillId="40" borderId="0" xfId="78" applyNumberFormat="1" applyFill="1"/>
    <xf numFmtId="6" fontId="20" fillId="40" borderId="0" xfId="78" applyNumberFormat="1" applyFill="1"/>
    <xf numFmtId="0" fontId="67" fillId="40" borderId="0" xfId="78" applyFont="1" applyFill="1"/>
    <xf numFmtId="0" fontId="20" fillId="40" borderId="0" xfId="78" applyFill="1" applyAlignment="1">
      <alignment horizontal="left" wrapText="1"/>
    </xf>
    <xf numFmtId="0" fontId="20" fillId="40" borderId="0" xfId="78" applyFill="1" applyAlignment="1">
      <alignment horizontal="center" wrapText="1"/>
    </xf>
    <xf numFmtId="0" fontId="45" fillId="0" borderId="0" xfId="0" applyFont="1" applyAlignment="1" applyProtection="1">
      <alignment vertical="center"/>
    </xf>
    <xf numFmtId="0" fontId="46" fillId="0" borderId="0" xfId="0" applyFont="1" applyAlignment="1" applyProtection="1">
      <alignment horizontal="left"/>
    </xf>
    <xf numFmtId="0" fontId="46" fillId="0" borderId="0" xfId="0" applyFont="1" applyAlignment="1" applyProtection="1">
      <alignment horizontal="center"/>
    </xf>
    <xf numFmtId="0" fontId="46" fillId="0" borderId="0" xfId="0" applyFont="1" applyProtection="1">
      <protection locked="0"/>
    </xf>
    <xf numFmtId="0" fontId="75" fillId="0" borderId="0" xfId="0" applyFont="1" applyAlignment="1" applyProtection="1">
      <alignment horizontal="center" vertical="center"/>
      <protection locked="0"/>
    </xf>
    <xf numFmtId="0" fontId="5" fillId="0" borderId="0" xfId="0" applyFont="1" applyAlignment="1">
      <alignment horizontal="center" vertical="center"/>
    </xf>
    <xf numFmtId="0" fontId="76" fillId="0" borderId="0" xfId="0" applyFont="1" applyAlignment="1">
      <alignment horizontal="center" vertical="center" wrapText="1"/>
    </xf>
    <xf numFmtId="0" fontId="44" fillId="0" borderId="0" xfId="0" applyFont="1" applyBorder="1" applyAlignment="1" applyProtection="1">
      <alignment horizontal="left"/>
    </xf>
    <xf numFmtId="9" fontId="43" fillId="0" borderId="0" xfId="0" applyNumberFormat="1" applyFont="1" applyBorder="1" applyAlignment="1" applyProtection="1">
      <alignment horizontal="center" vertical="center"/>
    </xf>
    <xf numFmtId="0" fontId="48" fillId="0" borderId="0" xfId="0" applyFont="1" applyBorder="1" applyAlignment="1" applyProtection="1">
      <alignment vertical="center"/>
    </xf>
    <xf numFmtId="0" fontId="43" fillId="0" borderId="0"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43" fillId="0" borderId="0" xfId="0" applyFont="1" applyBorder="1" applyAlignment="1" applyProtection="1">
      <alignment horizontal="center" vertical="center"/>
      <protection locked="0"/>
    </xf>
    <xf numFmtId="0" fontId="42" fillId="0" borderId="5" xfId="0" applyFont="1" applyBorder="1" applyAlignment="1" applyProtection="1">
      <alignment horizontal="center" vertical="center"/>
    </xf>
    <xf numFmtId="0" fontId="42" fillId="0" borderId="16" xfId="0" applyFont="1" applyBorder="1" applyAlignment="1" applyProtection="1">
      <alignment vertical="center"/>
    </xf>
    <xf numFmtId="164" fontId="43" fillId="0" borderId="5" xfId="0" applyNumberFormat="1" applyFont="1" applyBorder="1" applyAlignment="1" applyProtection="1">
      <alignment horizontal="center" vertical="center"/>
    </xf>
    <xf numFmtId="0" fontId="42" fillId="0" borderId="5" xfId="0" applyFont="1" applyBorder="1" applyAlignment="1" applyProtection="1">
      <alignment vertical="center"/>
    </xf>
    <xf numFmtId="9" fontId="43" fillId="0" borderId="5" xfId="0" applyNumberFormat="1" applyFont="1" applyBorder="1" applyAlignment="1" applyProtection="1">
      <alignment horizontal="center" vertical="center"/>
    </xf>
    <xf numFmtId="0" fontId="43" fillId="0" borderId="0" xfId="0" applyFont="1" applyAlignment="1">
      <alignment horizontal="center"/>
    </xf>
    <xf numFmtId="0" fontId="50" fillId="0" borderId="0" xfId="0" applyFont="1" applyAlignment="1" applyProtection="1">
      <alignment horizontal="left"/>
    </xf>
    <xf numFmtId="172" fontId="50" fillId="0" borderId="0" xfId="0" applyNumberFormat="1" applyFont="1" applyBorder="1" applyAlignment="1" applyProtection="1">
      <alignment horizontal="center"/>
    </xf>
    <xf numFmtId="0" fontId="50" fillId="0" borderId="0" xfId="0" applyFont="1" applyFill="1" applyBorder="1" applyAlignment="1" applyProtection="1">
      <alignment horizontal="center"/>
      <protection locked="0"/>
    </xf>
    <xf numFmtId="0" fontId="5" fillId="0" borderId="0" xfId="0" applyFont="1" applyBorder="1" applyAlignment="1">
      <alignment horizontal="center"/>
    </xf>
    <xf numFmtId="0" fontId="5" fillId="0" borderId="0" xfId="0" applyFont="1" applyAlignment="1">
      <alignment horizontal="center"/>
    </xf>
    <xf numFmtId="0" fontId="50" fillId="0" borderId="0" xfId="0" applyFont="1" applyBorder="1" applyAlignment="1" applyProtection="1">
      <alignment horizontal="center"/>
      <protection locked="0"/>
    </xf>
    <xf numFmtId="0" fontId="50" fillId="0" borderId="0" xfId="0" applyFont="1" applyProtection="1">
      <protection locked="0"/>
    </xf>
    <xf numFmtId="0" fontId="43" fillId="0" borderId="0" xfId="125" applyFont="1" applyFill="1" applyAlignment="1" applyProtection="1">
      <alignment vertical="center"/>
      <protection locked="0"/>
    </xf>
    <xf numFmtId="0" fontId="42" fillId="0" borderId="5" xfId="0" applyFont="1" applyBorder="1" applyAlignment="1" applyProtection="1">
      <alignment horizontal="left" vertical="center"/>
    </xf>
    <xf numFmtId="0" fontId="42" fillId="0" borderId="5" xfId="0" applyFont="1" applyFill="1" applyBorder="1" applyAlignment="1" applyProtection="1">
      <alignment horizontal="center" vertical="center"/>
    </xf>
    <xf numFmtId="0" fontId="43" fillId="0" borderId="0" xfId="0" applyFont="1" applyBorder="1" applyAlignment="1">
      <alignment horizontal="center"/>
    </xf>
    <xf numFmtId="164" fontId="43" fillId="41" borderId="5" xfId="0" applyNumberFormat="1" applyFont="1" applyFill="1" applyBorder="1" applyAlignment="1" applyProtection="1">
      <alignment horizontal="center" vertical="center"/>
    </xf>
    <xf numFmtId="0" fontId="42" fillId="0" borderId="5" xfId="0" quotePrefix="1" applyFont="1" applyFill="1" applyBorder="1" applyAlignment="1" applyProtection="1">
      <alignment horizontal="center" vertical="center"/>
    </xf>
    <xf numFmtId="0" fontId="42" fillId="0" borderId="5" xfId="0" applyFont="1" applyFill="1" applyBorder="1" applyAlignment="1" applyProtection="1">
      <alignment horizontal="left" vertical="center"/>
    </xf>
    <xf numFmtId="3" fontId="43" fillId="41" borderId="5" xfId="0" applyNumberFormat="1" applyFont="1" applyFill="1" applyBorder="1" applyAlignment="1" applyProtection="1">
      <alignment horizontal="center" vertical="center"/>
      <protection locked="0"/>
    </xf>
    <xf numFmtId="4" fontId="43" fillId="0" borderId="5" xfId="0" applyNumberFormat="1" applyFont="1" applyFill="1" applyBorder="1" applyAlignment="1" applyProtection="1">
      <alignment horizontal="center" vertical="center"/>
      <protection locked="0"/>
    </xf>
    <xf numFmtId="0" fontId="77" fillId="0" borderId="0" xfId="0" applyFont="1" applyBorder="1" applyAlignment="1" applyProtection="1">
      <alignment horizontal="center" vertical="center"/>
      <protection locked="0"/>
    </xf>
    <xf numFmtId="0" fontId="77" fillId="0" borderId="0" xfId="0" applyFont="1" applyAlignment="1">
      <alignment horizontal="center" vertical="center"/>
    </xf>
    <xf numFmtId="0" fontId="42" fillId="0" borderId="0" xfId="0" applyFont="1" applyBorder="1" applyAlignment="1" applyProtection="1">
      <alignment vertical="center"/>
    </xf>
    <xf numFmtId="0" fontId="49" fillId="0" borderId="0" xfId="125" applyFont="1" applyFill="1" applyBorder="1" applyAlignment="1" applyProtection="1">
      <alignment horizontal="center" vertical="center"/>
      <protection locked="0"/>
    </xf>
    <xf numFmtId="0" fontId="49" fillId="0" borderId="0" xfId="125" applyFont="1" applyFill="1" applyBorder="1" applyAlignment="1" applyProtection="1">
      <alignment vertical="center"/>
      <protection locked="0"/>
    </xf>
    <xf numFmtId="0" fontId="42" fillId="0" borderId="5" xfId="0" applyFont="1" applyBorder="1" applyAlignment="1" applyProtection="1">
      <alignment horizontal="left" vertical="center"/>
      <protection locked="0"/>
    </xf>
    <xf numFmtId="0" fontId="77" fillId="0" borderId="14" xfId="0" applyFont="1" applyBorder="1" applyAlignment="1">
      <alignment horizontal="center" vertical="center"/>
    </xf>
    <xf numFmtId="0" fontId="43" fillId="0" borderId="5" xfId="0" applyFont="1" applyBorder="1" applyAlignment="1" applyProtection="1">
      <alignment horizontal="left" vertical="center"/>
      <protection locked="0"/>
    </xf>
    <xf numFmtId="164" fontId="43" fillId="0" borderId="5" xfId="0" applyNumberFormat="1" applyFont="1" applyFill="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164" fontId="43" fillId="41" borderId="5" xfId="0" applyNumberFormat="1" applyFont="1" applyFill="1" applyBorder="1" applyAlignment="1" applyProtection="1">
      <alignment horizontal="center" vertical="center"/>
      <protection locked="0"/>
    </xf>
    <xf numFmtId="0" fontId="43" fillId="0" borderId="0" xfId="0" applyFont="1" applyAlignment="1">
      <alignment horizontal="center" vertical="top"/>
    </xf>
    <xf numFmtId="0" fontId="43" fillId="0" borderId="0" xfId="0" applyFont="1" applyAlignment="1" applyProtection="1">
      <alignment horizontal="center" vertical="center"/>
      <protection locked="0"/>
    </xf>
    <xf numFmtId="0" fontId="42" fillId="0" borderId="0" xfId="0" applyFont="1" applyFill="1" applyBorder="1" applyAlignment="1" applyProtection="1">
      <alignment horizontal="left" indent="1"/>
    </xf>
    <xf numFmtId="0" fontId="43"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center"/>
      <protection locked="0"/>
    </xf>
    <xf numFmtId="0" fontId="42" fillId="0" borderId="5" xfId="0" applyFont="1" applyBorder="1" applyAlignment="1" applyProtection="1">
      <alignment vertical="center" wrapText="1"/>
    </xf>
    <xf numFmtId="3" fontId="43" fillId="0" borderId="5" xfId="0" applyNumberFormat="1" applyFont="1" applyFill="1" applyBorder="1" applyAlignment="1" applyProtection="1">
      <alignment horizontal="center" vertical="center"/>
    </xf>
    <xf numFmtId="0" fontId="42" fillId="0" borderId="4" xfId="0" applyFont="1" applyBorder="1" applyAlignment="1" applyProtection="1">
      <alignment vertical="center" wrapText="1"/>
    </xf>
    <xf numFmtId="3" fontId="43" fillId="0" borderId="15" xfId="0" applyNumberFormat="1" applyFont="1" applyFill="1" applyBorder="1" applyAlignment="1" applyProtection="1">
      <alignment horizontal="center" vertical="center"/>
    </xf>
    <xf numFmtId="3" fontId="43" fillId="0" borderId="4" xfId="0" applyNumberFormat="1" applyFont="1" applyFill="1" applyBorder="1" applyAlignment="1" applyProtection="1">
      <alignment horizontal="center" vertical="center"/>
    </xf>
    <xf numFmtId="3" fontId="43" fillId="0" borderId="0" xfId="0" applyNumberFormat="1" applyFont="1" applyFill="1" applyBorder="1" applyAlignment="1" applyProtection="1">
      <alignment horizontal="center" vertical="center"/>
    </xf>
    <xf numFmtId="0" fontId="42" fillId="0" borderId="5" xfId="0" applyFont="1" applyBorder="1" applyAlignment="1" applyProtection="1">
      <alignment horizontal="left" vertical="center" wrapText="1"/>
    </xf>
    <xf numFmtId="3" fontId="43" fillId="0" borderId="0" xfId="0" applyNumberFormat="1" applyFont="1" applyFill="1" applyBorder="1" applyAlignment="1" applyProtection="1">
      <alignment horizontal="center"/>
    </xf>
    <xf numFmtId="171" fontId="43" fillId="0" borderId="0" xfId="12" applyNumberFormat="1" applyFont="1" applyFill="1" applyAlignment="1" applyProtection="1">
      <alignment horizontal="center"/>
      <protection locked="0"/>
    </xf>
    <xf numFmtId="0" fontId="42" fillId="0" borderId="0" xfId="0" applyFont="1" applyFill="1" applyBorder="1" applyAlignment="1" applyProtection="1">
      <alignment horizontal="left" vertical="center" wrapText="1"/>
    </xf>
    <xf numFmtId="3" fontId="43" fillId="0" borderId="0" xfId="0" applyNumberFormat="1" applyFont="1" applyFill="1" applyBorder="1" applyAlignment="1" applyProtection="1">
      <alignment horizontal="center" vertical="center"/>
      <protection locked="0"/>
    </xf>
    <xf numFmtId="0" fontId="42" fillId="0" borderId="5" xfId="127" applyFont="1" applyFill="1" applyBorder="1" applyAlignment="1" applyProtection="1">
      <alignment horizontal="left" vertical="center"/>
    </xf>
    <xf numFmtId="3" fontId="43" fillId="0" borderId="5" xfId="0" applyNumberFormat="1" applyFont="1" applyFill="1" applyBorder="1" applyAlignment="1" applyProtection="1">
      <alignment horizontal="center" vertical="center"/>
      <protection locked="0"/>
    </xf>
    <xf numFmtId="2" fontId="43" fillId="0" borderId="0" xfId="0" applyNumberFormat="1" applyFont="1" applyFill="1" applyBorder="1" applyAlignment="1" applyProtection="1">
      <alignment horizontal="center" vertical="center"/>
      <protection locked="0"/>
    </xf>
    <xf numFmtId="0" fontId="43" fillId="0" borderId="0" xfId="0" applyFont="1" applyFill="1" applyAlignment="1">
      <alignment horizontal="center" vertical="top"/>
    </xf>
    <xf numFmtId="0" fontId="44" fillId="0" borderId="0" xfId="0" applyFont="1" applyBorder="1" applyAlignment="1" applyProtection="1">
      <alignment horizontal="left" vertical="center"/>
    </xf>
    <xf numFmtId="0" fontId="50" fillId="0" borderId="0" xfId="0" applyFont="1" applyAlignment="1" applyProtection="1">
      <alignment horizontal="center"/>
      <protection locked="0"/>
    </xf>
    <xf numFmtId="0" fontId="50" fillId="0" borderId="0" xfId="0" applyFont="1" applyBorder="1" applyProtection="1">
      <protection locked="0"/>
    </xf>
    <xf numFmtId="0" fontId="57" fillId="0" borderId="0" xfId="0" applyFont="1" applyProtection="1">
      <protection locked="0"/>
    </xf>
    <xf numFmtId="0" fontId="43" fillId="0" borderId="0" xfId="0" applyFont="1" applyAlignment="1" applyProtection="1">
      <alignment horizontal="left" indent="1"/>
    </xf>
    <xf numFmtId="0" fontId="43" fillId="0" borderId="0" xfId="0" applyFont="1" applyAlignment="1" applyProtection="1">
      <alignment horizontal="left" vertical="center"/>
    </xf>
    <xf numFmtId="0" fontId="50" fillId="0" borderId="0" xfId="0" applyFont="1" applyBorder="1" applyAlignment="1" applyProtection="1">
      <alignment horizontal="left" vertical="center"/>
      <protection locked="0"/>
    </xf>
    <xf numFmtId="0" fontId="43" fillId="0" borderId="0" xfId="0" quotePrefix="1" applyFont="1" applyAlignment="1" applyProtection="1">
      <alignment horizontal="left"/>
    </xf>
    <xf numFmtId="0" fontId="43" fillId="0"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xf>
    <xf numFmtId="0" fontId="59" fillId="0" borderId="0" xfId="0" applyFont="1" applyBorder="1" applyAlignment="1" applyProtection="1">
      <alignment horizontal="left" vertical="center"/>
      <protection locked="0"/>
    </xf>
    <xf numFmtId="0" fontId="43" fillId="0" borderId="0" xfId="0" applyFont="1" applyBorder="1" applyAlignment="1" applyProtection="1">
      <alignment horizontal="left" indent="1"/>
    </xf>
    <xf numFmtId="0" fontId="61" fillId="0" borderId="0" xfId="0" applyFont="1" applyAlignment="1" applyProtection="1">
      <alignment horizontal="left" vertical="center"/>
    </xf>
    <xf numFmtId="0" fontId="62" fillId="0" borderId="0" xfId="0" applyFont="1" applyBorder="1" applyAlignment="1" applyProtection="1">
      <alignment vertical="center"/>
      <protection locked="0"/>
    </xf>
    <xf numFmtId="0" fontId="78" fillId="0" borderId="0" xfId="0" applyFont="1" applyBorder="1" applyAlignment="1" applyProtection="1">
      <alignment horizontal="left"/>
    </xf>
    <xf numFmtId="0" fontId="79" fillId="0" borderId="0" xfId="0" applyFont="1"/>
    <xf numFmtId="0" fontId="80" fillId="0" borderId="0" xfId="0" applyFont="1" applyBorder="1" applyAlignment="1" applyProtection="1">
      <alignment horizontal="left"/>
    </xf>
    <xf numFmtId="0" fontId="81" fillId="0" borderId="0" xfId="0" applyFont="1" applyFill="1" applyAlignment="1" applyProtection="1">
      <alignment horizontal="left"/>
    </xf>
    <xf numFmtId="172" fontId="81" fillId="0" borderId="0" xfId="126" applyNumberFormat="1" applyFont="1" applyFill="1" applyBorder="1" applyAlignment="1" applyProtection="1">
      <alignment horizontal="center"/>
    </xf>
    <xf numFmtId="172" fontId="81" fillId="0" borderId="0" xfId="0" applyNumberFormat="1" applyFont="1" applyFill="1" applyBorder="1" applyAlignment="1" applyProtection="1">
      <alignment horizontal="center"/>
      <protection locked="0"/>
    </xf>
    <xf numFmtId="0" fontId="81" fillId="0" borderId="0" xfId="0" applyFont="1" applyFill="1" applyBorder="1" applyAlignment="1" applyProtection="1">
      <alignment horizontal="left"/>
      <protection locked="0"/>
    </xf>
    <xf numFmtId="0" fontId="81" fillId="0" borderId="0" xfId="0" applyFont="1" applyProtection="1">
      <protection locked="0"/>
    </xf>
    <xf numFmtId="0" fontId="81" fillId="0" borderId="0" xfId="0" applyFont="1" applyBorder="1" applyProtection="1">
      <protection locked="0"/>
    </xf>
    <xf numFmtId="3" fontId="82" fillId="0" borderId="0" xfId="0" applyNumberFormat="1" applyFont="1" applyFill="1" applyBorder="1" applyAlignment="1" applyProtection="1">
      <alignment horizontal="center" vertical="center"/>
    </xf>
    <xf numFmtId="172" fontId="81" fillId="0" borderId="5" xfId="126" applyNumberFormat="1" applyFont="1" applyFill="1" applyBorder="1" applyAlignment="1" applyProtection="1">
      <alignment horizontal="center"/>
    </xf>
    <xf numFmtId="172" fontId="81" fillId="0" borderId="5" xfId="0" applyNumberFormat="1" applyFont="1" applyFill="1" applyBorder="1" applyAlignment="1" applyProtection="1">
      <alignment horizontal="center"/>
      <protection locked="0"/>
    </xf>
    <xf numFmtId="0" fontId="81" fillId="0" borderId="5" xfId="0" applyFont="1" applyFill="1" applyBorder="1" applyAlignment="1" applyProtection="1">
      <alignment horizontal="left"/>
    </xf>
    <xf numFmtId="171" fontId="81" fillId="0" borderId="5" xfId="12" applyNumberFormat="1" applyFont="1" applyFill="1" applyBorder="1" applyAlignment="1" applyProtection="1">
      <alignment horizontal="center"/>
    </xf>
    <xf numFmtId="171" fontId="81" fillId="0" borderId="5" xfId="12" applyNumberFormat="1" applyFont="1" applyFill="1" applyBorder="1" applyAlignment="1" applyProtection="1">
      <alignment horizontal="center"/>
      <protection locked="0"/>
    </xf>
    <xf numFmtId="171" fontId="81" fillId="0" borderId="5" xfId="12" applyNumberFormat="1" applyFont="1" applyFill="1" applyBorder="1" applyAlignment="1" applyProtection="1">
      <alignment horizontal="left"/>
      <protection locked="0"/>
    </xf>
    <xf numFmtId="9" fontId="81" fillId="0" borderId="5" xfId="0" applyNumberFormat="1" applyFont="1" applyBorder="1" applyProtection="1">
      <protection locked="0"/>
    </xf>
    <xf numFmtId="0" fontId="83" fillId="0" borderId="0" xfId="0" applyFont="1" applyFill="1" applyBorder="1" applyAlignment="1" applyProtection="1">
      <alignment horizontal="left"/>
    </xf>
    <xf numFmtId="171" fontId="81" fillId="0" borderId="0" xfId="12" applyNumberFormat="1" applyFont="1" applyFill="1" applyBorder="1" applyAlignment="1" applyProtection="1">
      <alignment horizontal="center"/>
    </xf>
    <xf numFmtId="171" fontId="81" fillId="0" borderId="0" xfId="12" applyNumberFormat="1" applyFont="1" applyFill="1" applyBorder="1" applyAlignment="1" applyProtection="1">
      <alignment horizontal="center"/>
      <protection locked="0"/>
    </xf>
    <xf numFmtId="171" fontId="81" fillId="0" borderId="0" xfId="12" applyNumberFormat="1" applyFont="1" applyFill="1" applyBorder="1" applyAlignment="1" applyProtection="1">
      <alignment horizontal="left"/>
      <protection locked="0"/>
    </xf>
    <xf numFmtId="0" fontId="81" fillId="0" borderId="0" xfId="0" applyFont="1" applyAlignment="1" applyProtection="1">
      <alignment horizontal="left"/>
    </xf>
    <xf numFmtId="172" fontId="81" fillId="0" borderId="0" xfId="126" applyNumberFormat="1" applyFont="1" applyBorder="1" applyAlignment="1" applyProtection="1">
      <alignment horizontal="center"/>
    </xf>
    <xf numFmtId="172" fontId="81" fillId="0" borderId="0" xfId="0" applyNumberFormat="1" applyFont="1" applyBorder="1" applyAlignment="1" applyProtection="1">
      <alignment horizontal="center"/>
      <protection locked="0"/>
    </xf>
    <xf numFmtId="0" fontId="81" fillId="0" borderId="0" xfId="0" applyFont="1" applyFill="1" applyBorder="1" applyAlignment="1" applyProtection="1">
      <alignment horizontal="center"/>
      <protection locked="0"/>
    </xf>
    <xf numFmtId="0" fontId="81" fillId="0" borderId="0" xfId="0" applyFont="1" applyAlignment="1" applyProtection="1">
      <alignment horizontal="center"/>
      <protection locked="0"/>
    </xf>
    <xf numFmtId="0" fontId="81" fillId="0" borderId="0" xfId="0" applyFont="1" applyBorder="1" applyAlignment="1" applyProtection="1">
      <alignment horizontal="center"/>
      <protection locked="0"/>
    </xf>
    <xf numFmtId="0" fontId="82" fillId="0" borderId="0" xfId="0" applyFont="1" applyBorder="1" applyAlignment="1" applyProtection="1">
      <alignment horizontal="left" vertical="center" indent="1"/>
      <protection locked="0"/>
    </xf>
    <xf numFmtId="0" fontId="84" fillId="0" borderId="0" xfId="125" applyFont="1" applyFill="1" applyBorder="1" applyProtection="1">
      <protection locked="0"/>
    </xf>
    <xf numFmtId="0" fontId="82" fillId="0" borderId="0" xfId="125" applyFont="1" applyFill="1" applyProtection="1">
      <protection locked="0"/>
    </xf>
    <xf numFmtId="0" fontId="85" fillId="0" borderId="0" xfId="0" applyFont="1" applyBorder="1" applyAlignment="1" applyProtection="1">
      <alignment horizontal="left"/>
    </xf>
    <xf numFmtId="0" fontId="82" fillId="0" borderId="0" xfId="0" applyFont="1" applyBorder="1" applyAlignment="1" applyProtection="1">
      <alignment horizontal="left" vertical="center"/>
      <protection locked="0"/>
    </xf>
    <xf numFmtId="0" fontId="82" fillId="0" borderId="0" xfId="0" applyFont="1" applyBorder="1" applyAlignment="1" applyProtection="1">
      <alignment vertical="center"/>
      <protection locked="0"/>
    </xf>
    <xf numFmtId="3" fontId="82" fillId="0" borderId="5" xfId="0" applyNumberFormat="1" applyFont="1" applyFill="1" applyBorder="1" applyAlignment="1" applyProtection="1">
      <alignment horizontal="center" vertical="center"/>
    </xf>
    <xf numFmtId="0" fontId="82" fillId="0" borderId="5" xfId="0" applyFont="1" applyBorder="1" applyAlignment="1" applyProtection="1">
      <alignment horizontal="left" vertical="center"/>
      <protection locked="0"/>
    </xf>
    <xf numFmtId="171" fontId="82" fillId="0" borderId="5" xfId="12" applyNumberFormat="1" applyFont="1" applyBorder="1" applyAlignment="1" applyProtection="1">
      <alignment vertical="center"/>
      <protection locked="0"/>
    </xf>
    <xf numFmtId="9" fontId="82" fillId="0" borderId="5" xfId="0" applyNumberFormat="1" applyFont="1" applyBorder="1" applyAlignment="1" applyProtection="1">
      <alignment horizontal="center" vertical="center"/>
      <protection locked="0"/>
    </xf>
    <xf numFmtId="9" fontId="81" fillId="0" borderId="5" xfId="0" applyNumberFormat="1" applyFont="1" applyBorder="1" applyAlignment="1" applyProtection="1">
      <alignment horizontal="center"/>
      <protection locked="0"/>
    </xf>
    <xf numFmtId="3" fontId="79" fillId="0" borderId="0" xfId="0" applyNumberFormat="1" applyFont="1"/>
    <xf numFmtId="0" fontId="42" fillId="0" borderId="5" xfId="0" applyFont="1" applyFill="1" applyBorder="1" applyAlignment="1" applyProtection="1">
      <alignment vertical="center"/>
    </xf>
    <xf numFmtId="2" fontId="50" fillId="0" borderId="5" xfId="0" applyNumberFormat="1" applyFont="1" applyFill="1" applyBorder="1" applyAlignment="1" applyProtection="1">
      <alignment horizontal="center" vertical="center"/>
      <protection locked="0"/>
    </xf>
    <xf numFmtId="2" fontId="62" fillId="41" borderId="5"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left" indent="1"/>
    </xf>
    <xf numFmtId="0" fontId="42" fillId="0" borderId="0" xfId="0" applyFont="1" applyBorder="1" applyAlignment="1" applyProtection="1">
      <alignment horizontal="left" vertical="center" wrapText="1"/>
    </xf>
    <xf numFmtId="3" fontId="43" fillId="41" borderId="0" xfId="0" applyNumberFormat="1" applyFont="1" applyFill="1" applyBorder="1" applyAlignment="1" applyProtection="1">
      <alignment horizontal="center" vertical="center"/>
      <protection locked="0"/>
    </xf>
    <xf numFmtId="0" fontId="42" fillId="0" borderId="5" xfId="0" applyFont="1" applyFill="1" applyBorder="1" applyAlignment="1" applyProtection="1">
      <alignment horizontal="left" vertical="center" wrapText="1"/>
    </xf>
    <xf numFmtId="0" fontId="56" fillId="0" borderId="12" xfId="0" applyFont="1" applyBorder="1" applyProtection="1">
      <protection locked="0"/>
    </xf>
    <xf numFmtId="0" fontId="50" fillId="0" borderId="12" xfId="0" applyFont="1" applyBorder="1" applyAlignment="1" applyProtection="1">
      <alignment horizontal="left"/>
      <protection locked="0"/>
    </xf>
    <xf numFmtId="0" fontId="50" fillId="0" borderId="12" xfId="0" applyFont="1" applyBorder="1" applyAlignment="1" applyProtection="1">
      <alignment horizontal="center"/>
      <protection locked="0"/>
    </xf>
    <xf numFmtId="0" fontId="50" fillId="0" borderId="12" xfId="0" applyFont="1" applyBorder="1" applyProtection="1">
      <protection locked="0"/>
    </xf>
    <xf numFmtId="0" fontId="57" fillId="0" borderId="0" xfId="0" applyFont="1" applyBorder="1" applyProtection="1">
      <protection locked="0"/>
    </xf>
    <xf numFmtId="0" fontId="58" fillId="0" borderId="0" xfId="0" applyFont="1" applyAlignment="1" applyProtection="1">
      <alignment horizontal="left"/>
    </xf>
    <xf numFmtId="0" fontId="43" fillId="0" borderId="0" xfId="0" applyFont="1" applyBorder="1" applyAlignment="1" applyProtection="1">
      <alignment horizontal="left" vertical="center"/>
      <protection locked="0"/>
    </xf>
    <xf numFmtId="0" fontId="0" fillId="0" borderId="0" xfId="0" applyAlignment="1">
      <alignment horizontal="left"/>
    </xf>
    <xf numFmtId="0" fontId="44" fillId="0" borderId="0" xfId="0" applyFont="1" applyFill="1" applyBorder="1" applyAlignment="1" applyProtection="1">
      <alignment horizontal="left"/>
    </xf>
    <xf numFmtId="0" fontId="50" fillId="0" borderId="0" xfId="0" applyFont="1" applyFill="1" applyBorder="1" applyAlignment="1" applyProtection="1">
      <alignment horizontal="left"/>
    </xf>
    <xf numFmtId="0" fontId="5" fillId="0" borderId="0" xfId="0" applyFont="1" applyFill="1" applyBorder="1" applyAlignment="1" applyProtection="1">
      <alignment horizontal="center"/>
    </xf>
    <xf numFmtId="0" fontId="50" fillId="0" borderId="0" xfId="0" applyFont="1" applyFill="1" applyProtection="1"/>
    <xf numFmtId="0" fontId="0" fillId="0" borderId="0" xfId="0" applyFill="1"/>
    <xf numFmtId="0" fontId="42" fillId="0" borderId="5" xfId="0" applyFont="1" applyFill="1" applyBorder="1" applyAlignment="1">
      <alignment horizontal="center" vertical="center"/>
    </xf>
    <xf numFmtId="0" fontId="43" fillId="0" borderId="2" xfId="0" applyFont="1" applyFill="1" applyBorder="1" applyAlignment="1">
      <alignment horizontal="center" vertical="center" wrapText="1"/>
    </xf>
    <xf numFmtId="0" fontId="43" fillId="0" borderId="16"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62" fillId="0" borderId="5" xfId="0" applyFont="1" applyFill="1" applyBorder="1" applyAlignment="1">
      <alignment horizontal="center" vertical="center" wrapText="1"/>
    </xf>
    <xf numFmtId="171" fontId="81" fillId="0" borderId="0" xfId="0" applyNumberFormat="1" applyFont="1" applyBorder="1" applyProtection="1">
      <protection locked="0"/>
    </xf>
    <xf numFmtId="164" fontId="81" fillId="0" borderId="5" xfId="0" applyNumberFormat="1" applyFont="1" applyBorder="1" applyProtection="1">
      <protection locked="0"/>
    </xf>
    <xf numFmtId="44" fontId="81" fillId="0" borderId="0" xfId="0" applyNumberFormat="1" applyFont="1" applyProtection="1">
      <protection locked="0"/>
    </xf>
    <xf numFmtId="164" fontId="5" fillId="6" borderId="0" xfId="4" applyNumberFormat="1" applyFont="1" applyFill="1" applyBorder="1" applyAlignment="1">
      <alignment wrapText="1"/>
    </xf>
    <xf numFmtId="0" fontId="0" fillId="8" borderId="2" xfId="0" applyFill="1" applyBorder="1" applyAlignment="1">
      <alignment wrapText="1"/>
    </xf>
    <xf numFmtId="9" fontId="0" fillId="11" borderId="5" xfId="0" applyNumberFormat="1" applyFill="1" applyBorder="1" applyAlignment="1">
      <alignment horizontal="center"/>
    </xf>
    <xf numFmtId="9" fontId="0" fillId="11" borderId="5" xfId="9" applyFont="1" applyFill="1" applyBorder="1" applyAlignment="1">
      <alignment horizontal="center"/>
    </xf>
    <xf numFmtId="9" fontId="0" fillId="0" borderId="0" xfId="0" applyNumberFormat="1"/>
    <xf numFmtId="9" fontId="0" fillId="15" borderId="0" xfId="9" applyFont="1" applyFill="1" applyAlignment="1">
      <alignment horizontal="center" readingOrder="1"/>
    </xf>
    <xf numFmtId="0" fontId="20" fillId="0" borderId="0" xfId="13" applyFont="1"/>
    <xf numFmtId="0" fontId="86" fillId="13" borderId="31" xfId="13" applyFont="1" applyFill="1" applyBorder="1"/>
    <xf numFmtId="0" fontId="86" fillId="13" borderId="32" xfId="13" applyFont="1" applyFill="1" applyBorder="1"/>
    <xf numFmtId="0" fontId="86" fillId="13" borderId="8" xfId="13" applyFont="1" applyFill="1" applyBorder="1"/>
    <xf numFmtId="0" fontId="87" fillId="16" borderId="16" xfId="166" applyFont="1" applyFill="1" applyBorder="1" applyAlignment="1">
      <alignment horizontal="left" vertical="center" wrapText="1"/>
    </xf>
    <xf numFmtId="0" fontId="87" fillId="16" borderId="5" xfId="166" applyFont="1" applyFill="1" applyBorder="1" applyAlignment="1">
      <alignment horizontal="left" vertical="center" wrapText="1"/>
    </xf>
    <xf numFmtId="0" fontId="88" fillId="0" borderId="5" xfId="166" applyNumberFormat="1" applyFont="1" applyFill="1" applyBorder="1" applyAlignment="1">
      <alignment horizontal="left" vertical="center" wrapText="1"/>
    </xf>
    <xf numFmtId="0" fontId="88" fillId="0" borderId="5" xfId="166" applyFont="1" applyFill="1" applyBorder="1" applyAlignment="1">
      <alignment horizontal="left" vertical="center" wrapText="1"/>
    </xf>
    <xf numFmtId="0" fontId="20" fillId="0" borderId="5" xfId="166" applyFont="1" applyFill="1" applyBorder="1" applyAlignment="1">
      <alignment horizontal="left" vertical="center" wrapText="1"/>
    </xf>
    <xf numFmtId="0" fontId="88" fillId="0" borderId="5" xfId="166" applyFont="1" applyBorder="1" applyAlignment="1">
      <alignment horizontal="left" vertical="center" wrapText="1" readingOrder="1"/>
    </xf>
    <xf numFmtId="0" fontId="88" fillId="0" borderId="5" xfId="166" applyFont="1" applyBorder="1" applyAlignment="1">
      <alignment vertical="center" wrapText="1" readingOrder="1"/>
    </xf>
    <xf numFmtId="0" fontId="88" fillId="0" borderId="5" xfId="166" applyFont="1" applyBorder="1" applyAlignment="1">
      <alignment wrapText="1" readingOrder="1"/>
    </xf>
    <xf numFmtId="0" fontId="88" fillId="0" borderId="5" xfId="166" applyNumberFormat="1" applyFont="1" applyBorder="1" applyAlignment="1">
      <alignment vertical="center" wrapText="1" readingOrder="1"/>
    </xf>
    <xf numFmtId="2" fontId="5" fillId="0" borderId="0" xfId="167" applyNumberFormat="1" applyFont="1"/>
    <xf numFmtId="0" fontId="8" fillId="63" borderId="7" xfId="2" applyFont="1" applyFill="1" applyBorder="1" applyAlignment="1">
      <alignment horizontal="center"/>
    </xf>
    <xf numFmtId="0" fontId="10" fillId="12" borderId="7" xfId="2" applyFont="1" applyFill="1" applyBorder="1" applyAlignment="1">
      <alignment horizontal="center" wrapText="1"/>
    </xf>
    <xf numFmtId="0" fontId="10" fillId="12" borderId="5" xfId="2" applyFont="1" applyFill="1" applyBorder="1" applyAlignment="1">
      <alignment horizontal="center" wrapText="1"/>
    </xf>
    <xf numFmtId="9" fontId="0" fillId="0" borderId="0" xfId="9" applyFont="1"/>
    <xf numFmtId="9" fontId="5" fillId="65" borderId="0" xfId="9" applyFont="1" applyFill="1"/>
    <xf numFmtId="0" fontId="12" fillId="66" borderId="6" xfId="0" applyFont="1" applyFill="1" applyBorder="1" applyAlignment="1">
      <alignment horizontal="left" wrapText="1" readingOrder="1"/>
    </xf>
    <xf numFmtId="0" fontId="12" fillId="66"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0" xfId="0" applyBorder="1">
      <alignment readingOrder="1"/>
    </xf>
    <xf numFmtId="0" fontId="0" fillId="0" borderId="37" xfId="0" applyBorder="1">
      <alignment readingOrder="1"/>
    </xf>
    <xf numFmtId="0" fontId="0" fillId="0" borderId="38" xfId="0" applyBorder="1">
      <alignment readingOrder="1"/>
    </xf>
    <xf numFmtId="0" fontId="0" fillId="0" borderId="39" xfId="0" applyBorder="1">
      <alignment readingOrder="1"/>
    </xf>
    <xf numFmtId="0" fontId="0" fillId="0" borderId="40" xfId="0" applyBorder="1">
      <alignment readingOrder="1"/>
    </xf>
    <xf numFmtId="0" fontId="10" fillId="67" borderId="31" xfId="0" applyFont="1" applyFill="1" applyBorder="1" applyAlignment="1">
      <alignment horizontal="centerContinuous" wrapText="1" readingOrder="1"/>
    </xf>
    <xf numFmtId="0" fontId="10" fillId="67" borderId="8" xfId="0" applyFont="1" applyFill="1" applyBorder="1" applyAlignment="1">
      <alignment horizontal="centerContinuous" wrapText="1" readingOrder="1"/>
    </xf>
    <xf numFmtId="164" fontId="10" fillId="67" borderId="31" xfId="0" applyNumberFormat="1" applyFont="1" applyFill="1" applyBorder="1" applyAlignment="1">
      <alignment horizontal="centerContinuous" wrapText="1" readingOrder="1"/>
    </xf>
    <xf numFmtId="164" fontId="10" fillId="67" borderId="32" xfId="0" applyNumberFormat="1" applyFont="1" applyFill="1" applyBorder="1" applyAlignment="1">
      <alignment horizontal="centerContinuous" wrapText="1" readingOrder="1"/>
    </xf>
    <xf numFmtId="164" fontId="10" fillId="67" borderId="8" xfId="0" applyNumberFormat="1" applyFont="1" applyFill="1" applyBorder="1" applyAlignment="1">
      <alignment horizontal="centerContinuous" wrapText="1" readingOrder="1"/>
    </xf>
    <xf numFmtId="164" fontId="10" fillId="67" borderId="15" xfId="0" applyNumberFormat="1" applyFont="1" applyFill="1" applyBorder="1" applyAlignment="1">
      <alignment horizontal="center" wrapText="1" readingOrder="1"/>
    </xf>
    <xf numFmtId="174" fontId="10" fillId="8" borderId="7" xfId="0" applyNumberFormat="1" applyFont="1" applyFill="1" applyBorder="1" applyAlignment="1">
      <alignment horizontal="center" wrapText="1" readingOrder="1"/>
    </xf>
    <xf numFmtId="164" fontId="97" fillId="0" borderId="0" xfId="0" applyNumberFormat="1" applyFont="1">
      <alignment readingOrder="1"/>
    </xf>
    <xf numFmtId="0" fontId="10" fillId="9" borderId="31" xfId="0" applyFont="1" applyFill="1" applyBorder="1" applyAlignment="1">
      <alignment horizontal="centerContinuous" wrapText="1" readingOrder="1"/>
    </xf>
    <xf numFmtId="0" fontId="10" fillId="9" borderId="32" xfId="0" applyFont="1" applyFill="1" applyBorder="1" applyAlignment="1">
      <alignment horizontal="centerContinuous" wrapText="1" readingOrder="1"/>
    </xf>
    <xf numFmtId="164" fontId="10" fillId="9" borderId="32"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31" xfId="0" applyNumberFormat="1" applyFont="1" applyFill="1" applyBorder="1" applyAlignment="1">
      <alignment horizontal="centerContinuous" wrapText="1" readingOrder="1"/>
    </xf>
    <xf numFmtId="175" fontId="11" fillId="0" borderId="0" xfId="0" applyNumberFormat="1" applyFont="1">
      <alignment readingOrder="1"/>
    </xf>
    <xf numFmtId="175" fontId="0" fillId="0" borderId="0" xfId="0" applyNumberFormat="1">
      <alignment readingOrder="1"/>
    </xf>
    <xf numFmtId="175" fontId="97" fillId="0" borderId="0" xfId="0" applyNumberFormat="1" applyFont="1">
      <alignment readingOrder="1"/>
    </xf>
    <xf numFmtId="9" fontId="0" fillId="0" borderId="41" xfId="0" applyNumberFormat="1" applyBorder="1">
      <alignment readingOrder="1"/>
    </xf>
    <xf numFmtId="0" fontId="19" fillId="16" borderId="27" xfId="0" applyFont="1" applyFill="1" applyBorder="1"/>
    <xf numFmtId="0" fontId="0" fillId="0" borderId="11" xfId="0" applyBorder="1"/>
    <xf numFmtId="0" fontId="0" fillId="0" borderId="12" xfId="0" applyBorder="1"/>
    <xf numFmtId="0" fontId="0" fillId="0" borderId="13" xfId="0" applyBorder="1"/>
    <xf numFmtId="0" fontId="20" fillId="0" borderId="5" xfId="0" applyFont="1" applyFill="1" applyBorder="1"/>
    <xf numFmtId="0" fontId="19" fillId="0" borderId="5" xfId="0" applyFont="1" applyFill="1" applyBorder="1"/>
    <xf numFmtId="2" fontId="0" fillId="12" borderId="0" xfId="0" applyNumberFormat="1" applyFill="1" applyAlignment="1">
      <alignment horizontal="center" readingOrder="1"/>
    </xf>
    <xf numFmtId="43" fontId="0" fillId="12" borderId="0" xfId="14" applyFont="1" applyFill="1" applyAlignment="1">
      <alignment horizontal="center" readingOrder="1"/>
    </xf>
    <xf numFmtId="1" fontId="0" fillId="0" borderId="0" xfId="0" applyNumberFormat="1"/>
    <xf numFmtId="0" fontId="0" fillId="16" borderId="0" xfId="0" applyFill="1">
      <alignment readingOrder="1"/>
    </xf>
    <xf numFmtId="0" fontId="0" fillId="16" borderId="0" xfId="0" applyFill="1" applyAlignment="1">
      <alignment vertical="center" wrapText="1" readingOrder="1"/>
    </xf>
    <xf numFmtId="0" fontId="98" fillId="0" borderId="0" xfId="0" applyFont="1" applyAlignment="1">
      <alignment horizontal="left"/>
    </xf>
    <xf numFmtId="0" fontId="98" fillId="0" borderId="43" xfId="0" applyFont="1" applyBorder="1" applyAlignment="1">
      <alignment horizontal="left" vertical="center" wrapText="1"/>
    </xf>
    <xf numFmtId="0" fontId="98" fillId="0" borderId="43" xfId="0" applyFont="1" applyBorder="1" applyAlignment="1">
      <alignment horizontal="center" vertical="center" wrapText="1"/>
    </xf>
    <xf numFmtId="0" fontId="98" fillId="0" borderId="44" xfId="0" applyFont="1" applyBorder="1" applyAlignment="1">
      <alignment horizontal="left"/>
    </xf>
    <xf numFmtId="2" fontId="98" fillId="0" borderId="44" xfId="0" applyNumberFormat="1" applyFont="1" applyBorder="1" applyAlignment="1">
      <alignment horizontal="right"/>
    </xf>
    <xf numFmtId="0" fontId="0" fillId="0" borderId="45" xfId="0" applyBorder="1" applyAlignment="1">
      <alignment horizontal="right"/>
    </xf>
    <xf numFmtId="2" fontId="0" fillId="0" borderId="45" xfId="0" applyNumberFormat="1" applyBorder="1" applyAlignment="1">
      <alignment horizontal="right"/>
    </xf>
    <xf numFmtId="0" fontId="98" fillId="0" borderId="45" xfId="0" applyFont="1" applyBorder="1" applyAlignment="1">
      <alignment horizontal="left"/>
    </xf>
    <xf numFmtId="2" fontId="98" fillId="0" borderId="45" xfId="0" applyNumberFormat="1" applyFont="1" applyBorder="1" applyAlignment="1">
      <alignment horizontal="right"/>
    </xf>
    <xf numFmtId="0" fontId="0" fillId="0" borderId="47" xfId="0" applyBorder="1" applyAlignment="1">
      <alignment horizontal="right"/>
    </xf>
    <xf numFmtId="9" fontId="0" fillId="0" borderId="0" xfId="9" applyNumberFormat="1" applyFont="1"/>
    <xf numFmtId="0" fontId="79" fillId="10" borderId="0" xfId="0" applyFont="1" applyFill="1"/>
    <xf numFmtId="164" fontId="0" fillId="14" borderId="0" xfId="0" applyNumberFormat="1" applyFill="1">
      <alignment readingOrder="1"/>
    </xf>
    <xf numFmtId="0" fontId="0" fillId="13" borderId="0" xfId="0" applyFill="1" applyAlignment="1">
      <alignment horizontal="left" vertical="center" readingOrder="1"/>
    </xf>
    <xf numFmtId="2" fontId="99" fillId="0" borderId="46" xfId="0" applyNumberFormat="1" applyFont="1" applyBorder="1" applyAlignment="1">
      <alignment horizontal="center" vertical="center" wrapText="1"/>
    </xf>
    <xf numFmtId="2" fontId="99" fillId="0" borderId="48" xfId="0" applyNumberFormat="1" applyFont="1" applyBorder="1" applyAlignment="1">
      <alignment horizontal="center" vertical="center" wrapText="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4"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3" fontId="82" fillId="0" borderId="5" xfId="0" applyNumberFormat="1" applyFont="1" applyFill="1" applyBorder="1" applyAlignment="1" applyProtection="1">
      <alignment horizontal="center" vertical="center"/>
    </xf>
    <xf numFmtId="0" fontId="82" fillId="0" borderId="5" xfId="0" applyFont="1" applyBorder="1" applyAlignment="1" applyProtection="1">
      <alignment horizontal="center" vertical="center"/>
      <protection locked="0"/>
    </xf>
    <xf numFmtId="0" fontId="82" fillId="0" borderId="2" xfId="0" applyFont="1" applyBorder="1" applyAlignment="1" applyProtection="1">
      <alignment horizontal="center" vertical="center" wrapText="1"/>
      <protection locked="0"/>
    </xf>
    <xf numFmtId="0" fontId="82" fillId="0" borderId="16" xfId="0" applyFont="1" applyBorder="1" applyAlignment="1" applyProtection="1">
      <alignment horizontal="center" vertical="center" wrapText="1"/>
      <protection locked="0"/>
    </xf>
    <xf numFmtId="0" fontId="81" fillId="0" borderId="5" xfId="0" applyFont="1" applyFill="1" applyBorder="1" applyAlignment="1" applyProtection="1">
      <alignment horizontal="center" vertical="center" wrapText="1"/>
    </xf>
    <xf numFmtId="172" fontId="81" fillId="0" borderId="5" xfId="126" applyNumberFormat="1" applyFont="1" applyFill="1" applyBorder="1" applyAlignment="1" applyProtection="1">
      <alignment horizontal="center"/>
    </xf>
    <xf numFmtId="0" fontId="81" fillId="0" borderId="5" xfId="0" applyFont="1" applyFill="1" applyBorder="1" applyAlignment="1" applyProtection="1">
      <alignment horizontal="center"/>
      <protection locked="0"/>
    </xf>
    <xf numFmtId="0" fontId="81" fillId="0" borderId="5" xfId="0" applyFont="1" applyBorder="1" applyAlignment="1" applyProtection="1">
      <alignment horizontal="center" vertical="center"/>
      <protection locked="0"/>
    </xf>
    <xf numFmtId="0" fontId="55" fillId="0" borderId="6" xfId="125" applyFont="1" applyFill="1" applyBorder="1" applyAlignment="1" applyProtection="1">
      <alignment horizontal="center" vertical="top"/>
    </xf>
    <xf numFmtId="0" fontId="20" fillId="0" borderId="15" xfId="78" applyBorder="1" applyAlignment="1">
      <alignment horizontal="center"/>
    </xf>
    <xf numFmtId="0" fontId="20" fillId="0" borderId="7" xfId="78" applyBorder="1" applyAlignment="1">
      <alignment horizontal="center"/>
    </xf>
    <xf numFmtId="0" fontId="60" fillId="0" borderId="0" xfId="68" quotePrefix="1" applyFont="1" applyAlignment="1" applyProtection="1">
      <alignment horizontal="left"/>
    </xf>
    <xf numFmtId="0" fontId="60" fillId="0" borderId="0" xfId="68" applyFont="1" applyAlignment="1" applyProtection="1">
      <alignment horizontal="left"/>
    </xf>
    <xf numFmtId="0" fontId="42" fillId="0" borderId="5" xfId="78" applyFont="1" applyFill="1" applyBorder="1" applyAlignment="1">
      <alignment horizontal="center" vertical="center" wrapText="1"/>
    </xf>
    <xf numFmtId="0" fontId="43" fillId="0" borderId="5" xfId="78" applyFont="1" applyFill="1" applyBorder="1" applyAlignment="1">
      <alignment wrapText="1"/>
    </xf>
    <xf numFmtId="0" fontId="60" fillId="0" borderId="5" xfId="68" applyFont="1" applyFill="1" applyBorder="1" applyAlignment="1" applyProtection="1">
      <alignment horizontal="center"/>
      <protection locked="0"/>
    </xf>
    <xf numFmtId="0" fontId="20" fillId="0" borderId="5" xfId="78" applyBorder="1" applyAlignment="1">
      <alignment horizontal="center"/>
    </xf>
    <xf numFmtId="0" fontId="42" fillId="0" borderId="2" xfId="78" applyFont="1" applyBorder="1" applyAlignment="1" applyProtection="1">
      <alignment vertical="center"/>
    </xf>
    <xf numFmtId="0" fontId="42" fillId="0" borderId="16" xfId="78" applyFont="1" applyBorder="1" applyAlignment="1" applyProtection="1">
      <alignment vertical="center"/>
    </xf>
    <xf numFmtId="0" fontId="42" fillId="0" borderId="5" xfId="78" applyFont="1" applyBorder="1" applyAlignment="1" applyProtection="1">
      <alignment horizontal="center" vertical="center"/>
    </xf>
    <xf numFmtId="0" fontId="20" fillId="0" borderId="5" xfId="78" applyBorder="1" applyAlignment="1" applyProtection="1">
      <alignment horizontal="center"/>
    </xf>
    <xf numFmtId="0" fontId="42" fillId="0" borderId="2" xfId="78" applyFont="1" applyBorder="1" applyAlignment="1" applyProtection="1">
      <alignment vertical="center" wrapText="1"/>
    </xf>
    <xf numFmtId="0" fontId="20" fillId="0" borderId="16" xfId="78" applyBorder="1" applyAlignment="1">
      <alignment vertical="center" wrapText="1"/>
    </xf>
    <xf numFmtId="0" fontId="42" fillId="0" borderId="5" xfId="78" applyFont="1" applyFill="1" applyBorder="1" applyAlignment="1" applyProtection="1">
      <alignment horizontal="center" vertical="center"/>
    </xf>
    <xf numFmtId="0" fontId="43" fillId="0" borderId="5" xfId="78" applyFont="1" applyFill="1" applyBorder="1" applyAlignment="1">
      <alignment horizontal="center" vertical="center" wrapText="1"/>
    </xf>
    <xf numFmtId="0" fontId="62" fillId="0" borderId="5" xfId="78" applyFont="1" applyFill="1" applyBorder="1" applyAlignment="1">
      <alignment horizontal="center" vertical="center" wrapText="1"/>
    </xf>
    <xf numFmtId="0" fontId="42" fillId="0" borderId="5" xfId="78" applyFont="1" applyBorder="1" applyAlignment="1" applyProtection="1">
      <alignment horizontal="left" vertical="center"/>
    </xf>
    <xf numFmtId="0" fontId="20" fillId="0" borderId="5" xfId="78" applyBorder="1" applyAlignment="1"/>
    <xf numFmtId="0" fontId="42" fillId="0" borderId="2" xfId="0" applyFont="1" applyBorder="1" applyAlignment="1" applyProtection="1">
      <alignment vertical="center"/>
    </xf>
    <xf numFmtId="0" fontId="42" fillId="0" borderId="16" xfId="0" applyFont="1" applyBorder="1" applyAlignment="1" applyProtection="1">
      <alignment vertical="center"/>
    </xf>
    <xf numFmtId="0" fontId="42" fillId="0" borderId="5" xfId="0" applyFont="1" applyBorder="1" applyAlignment="1" applyProtection="1">
      <alignment horizontal="center" vertical="center"/>
    </xf>
    <xf numFmtId="0" fontId="0" fillId="0" borderId="5" xfId="0" applyBorder="1" applyAlignment="1" applyProtection="1">
      <alignment horizontal="center"/>
    </xf>
    <xf numFmtId="0" fontId="42" fillId="0" borderId="2" xfId="0" applyFont="1" applyBorder="1" applyAlignment="1" applyProtection="1">
      <alignment vertical="center" wrapText="1"/>
    </xf>
    <xf numFmtId="0" fontId="0" fillId="0" borderId="16" xfId="0" applyBorder="1" applyAlignment="1">
      <alignment vertical="center" wrapText="1"/>
    </xf>
    <xf numFmtId="0" fontId="42" fillId="0" borderId="5" xfId="0" applyFont="1" applyFill="1" applyBorder="1" applyAlignment="1" applyProtection="1">
      <alignment horizontal="center" vertical="center"/>
    </xf>
    <xf numFmtId="0" fontId="0" fillId="0" borderId="5" xfId="0" applyBorder="1" applyAlignment="1">
      <alignment horizontal="center"/>
    </xf>
    <xf numFmtId="0" fontId="42" fillId="0" borderId="5" xfId="0" applyFont="1" applyBorder="1" applyAlignment="1" applyProtection="1">
      <alignment horizontal="left" vertical="center"/>
    </xf>
    <xf numFmtId="0" fontId="0" fillId="0" borderId="5" xfId="0" applyBorder="1" applyAlignment="1"/>
    <xf numFmtId="0" fontId="0" fillId="0" borderId="15" xfId="0" applyBorder="1" applyAlignment="1">
      <alignment horizontal="center"/>
    </xf>
    <xf numFmtId="0" fontId="0" fillId="0" borderId="7" xfId="0" applyBorder="1" applyAlignment="1">
      <alignment horizontal="center"/>
    </xf>
    <xf numFmtId="0" fontId="42" fillId="0" borderId="5" xfId="0" applyFont="1" applyFill="1" applyBorder="1" applyAlignment="1">
      <alignment horizontal="center" vertical="center" wrapText="1"/>
    </xf>
    <xf numFmtId="0" fontId="43" fillId="0" borderId="5" xfId="0" applyFont="1" applyFill="1" applyBorder="1" applyAlignment="1">
      <alignment wrapText="1"/>
    </xf>
    <xf numFmtId="0" fontId="43" fillId="0" borderId="5"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43" fillId="0" borderId="5" xfId="0" applyFont="1" applyBorder="1" applyAlignment="1" applyProtection="1">
      <alignment horizontal="center"/>
    </xf>
    <xf numFmtId="164" fontId="43" fillId="0" borderId="6" xfId="0" applyNumberFormat="1" applyFont="1" applyFill="1" applyBorder="1" applyAlignment="1" applyProtection="1">
      <alignment horizontal="center" vertical="center"/>
    </xf>
    <xf numFmtId="0" fontId="43" fillId="0" borderId="7" xfId="0" applyFont="1" applyBorder="1" applyAlignment="1">
      <alignment horizontal="center" vertical="center"/>
    </xf>
    <xf numFmtId="0" fontId="42" fillId="0" borderId="2" xfId="0" applyFont="1" applyBorder="1" applyAlignment="1" applyProtection="1">
      <alignment horizontal="left" vertical="center"/>
    </xf>
    <xf numFmtId="0" fontId="43" fillId="0" borderId="17" xfId="0" applyFont="1" applyBorder="1" applyAlignment="1">
      <alignment vertical="center"/>
    </xf>
    <xf numFmtId="164" fontId="43" fillId="0" borderId="2" xfId="0" applyNumberFormat="1" applyFont="1" applyFill="1" applyBorder="1" applyAlignment="1" applyProtection="1">
      <alignment horizontal="center" vertical="center"/>
      <protection locked="0"/>
    </xf>
    <xf numFmtId="164" fontId="43" fillId="0" borderId="17" xfId="0" applyNumberFormat="1" applyFont="1" applyBorder="1" applyAlignment="1">
      <alignment horizontal="center" vertical="center"/>
    </xf>
    <xf numFmtId="164" fontId="43" fillId="0" borderId="16" xfId="0" applyNumberFormat="1" applyFont="1" applyBorder="1" applyAlignment="1">
      <alignment horizontal="center" vertical="center"/>
    </xf>
    <xf numFmtId="0" fontId="43" fillId="0" borderId="5" xfId="0" applyFont="1" applyBorder="1" applyAlignment="1"/>
    <xf numFmtId="0" fontId="43" fillId="0" borderId="15" xfId="0" applyFont="1" applyBorder="1" applyAlignment="1">
      <alignment horizontal="center"/>
    </xf>
    <xf numFmtId="0" fontId="43" fillId="0" borderId="7" xfId="0" applyFont="1" applyBorder="1" applyAlignment="1">
      <alignment horizontal="center"/>
    </xf>
    <xf numFmtId="0" fontId="42" fillId="0" borderId="5" xfId="0" applyFont="1" applyFill="1" applyBorder="1" applyAlignment="1" applyProtection="1">
      <alignment horizontal="left" vertical="center" wrapText="1"/>
    </xf>
    <xf numFmtId="0" fontId="43" fillId="0" borderId="5" xfId="0" applyFont="1" applyBorder="1" applyAlignment="1">
      <alignment horizontal="left" vertical="center" wrapText="1"/>
    </xf>
    <xf numFmtId="0" fontId="0" fillId="0" borderId="0" xfId="0" applyAlignment="1">
      <alignment horizontal="left"/>
    </xf>
    <xf numFmtId="0" fontId="20" fillId="40" borderId="0" xfId="78" applyFill="1" applyAlignment="1">
      <alignment horizontal="left" wrapText="1"/>
    </xf>
    <xf numFmtId="0" fontId="20" fillId="40" borderId="0" xfId="78" applyFill="1" applyAlignment="1">
      <alignment horizontal="left" vertical="center" wrapText="1"/>
    </xf>
  </cellXfs>
  <cellStyles count="518">
    <cellStyle name="20% - Accent1 2" xfId="16"/>
    <cellStyle name="20% - Accent1 2 2" xfId="168"/>
    <cellStyle name="20% - Accent1 3" xfId="129"/>
    <cellStyle name="20% - Accent1 3 2" xfId="377"/>
    <cellStyle name="20% - Accent1 4" xfId="378"/>
    <cellStyle name="20% - Accent1 4 2" xfId="379"/>
    <cellStyle name="20% - Accent1 5" xfId="380"/>
    <cellStyle name="20% - Accent2 2" xfId="17"/>
    <cellStyle name="20% - Accent2 2 2" xfId="381"/>
    <cellStyle name="20% - Accent2 3" xfId="130"/>
    <cellStyle name="20% - Accent2 3 2" xfId="382"/>
    <cellStyle name="20% - Accent2 4" xfId="383"/>
    <cellStyle name="20% - Accent2 4 2" xfId="384"/>
    <cellStyle name="20% - Accent2 5" xfId="385"/>
    <cellStyle name="20% - Accent3 2" xfId="18"/>
    <cellStyle name="20% - Accent3 2 2" xfId="169"/>
    <cellStyle name="20% - Accent3 3" xfId="131"/>
    <cellStyle name="20% - Accent3 3 2" xfId="386"/>
    <cellStyle name="20% - Accent3 4" xfId="387"/>
    <cellStyle name="20% - Accent3 4 2" xfId="388"/>
    <cellStyle name="20% - Accent3 5" xfId="389"/>
    <cellStyle name="20% - Accent4 2" xfId="19"/>
    <cellStyle name="20% - Accent4 2 2" xfId="170"/>
    <cellStyle name="20% - Accent4 3" xfId="132"/>
    <cellStyle name="20% - Accent4 3 2" xfId="390"/>
    <cellStyle name="20% - Accent4 4" xfId="391"/>
    <cellStyle name="20% - Accent4 4 2" xfId="392"/>
    <cellStyle name="20% - Accent4 5" xfId="393"/>
    <cellStyle name="20% - Accent5 2" xfId="20"/>
    <cellStyle name="20% - Accent5 2 2" xfId="394"/>
    <cellStyle name="20% - Accent5 3" xfId="133"/>
    <cellStyle name="20% - Accent5 3 2" xfId="395"/>
    <cellStyle name="20% - Accent5 4" xfId="396"/>
    <cellStyle name="20% - Accent5 4 2" xfId="397"/>
    <cellStyle name="20% - Accent5 5" xfId="398"/>
    <cellStyle name="20% - Accent6 2" xfId="21"/>
    <cellStyle name="20% - Accent6 2 2" xfId="399"/>
    <cellStyle name="20% - Accent6 3" xfId="171"/>
    <cellStyle name="20% - Accent6 3 2" xfId="400"/>
    <cellStyle name="20% - Accent6 4" xfId="401"/>
    <cellStyle name="20% - Accent6 4 2" xfId="402"/>
    <cellStyle name="20% - Accent6 5" xfId="403"/>
    <cellStyle name="40% - Accent1 2" xfId="22"/>
    <cellStyle name="40% - Accent1 2 2" xfId="172"/>
    <cellStyle name="40% - Accent1 3" xfId="134"/>
    <cellStyle name="40% - Accent1 3 2" xfId="404"/>
    <cellStyle name="40% - Accent1 4" xfId="405"/>
    <cellStyle name="40% - Accent1 4 2" xfId="406"/>
    <cellStyle name="40% - Accent1 5" xfId="407"/>
    <cellStyle name="40% - Accent2 2" xfId="23"/>
    <cellStyle name="40% - Accent2 2 2" xfId="173"/>
    <cellStyle name="40% - Accent2 3" xfId="135"/>
    <cellStyle name="40% - Accent2 3 2" xfId="408"/>
    <cellStyle name="40% - Accent2 4" xfId="409"/>
    <cellStyle name="40% - Accent2 4 2" xfId="410"/>
    <cellStyle name="40% - Accent2 5" xfId="411"/>
    <cellStyle name="40% - Accent3 2" xfId="24"/>
    <cellStyle name="40% - Accent3 2 2" xfId="174"/>
    <cellStyle name="40% - Accent3 3" xfId="136"/>
    <cellStyle name="40% - Accent3 3 2" xfId="412"/>
    <cellStyle name="40% - Accent3 4" xfId="413"/>
    <cellStyle name="40% - Accent3 4 2" xfId="414"/>
    <cellStyle name="40% - Accent3 5" xfId="415"/>
    <cellStyle name="40% - Accent4 2" xfId="25"/>
    <cellStyle name="40% - Accent4 2 2" xfId="175"/>
    <cellStyle name="40% - Accent4 3" xfId="137"/>
    <cellStyle name="40% - Accent4 3 2" xfId="416"/>
    <cellStyle name="40% - Accent4 4" xfId="417"/>
    <cellStyle name="40% - Accent4 4 2" xfId="418"/>
    <cellStyle name="40% - Accent4 5" xfId="419"/>
    <cellStyle name="40% - Accent5 2" xfId="26"/>
    <cellStyle name="40% - Accent5 2 2" xfId="420"/>
    <cellStyle name="40% - Accent5 3" xfId="176"/>
    <cellStyle name="40% - Accent5 3 2" xfId="421"/>
    <cellStyle name="40% - Accent5 4" xfId="422"/>
    <cellStyle name="40% - Accent5 4 2" xfId="423"/>
    <cellStyle name="40% - Accent5 5" xfId="424"/>
    <cellStyle name="40% - Accent6 2" xfId="27"/>
    <cellStyle name="40% - Accent6 2 2" xfId="177"/>
    <cellStyle name="40% - Accent6 3" xfId="138"/>
    <cellStyle name="40% - Accent6 3 2" xfId="425"/>
    <cellStyle name="40% - Accent6 4" xfId="426"/>
    <cellStyle name="40% - Accent6 4 2" xfId="427"/>
    <cellStyle name="40% - Accent6 5" xfId="428"/>
    <cellStyle name="60% - Accent1 2" xfId="28"/>
    <cellStyle name="60% - Accent1 2 2" xfId="178"/>
    <cellStyle name="60% - Accent1 3" xfId="139"/>
    <cellStyle name="60% - Accent2 2" xfId="29"/>
    <cellStyle name="60% - Accent2 2 2" xfId="179"/>
    <cellStyle name="60% - Accent2 3" xfId="180"/>
    <cellStyle name="60% - Accent3 2" xfId="30"/>
    <cellStyle name="60% - Accent3 2 2" xfId="181"/>
    <cellStyle name="60% - Accent3 3" xfId="140"/>
    <cellStyle name="60% - Accent4 2" xfId="31"/>
    <cellStyle name="60% - Accent4 2 2" xfId="182"/>
    <cellStyle name="60% - Accent4 3" xfId="141"/>
    <cellStyle name="60% - Accent5 2" xfId="32"/>
    <cellStyle name="60% - Accent5 3" xfId="183"/>
    <cellStyle name="60% - Accent6 2" xfId="33"/>
    <cellStyle name="60% - Accent6 2 2" xfId="184"/>
    <cellStyle name="60% - Accent6 3" xfId="142"/>
    <cellStyle name="Accent1 - 20%" xfId="185"/>
    <cellStyle name="Accent1 - 40%" xfId="186"/>
    <cellStyle name="Accent1 - 60%" xfId="187"/>
    <cellStyle name="Accent1 2" xfId="34"/>
    <cellStyle name="Accent1 2 2" xfId="188"/>
    <cellStyle name="Accent1 3" xfId="143"/>
    <cellStyle name="Accent2 - 20%" xfId="189"/>
    <cellStyle name="Accent2 - 40%" xfId="190"/>
    <cellStyle name="Accent2 - 60%" xfId="191"/>
    <cellStyle name="Accent2 2" xfId="35"/>
    <cellStyle name="Accent2 3" xfId="144"/>
    <cellStyle name="Accent3 - 20%" xfId="192"/>
    <cellStyle name="Accent3 - 40%" xfId="193"/>
    <cellStyle name="Accent3 - 60%" xfId="194"/>
    <cellStyle name="Accent3 2" xfId="36"/>
    <cellStyle name="Accent3 2 2" xfId="195"/>
    <cellStyle name="Accent3 3" xfId="145"/>
    <cellStyle name="Accent4 - 20%" xfId="196"/>
    <cellStyle name="Accent4 - 40%" xfId="197"/>
    <cellStyle name="Accent4 - 60%" xfId="198"/>
    <cellStyle name="Accent4 2" xfId="37"/>
    <cellStyle name="Accent4 2 2" xfId="199"/>
    <cellStyle name="Accent4 3" xfId="146"/>
    <cellStyle name="Accent5 - 20%" xfId="200"/>
    <cellStyle name="Accent5 - 40%" xfId="201"/>
    <cellStyle name="Accent5 - 60%" xfId="202"/>
    <cellStyle name="Accent5 2" xfId="38"/>
    <cellStyle name="Accent5 3" xfId="203"/>
    <cellStyle name="Accent6 - 20%" xfId="204"/>
    <cellStyle name="Accent6 - 40%" xfId="205"/>
    <cellStyle name="Accent6 - 60%" xfId="206"/>
    <cellStyle name="Accent6 2" xfId="39"/>
    <cellStyle name="Accent6 3" xfId="147"/>
    <cellStyle name="Bad 2" xfId="40"/>
    <cellStyle name="Bad 2 2" xfId="207"/>
    <cellStyle name="Bad 3" xfId="148"/>
    <cellStyle name="Calculation 2" xfId="41"/>
    <cellStyle name="Calculation 2 2" xfId="208"/>
    <cellStyle name="Calculation 3" xfId="149"/>
    <cellStyle name="Check Cell 2" xfId="42"/>
    <cellStyle name="Check Cell 3" xfId="209"/>
    <cellStyle name="Comma" xfId="14" builtinId="3"/>
    <cellStyle name="Comma [0] 2" xfId="210"/>
    <cellStyle name="Comma 2" xfId="43"/>
    <cellStyle name="Comma 2 2" xfId="44"/>
    <cellStyle name="Comma 2 2 2" xfId="45"/>
    <cellStyle name="Comma 2 2 3" xfId="211"/>
    <cellStyle name="Comma 2 2 3 2" xfId="429"/>
    <cellStyle name="Comma 2 2 4" xfId="430"/>
    <cellStyle name="Comma 2 2 4 2" xfId="431"/>
    <cellStyle name="Comma 2 2 5" xfId="432"/>
    <cellStyle name="Comma 2 2 5 2" xfId="433"/>
    <cellStyle name="Comma 2 2 6" xfId="434"/>
    <cellStyle name="Comma 2 2 6 2" xfId="435"/>
    <cellStyle name="Comma 2 2 7" xfId="436"/>
    <cellStyle name="Comma 2 2 8" xfId="437"/>
    <cellStyle name="Comma 2 3" xfId="46"/>
    <cellStyle name="Comma 2 4" xfId="212"/>
    <cellStyle name="Comma 2 5" xfId="213"/>
    <cellStyle name="Comma 3" xfId="12"/>
    <cellStyle name="Comma 3 10" xfId="438"/>
    <cellStyle name="Comma 3 2" xfId="47"/>
    <cellStyle name="Comma 3 2 2" xfId="48"/>
    <cellStyle name="Comma 3 2 3" xfId="214"/>
    <cellStyle name="Comma 3 3" xfId="49"/>
    <cellStyle name="Comma 3 3 2" xfId="215"/>
    <cellStyle name="Comma 3 3 3" xfId="216"/>
    <cellStyle name="Comma 3 3 4" xfId="217"/>
    <cellStyle name="Comma 3 4" xfId="218"/>
    <cellStyle name="Comma 3 4 2" xfId="439"/>
    <cellStyle name="Comma 3 5" xfId="440"/>
    <cellStyle name="Comma 3 5 2" xfId="441"/>
    <cellStyle name="Comma 3 6" xfId="442"/>
    <cellStyle name="Comma 3 6 2" xfId="443"/>
    <cellStyle name="Comma 3 7" xfId="444"/>
    <cellStyle name="Comma 3 8" xfId="445"/>
    <cellStyle name="Comma 3 9" xfId="446"/>
    <cellStyle name="Comma 4" xfId="150"/>
    <cellStyle name="Comma 4 2" xfId="219"/>
    <cellStyle name="Comma 4 2 2" xfId="220"/>
    <cellStyle name="Comma 4 3" xfId="221"/>
    <cellStyle name="Comma 5" xfId="222"/>
    <cellStyle name="Comma 5 2" xfId="223"/>
    <cellStyle name="Comma 5 3" xfId="224"/>
    <cellStyle name="Comma 6" xfId="225"/>
    <cellStyle name="Comma 7" xfId="226"/>
    <cellStyle name="Comma 8" xfId="227"/>
    <cellStyle name="Currency" xfId="1" builtinId="4"/>
    <cellStyle name="Currency 2" xfId="50"/>
    <cellStyle name="Currency 2 2" xfId="51"/>
    <cellStyle name="Currency 2 2 2" xfId="52"/>
    <cellStyle name="Currency 2 2 3" xfId="228"/>
    <cellStyle name="Currency 2 3" xfId="53"/>
    <cellStyle name="Currency 2 4" xfId="229"/>
    <cellStyle name="Currency 2 5" xfId="230"/>
    <cellStyle name="Currency 3" xfId="54"/>
    <cellStyle name="Currency 3 2" xfId="55"/>
    <cellStyle name="Currency 3 2 2" xfId="56"/>
    <cellStyle name="Currency 3 2 3" xfId="231"/>
    <cellStyle name="Currency 3 3" xfId="57"/>
    <cellStyle name="Currency 3 4" xfId="232"/>
    <cellStyle name="Currency 3 5" xfId="447"/>
    <cellStyle name="Currency 4" xfId="126"/>
    <cellStyle name="Currency 4 2" xfId="448"/>
    <cellStyle name="Currency 4 3" xfId="449"/>
    <cellStyle name="Currency 5" xfId="233"/>
    <cellStyle name="Currency 5 2" xfId="234"/>
    <cellStyle name="Currency 5 2 2" xfId="235"/>
    <cellStyle name="Currency 5 3" xfId="236"/>
    <cellStyle name="Currency 6" xfId="237"/>
    <cellStyle name="Currency 6 2" xfId="238"/>
    <cellStyle name="Currency 7" xfId="239"/>
    <cellStyle name="Currency 7 2" xfId="240"/>
    <cellStyle name="Currency 8" xfId="241"/>
    <cellStyle name="Data Field" xfId="5"/>
    <cellStyle name="Data Field 2" xfId="58"/>
    <cellStyle name="Data Field 2 2" xfId="59"/>
    <cellStyle name="Data Field 2 3" xfId="242"/>
    <cellStyle name="Data Field 3" xfId="60"/>
    <cellStyle name="Data Field 4" xfId="243"/>
    <cellStyle name="Data Field 5" xfId="450"/>
    <cellStyle name="Data Name" xfId="6"/>
    <cellStyle name="Data Name 2" xfId="151"/>
    <cellStyle name="Data Name 2 2" xfId="451"/>
    <cellStyle name="Data Name 3" xfId="152"/>
    <cellStyle name="Data Name 4" xfId="153"/>
    <cellStyle name="Date/Time" xfId="7"/>
    <cellStyle name="Emphasis 1" xfId="244"/>
    <cellStyle name="Emphasis 2" xfId="245"/>
    <cellStyle name="Emphasis 3" xfId="246"/>
    <cellStyle name="Explanatory Text 2" xfId="61"/>
    <cellStyle name="Explanatory Text 3" xfId="247"/>
    <cellStyle name="Good 2" xfId="62"/>
    <cellStyle name="Good 3" xfId="248"/>
    <cellStyle name="Heading" xfId="8"/>
    <cellStyle name="Heading 1 2" xfId="63"/>
    <cellStyle name="Heading 1 2 2" xfId="249"/>
    <cellStyle name="Heading 1 3" xfId="154"/>
    <cellStyle name="Heading 2 2" xfId="64"/>
    <cellStyle name="Heading 2 2 2" xfId="155"/>
    <cellStyle name="Heading 2 3" xfId="65"/>
    <cellStyle name="Heading 2 4" xfId="156"/>
    <cellStyle name="Heading 3 2" xfId="66"/>
    <cellStyle name="Heading 3 2 2" xfId="250"/>
    <cellStyle name="Heading 3 3" xfId="157"/>
    <cellStyle name="Heading 4 2" xfId="67"/>
    <cellStyle name="Heading 4 2 2" xfId="251"/>
    <cellStyle name="Heading 4 3" xfId="158"/>
    <cellStyle name="Hyperlink 2" xfId="68"/>
    <cellStyle name="Hyperlink 2 2" xfId="69"/>
    <cellStyle name="Hyperlink 2 2 2" xfId="252"/>
    <cellStyle name="Hyperlink 2_ResWXMF_FY10v2_0" xfId="253"/>
    <cellStyle name="Hyperlink 3" xfId="70"/>
    <cellStyle name="Hyperlink 3 2" xfId="254"/>
    <cellStyle name="Hyperlink 3 2 2" xfId="255"/>
    <cellStyle name="Hyperlink 4" xfId="124"/>
    <cellStyle name="Hyperlink 5" xfId="256"/>
    <cellStyle name="Hyperlink 6" xfId="257"/>
    <cellStyle name="Hyperlink 7" xfId="258"/>
    <cellStyle name="Hyperlink 8" xfId="259"/>
    <cellStyle name="Input 2" xfId="71"/>
    <cellStyle name="Input 3" xfId="260"/>
    <cellStyle name="Linked Cell 2" xfId="72"/>
    <cellStyle name="Linked Cell 3" xfId="261"/>
    <cellStyle name="Neutral 2" xfId="73"/>
    <cellStyle name="Neutral 3" xfId="159"/>
    <cellStyle name="Normal" xfId="0" builtinId="0"/>
    <cellStyle name="Normal 10" xfId="74"/>
    <cellStyle name="Normal 10 2" xfId="262"/>
    <cellStyle name="Normal 11" xfId="75"/>
    <cellStyle name="Normal 11 2" xfId="452"/>
    <cellStyle name="Normal 12" xfId="76"/>
    <cellStyle name="Normal 12 2" xfId="453"/>
    <cellStyle name="Normal 13" xfId="15"/>
    <cellStyle name="Normal 13 2" xfId="77"/>
    <cellStyle name="Normal 13 3" xfId="263"/>
    <cellStyle name="Normal 14" xfId="78"/>
    <cellStyle name="Normal 14 2" xfId="128"/>
    <cellStyle name="Normal 14 2 2" xfId="264"/>
    <cellStyle name="Normal 14 3" xfId="265"/>
    <cellStyle name="Normal 14 3 2" xfId="266"/>
    <cellStyle name="Normal 14 4" xfId="267"/>
    <cellStyle name="Normal 15" xfId="79"/>
    <cellStyle name="Normal 15 2" xfId="268"/>
    <cellStyle name="Normal 15 2 2" xfId="269"/>
    <cellStyle name="Normal 15 3" xfId="270"/>
    <cellStyle name="Normal 15 4" xfId="271"/>
    <cellStyle name="Normal 16" xfId="272"/>
    <cellStyle name="Normal 16 2" xfId="273"/>
    <cellStyle name="Normal 16 3" xfId="274"/>
    <cellStyle name="Normal 17" xfId="275"/>
    <cellStyle name="Normal 17 2" xfId="276"/>
    <cellStyle name="Normal 18" xfId="277"/>
    <cellStyle name="Normal 19" xfId="278"/>
    <cellStyle name="Normal 2" xfId="10"/>
    <cellStyle name="Normal 2 10" xfId="454"/>
    <cellStyle name="Normal 2 11" xfId="455"/>
    <cellStyle name="Normal 2 12" xfId="456"/>
    <cellStyle name="Normal 2 2" xfId="13"/>
    <cellStyle name="Normal 2 2 2" xfId="80"/>
    <cellStyle name="Normal 2 2 2 2" xfId="81"/>
    <cellStyle name="Normal 2 2 2 3" xfId="279"/>
    <cellStyle name="Normal 2 2 3" xfId="82"/>
    <cellStyle name="Normal 2 2 3 2" xfId="280"/>
    <cellStyle name="Normal 2 2 3 3" xfId="281"/>
    <cellStyle name="Normal 2 2 4" xfId="282"/>
    <cellStyle name="Normal 2 2 4 2" xfId="457"/>
    <cellStyle name="Normal 2 2 5" xfId="458"/>
    <cellStyle name="Normal 2 3" xfId="83"/>
    <cellStyle name="Normal 2 3 2" xfId="84"/>
    <cellStyle name="Normal 2 3 2 2" xfId="283"/>
    <cellStyle name="Normal 2 3 2 2 2" xfId="284"/>
    <cellStyle name="Normal 2 3 3" xfId="285"/>
    <cellStyle name="Normal 2 3 3 2" xfId="286"/>
    <cellStyle name="Normal 2 4" xfId="85"/>
    <cellStyle name="Normal 2 4 2" xfId="86"/>
    <cellStyle name="Normal 2 4 2 2" xfId="287"/>
    <cellStyle name="Normal 2 4 2 3" xfId="288"/>
    <cellStyle name="Normal 2 4 2 4" xfId="289"/>
    <cellStyle name="Normal 2 4 3" xfId="290"/>
    <cellStyle name="Normal 2 5" xfId="87"/>
    <cellStyle name="Normal 2 5 2" xfId="459"/>
    <cellStyle name="Normal 2 6" xfId="88"/>
    <cellStyle name="Normal 2 6 2" xfId="291"/>
    <cellStyle name="Normal 2 6 2 2" xfId="292"/>
    <cellStyle name="Normal 2 6 2 3" xfId="293"/>
    <cellStyle name="Normal 2 6 3" xfId="294"/>
    <cellStyle name="Normal 2 6 3 2" xfId="295"/>
    <cellStyle name="Normal 2 6 4" xfId="296"/>
    <cellStyle name="Normal 2 6 4 2" xfId="297"/>
    <cellStyle name="Normal 2 6 5" xfId="298"/>
    <cellStyle name="Normal 2 6 6" xfId="299"/>
    <cellStyle name="Normal 2 7" xfId="300"/>
    <cellStyle name="Normal 2 7 2" xfId="301"/>
    <cellStyle name="Normal 2 7 2 2" xfId="302"/>
    <cellStyle name="Normal 2 7 3" xfId="303"/>
    <cellStyle name="Normal 2 8" xfId="304"/>
    <cellStyle name="Normal 2 8 2" xfId="460"/>
    <cellStyle name="Normal 2 9" xfId="305"/>
    <cellStyle name="Normal 2 9 2" xfId="461"/>
    <cellStyle name="Normal 2_EStarLighting_ExistingFY10v1_5_CWv1" xfId="306"/>
    <cellStyle name="Normal 20" xfId="307"/>
    <cellStyle name="Normal 21" xfId="308"/>
    <cellStyle name="Normal 22" xfId="309"/>
    <cellStyle name="Normal 23" xfId="310"/>
    <cellStyle name="Normal 24" xfId="311"/>
    <cellStyle name="Normal 25" xfId="312"/>
    <cellStyle name="Normal 26" xfId="313"/>
    <cellStyle name="Normal 27" xfId="314"/>
    <cellStyle name="Normal 28" xfId="315"/>
    <cellStyle name="Normal 29" xfId="316"/>
    <cellStyle name="Normal 3" xfId="89"/>
    <cellStyle name="Normal 3 2" xfId="90"/>
    <cellStyle name="Normal 3 2 2" xfId="91"/>
    <cellStyle name="Normal 3 2 3" xfId="317"/>
    <cellStyle name="Normal 3 3" xfId="92"/>
    <cellStyle name="Normal 3 3 2" xfId="318"/>
    <cellStyle name="Normal 3 3 2 2" xfId="319"/>
    <cellStyle name="Normal 3 4" xfId="320"/>
    <cellStyle name="Normal 3 4 2" xfId="462"/>
    <cellStyle name="Normal 3 5" xfId="463"/>
    <cellStyle name="Normal 3 66" xfId="321"/>
    <cellStyle name="Normal 30" xfId="322"/>
    <cellStyle name="Normal 31" xfId="323"/>
    <cellStyle name="Normal 32" xfId="324"/>
    <cellStyle name="Normal 33" xfId="325"/>
    <cellStyle name="Normal 34" xfId="326"/>
    <cellStyle name="Normal 35" xfId="327"/>
    <cellStyle name="Normal 36" xfId="328"/>
    <cellStyle name="Normal 37" xfId="329"/>
    <cellStyle name="Normal 38" xfId="330"/>
    <cellStyle name="Normal 39" xfId="331"/>
    <cellStyle name="Normal 4" xfId="93"/>
    <cellStyle name="Normal 4 2" xfId="94"/>
    <cellStyle name="Normal 4 2 2" xfId="464"/>
    <cellStyle name="Normal 4 3" xfId="95"/>
    <cellStyle name="Normal 4 3 2" xfId="332"/>
    <cellStyle name="Normal 4 3 2 2" xfId="333"/>
    <cellStyle name="Normal 4 3 2 3" xfId="334"/>
    <cellStyle name="Normal 4 3 3" xfId="335"/>
    <cellStyle name="Normal 4 4" xfId="336"/>
    <cellStyle name="Normal 4 4 2" xfId="337"/>
    <cellStyle name="Normal 4 4 3" xfId="338"/>
    <cellStyle name="Normal 4 5" xfId="339"/>
    <cellStyle name="Normal 4 5 2" xfId="340"/>
    <cellStyle name="Normal 4 5 3" xfId="341"/>
    <cellStyle name="Normal 4 6" xfId="342"/>
    <cellStyle name="Normal 4 7" xfId="343"/>
    <cellStyle name="Normal 40" xfId="344"/>
    <cellStyle name="Normal 41" xfId="345"/>
    <cellStyle name="Normal 42" xfId="346"/>
    <cellStyle name="Normal 43" xfId="347"/>
    <cellStyle name="Normal 44" xfId="348"/>
    <cellStyle name="Normal 45" xfId="349"/>
    <cellStyle name="Normal 46" xfId="350"/>
    <cellStyle name="Normal 47" xfId="351"/>
    <cellStyle name="Normal 48" xfId="352"/>
    <cellStyle name="Normal 48 2" xfId="353"/>
    <cellStyle name="Normal 49" xfId="354"/>
    <cellStyle name="Normal 5" xfId="96"/>
    <cellStyle name="Normal 5 2" xfId="97"/>
    <cellStyle name="Normal 5 2 2" xfId="465"/>
    <cellStyle name="Normal 5 3" xfId="466"/>
    <cellStyle name="Normal 5 3 2" xfId="467"/>
    <cellStyle name="Normal 5 4" xfId="468"/>
    <cellStyle name="Normal 5 4 2" xfId="469"/>
    <cellStyle name="Normal 5 5" xfId="470"/>
    <cellStyle name="Normal 5 5 2" xfId="471"/>
    <cellStyle name="Normal 5 6" xfId="472"/>
    <cellStyle name="Normal 5 6 2" xfId="473"/>
    <cellStyle name="Normal 5 7" xfId="474"/>
    <cellStyle name="Normal 50" xfId="355"/>
    <cellStyle name="Normal 6" xfId="98"/>
    <cellStyle name="Normal 7" xfId="99"/>
    <cellStyle name="Normal 7 2" xfId="100"/>
    <cellStyle name="Normal 7 2 2" xfId="475"/>
    <cellStyle name="Normal 7 3" xfId="476"/>
    <cellStyle name="Normal 8" xfId="101"/>
    <cellStyle name="Normal 8 2" xfId="102"/>
    <cellStyle name="Normal 8 2 2" xfId="477"/>
    <cellStyle name="Normal 8 3" xfId="478"/>
    <cellStyle name="Normal 9" xfId="103"/>
    <cellStyle name="Normal 9 2" xfId="104"/>
    <cellStyle name="Normal 9 3" xfId="356"/>
    <cellStyle name="Normal_Calc_Computer_product" xfId="125"/>
    <cellStyle name="Normal_Calc_Copier_bulk_04-29-09" xfId="127"/>
    <cellStyle name="Normal_EStarWASHERResTiersFY07v1_3_postJan07" xfId="4"/>
    <cellStyle name="Normal_MTDUCT" xfId="2"/>
    <cellStyle name="Normal_MTRESAPPLPOT" xfId="167"/>
    <cellStyle name="Normal_PC-LPDPackage-6P-D14" xfId="166"/>
    <cellStyle name="Normal_ProCostFinAssumptions_Sector" xfId="3"/>
    <cellStyle name="Note 2" xfId="105"/>
    <cellStyle name="Note 2 2" xfId="357"/>
    <cellStyle name="Note 2 2 2" xfId="479"/>
    <cellStyle name="Note 2 3" xfId="480"/>
    <cellStyle name="Note 2 3 2" xfId="481"/>
    <cellStyle name="Note 2 4" xfId="482"/>
    <cellStyle name="Note 2 4 2" xfId="483"/>
    <cellStyle name="Note 2 5" xfId="484"/>
    <cellStyle name="Note 3" xfId="106"/>
    <cellStyle name="Note 4" xfId="160"/>
    <cellStyle name="Note 5" xfId="161"/>
    <cellStyle name="Output 2" xfId="107"/>
    <cellStyle name="Output 2 2" xfId="358"/>
    <cellStyle name="Output 3" xfId="162"/>
    <cellStyle name="Percent" xfId="9" builtinId="5"/>
    <cellStyle name="Percent 2" xfId="108"/>
    <cellStyle name="Percent 2 10" xfId="485"/>
    <cellStyle name="Percent 2 2" xfId="109"/>
    <cellStyle name="Percent 2 2 2" xfId="110"/>
    <cellStyle name="Percent 2 2 2 2" xfId="111"/>
    <cellStyle name="Percent 2 2 2 3" xfId="359"/>
    <cellStyle name="Percent 2 2 3" xfId="112"/>
    <cellStyle name="Percent 2 2 4" xfId="360"/>
    <cellStyle name="Percent 2 3" xfId="361"/>
    <cellStyle name="Percent 2 3 2" xfId="362"/>
    <cellStyle name="Percent 2 3 2 2" xfId="486"/>
    <cellStyle name="Percent 2 3 2 2 2" xfId="487"/>
    <cellStyle name="Percent 2 3 2 3" xfId="488"/>
    <cellStyle name="Percent 2 3 2 3 2" xfId="489"/>
    <cellStyle name="Percent 2 3 2 4" xfId="490"/>
    <cellStyle name="Percent 2 3 2 4 2" xfId="491"/>
    <cellStyle name="Percent 2 3 2 5" xfId="492"/>
    <cellStyle name="Percent 2 3 2 6" xfId="493"/>
    <cellStyle name="Percent 2 3 3" xfId="363"/>
    <cellStyle name="Percent 2 4" xfId="494"/>
    <cellStyle name="Percent 2 4 2" xfId="495"/>
    <cellStyle name="Percent 2 4 3" xfId="496"/>
    <cellStyle name="Percent 2 5" xfId="497"/>
    <cellStyle name="Percent 2 5 2" xfId="498"/>
    <cellStyle name="Percent 2 6" xfId="499"/>
    <cellStyle name="Percent 2 6 2" xfId="500"/>
    <cellStyle name="Percent 2 7" xfId="501"/>
    <cellStyle name="Percent 2 7 2" xfId="502"/>
    <cellStyle name="Percent 2 8" xfId="503"/>
    <cellStyle name="Percent 2 9" xfId="504"/>
    <cellStyle name="Percent 3" xfId="11"/>
    <cellStyle name="Percent 3 2" xfId="113"/>
    <cellStyle name="Percent 3 2 2" xfId="114"/>
    <cellStyle name="Percent 3 2 2 2" xfId="505"/>
    <cellStyle name="Percent 3 2 3" xfId="364"/>
    <cellStyle name="Percent 3 2 3 2" xfId="506"/>
    <cellStyle name="Percent 3 2 4" xfId="507"/>
    <cellStyle name="Percent 3 2 4 2" xfId="508"/>
    <cellStyle name="Percent 3 2 5" xfId="509"/>
    <cellStyle name="Percent 3 2 5 2" xfId="510"/>
    <cellStyle name="Percent 3 2 6" xfId="511"/>
    <cellStyle name="Percent 3 2 7" xfId="512"/>
    <cellStyle name="Percent 3 2 8" xfId="513"/>
    <cellStyle name="Percent 3 3" xfId="115"/>
    <cellStyle name="Percent 3 4" xfId="365"/>
    <cellStyle name="Percent 3 5" xfId="514"/>
    <cellStyle name="Percent 4" xfId="116"/>
    <cellStyle name="Percent 4 2" xfId="117"/>
    <cellStyle name="Percent 4 2 2" xfId="515"/>
    <cellStyle name="Percent 4 3" xfId="516"/>
    <cellStyle name="Percent 5" xfId="118"/>
    <cellStyle name="Percent 5 2" xfId="517"/>
    <cellStyle name="Percent 6" xfId="366"/>
    <cellStyle name="Percent 6 2" xfId="367"/>
    <cellStyle name="Percent 7" xfId="368"/>
    <cellStyle name="Percent 8" xfId="369"/>
    <cellStyle name="Sheet Title" xfId="370"/>
    <cellStyle name="Style 1" xfId="163"/>
    <cellStyle name="Style 1 2" xfId="371"/>
    <cellStyle name="Style 28" xfId="372"/>
    <cellStyle name="Title 2" xfId="119"/>
    <cellStyle name="Title 2 2" xfId="373"/>
    <cellStyle name="Title 3" xfId="164"/>
    <cellStyle name="Total 2" xfId="120"/>
    <cellStyle name="Total 2 2" xfId="374"/>
    <cellStyle name="Total 3" xfId="165"/>
    <cellStyle name="Warning Text 2" xfId="121"/>
    <cellStyle name="Warning Text 3" xfId="375"/>
    <cellStyle name="표준 2_WP-1 보고자료 (2009.06.03)" xfId="376"/>
    <cellStyle name="표준_ENERGY CONSUMP" xfId="122"/>
    <cellStyle name="常规_海外市场服务网站资料操作BOM"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Monitor - New</c:v>
            </c:pt>
          </c:strCache>
        </c:strRef>
      </c:tx>
      <c:layout>
        <c:manualLayout>
          <c:xMode val="edge"/>
          <c:yMode val="edge"/>
          <c:x val="0.27677829502253981"/>
          <c:y val="3.2608695652174495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02"/>
          <c:y val="0.14402173913043692"/>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27602.407015656197</c:v>
                </c:pt>
                <c:pt idx="1">
                  <c:v>26111.86637381828</c:v>
                </c:pt>
                <c:pt idx="2">
                  <c:v>24474.339851097378</c:v>
                </c:pt>
                <c:pt idx="3">
                  <c:v>23413.486569128941</c:v>
                </c:pt>
                <c:pt idx="4">
                  <c:v>22530.08772582512</c:v>
                </c:pt>
                <c:pt idx="5">
                  <c:v>21226.983312821878</c:v>
                </c:pt>
                <c:pt idx="6">
                  <c:v>20405.3841997122</c:v>
                </c:pt>
                <c:pt idx="7">
                  <c:v>20081.950186553153</c:v>
                </c:pt>
                <c:pt idx="8">
                  <c:v>19653.720003865037</c:v>
                </c:pt>
                <c:pt idx="9">
                  <c:v>19780.031520732453</c:v>
                </c:pt>
                <c:pt idx="10">
                  <c:v>19695.197626065881</c:v>
                </c:pt>
                <c:pt idx="11">
                  <c:v>19224.938432313214</c:v>
                </c:pt>
                <c:pt idx="12">
                  <c:v>18506.425440209987</c:v>
                </c:pt>
                <c:pt idx="13">
                  <c:v>18318.810572137932</c:v>
                </c:pt>
                <c:pt idx="14">
                  <c:v>18326.135800884134</c:v>
                </c:pt>
                <c:pt idx="15">
                  <c:v>18044.843914241585</c:v>
                </c:pt>
                <c:pt idx="16">
                  <c:v>17253.90578788241</c:v>
                </c:pt>
                <c:pt idx="17">
                  <c:v>17033.333080863711</c:v>
                </c:pt>
                <c:pt idx="18">
                  <c:v>16887.895289158776</c:v>
                </c:pt>
                <c:pt idx="19">
                  <c:v>16814.965851561705</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4516.1043790322065</c:v>
                </c:pt>
                <c:pt idx="1">
                  <c:v>4415.8717361941708</c:v>
                </c:pt>
                <c:pt idx="2">
                  <c:v>4327.6789468347715</c:v>
                </c:pt>
                <c:pt idx="3">
                  <c:v>4143.1648474141484</c:v>
                </c:pt>
                <c:pt idx="4">
                  <c:v>3861.7205488279683</c:v>
                </c:pt>
                <c:pt idx="5">
                  <c:v>3681.4665074605928</c:v>
                </c:pt>
                <c:pt idx="6">
                  <c:v>3607.3039169015051</c:v>
                </c:pt>
                <c:pt idx="7">
                  <c:v>3633.5163598872368</c:v>
                </c:pt>
                <c:pt idx="8">
                  <c:v>3680.5004680127081</c:v>
                </c:pt>
                <c:pt idx="9">
                  <c:v>3738.3950272016232</c:v>
                </c:pt>
                <c:pt idx="10">
                  <c:v>3711.979451851646</c:v>
                </c:pt>
                <c:pt idx="11">
                  <c:v>3671.4805091782928</c:v>
                </c:pt>
                <c:pt idx="12">
                  <c:v>3636.2459076338118</c:v>
                </c:pt>
                <c:pt idx="13">
                  <c:v>3556.5125329419134</c:v>
                </c:pt>
                <c:pt idx="14">
                  <c:v>3474.5065293414636</c:v>
                </c:pt>
                <c:pt idx="15">
                  <c:v>3365.5325619118339</c:v>
                </c:pt>
                <c:pt idx="16">
                  <c:v>3271.3721645408418</c:v>
                </c:pt>
                <c:pt idx="17">
                  <c:v>3194.0734151612669</c:v>
                </c:pt>
                <c:pt idx="18">
                  <c:v>3097.9606924674781</c:v>
                </c:pt>
                <c:pt idx="19">
                  <c:v>3052.1921503107715</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581.0764785360119</c:v>
                </c:pt>
                <c:pt idx="1">
                  <c:v>578.42658499262541</c:v>
                </c:pt>
                <c:pt idx="2">
                  <c:v>592.45670264676642</c:v>
                </c:pt>
                <c:pt idx="3">
                  <c:v>607.49273324759633</c:v>
                </c:pt>
                <c:pt idx="4">
                  <c:v>582.38115323322018</c:v>
                </c:pt>
                <c:pt idx="5">
                  <c:v>566.78726402244013</c:v>
                </c:pt>
                <c:pt idx="6">
                  <c:v>562.320623570507</c:v>
                </c:pt>
                <c:pt idx="7">
                  <c:v>559.20026426629943</c:v>
                </c:pt>
                <c:pt idx="8">
                  <c:v>556.01379952290438</c:v>
                </c:pt>
                <c:pt idx="9">
                  <c:v>550.1635440146016</c:v>
                </c:pt>
                <c:pt idx="10">
                  <c:v>541.06857562835023</c:v>
                </c:pt>
                <c:pt idx="11">
                  <c:v>534.45570076956653</c:v>
                </c:pt>
                <c:pt idx="12">
                  <c:v>529.23252020146799</c:v>
                </c:pt>
                <c:pt idx="13">
                  <c:v>523.90618770230276</c:v>
                </c:pt>
                <c:pt idx="14">
                  <c:v>518.25791657644584</c:v>
                </c:pt>
                <c:pt idx="15">
                  <c:v>512.23692302624886</c:v>
                </c:pt>
                <c:pt idx="16">
                  <c:v>506.19702082872021</c:v>
                </c:pt>
                <c:pt idx="17">
                  <c:v>500.63755708261192</c:v>
                </c:pt>
                <c:pt idx="18">
                  <c:v>495.25592630539859</c:v>
                </c:pt>
                <c:pt idx="19">
                  <c:v>489.84986167948665</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72371584"/>
        <c:axId val="72381568"/>
      </c:barChart>
      <c:catAx>
        <c:axId val="72371584"/>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381568"/>
        <c:crosses val="autoZero"/>
        <c:auto val="1"/>
        <c:lblAlgn val="ctr"/>
        <c:lblOffset val="100"/>
        <c:tickLblSkip val="1"/>
        <c:tickMarkSkip val="1"/>
      </c:catAx>
      <c:valAx>
        <c:axId val="72381568"/>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371584"/>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722" r="0.750000000000007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36</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2095500</xdr:colOff>
      <xdr:row>7</xdr:row>
      <xdr:rowOff>0</xdr:rowOff>
    </xdr:from>
    <xdr:to>
      <xdr:col>2</xdr:col>
      <xdr:colOff>1019175</xdr:colOff>
      <xdr:row>7</xdr:row>
      <xdr:rowOff>0</xdr:rowOff>
    </xdr:to>
    <xdr:sp macro="" textlink="">
      <xdr:nvSpPr>
        <xdr:cNvPr id="2" name="AutoShape 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3" name="AutoShape 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4" name="AutoShape 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5" name="AutoShape 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6" name="AutoShape 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7" name="AutoShape 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8" name="AutoShape 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9" name="AutoShape 8"/>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0" name="AutoShape 9"/>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1" name="AutoShape 10"/>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2" name="AutoShape 1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3" name="AutoShape 1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4" name="AutoShape 1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5" name="AutoShape 1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6" name="AutoShape 1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7" name="AutoShape 1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8" name="AutoShape 1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19" name="AutoShape 18"/>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0" name="AutoShape 19"/>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1" name="AutoShape 20"/>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2" name="AutoShape 21"/>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3" name="AutoShape 22"/>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4" name="AutoShape 23"/>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5" name="AutoShape 24"/>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6" name="AutoShape 25"/>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7" name="AutoShape 26"/>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2</xdr:col>
      <xdr:colOff>2095500</xdr:colOff>
      <xdr:row>7</xdr:row>
      <xdr:rowOff>0</xdr:rowOff>
    </xdr:from>
    <xdr:to>
      <xdr:col>2</xdr:col>
      <xdr:colOff>1019175</xdr:colOff>
      <xdr:row>7</xdr:row>
      <xdr:rowOff>0</xdr:rowOff>
    </xdr:to>
    <xdr:sp macro="" textlink="">
      <xdr:nvSpPr>
        <xdr:cNvPr id="28" name="AutoShape 27"/>
        <xdr:cNvSpPr>
          <a:spLocks noChangeArrowheads="1"/>
        </xdr:cNvSpPr>
      </xdr:nvSpPr>
      <xdr:spPr bwMode="auto">
        <a:xfrm>
          <a:off x="507682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323850</xdr:colOff>
      <xdr:row>103</xdr:row>
      <xdr:rowOff>85725</xdr:rowOff>
    </xdr:from>
    <xdr:to>
      <xdr:col>36</xdr:col>
      <xdr:colOff>342900</xdr:colOff>
      <xdr:row>103</xdr:row>
      <xdr:rowOff>85725</xdr:rowOff>
    </xdr:to>
    <xdr:cxnSp macro="">
      <xdr:nvCxnSpPr>
        <xdr:cNvPr id="2" name="Straight Arrow Connector 1"/>
        <xdr:cNvCxnSpPr/>
      </xdr:nvCxnSpPr>
      <xdr:spPr bwMode="auto">
        <a:xfrm>
          <a:off x="8077200" y="22698075"/>
          <a:ext cx="18326100" cy="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9</xdr:col>
      <xdr:colOff>400050</xdr:colOff>
      <xdr:row>104</xdr:row>
      <xdr:rowOff>85725</xdr:rowOff>
    </xdr:from>
    <xdr:to>
      <xdr:col>26</xdr:col>
      <xdr:colOff>504825</xdr:colOff>
      <xdr:row>104</xdr:row>
      <xdr:rowOff>95250</xdr:rowOff>
    </xdr:to>
    <xdr:cxnSp macro="">
      <xdr:nvCxnSpPr>
        <xdr:cNvPr id="3" name="Straight Arrow Connector 2"/>
        <xdr:cNvCxnSpPr/>
      </xdr:nvCxnSpPr>
      <xdr:spPr bwMode="auto">
        <a:xfrm flipV="1">
          <a:off x="8153400" y="22860000"/>
          <a:ext cx="12315825" cy="95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4</xdr:row>
      <xdr:rowOff>9525</xdr:rowOff>
    </xdr:from>
    <xdr:to>
      <xdr:col>10</xdr:col>
      <xdr:colOff>419100</xdr:colOff>
      <xdr:row>27</xdr:row>
      <xdr:rowOff>114300</xdr:rowOff>
    </xdr:to>
    <xdr:pic>
      <xdr:nvPicPr>
        <xdr:cNvPr id="1945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52400" y="657225"/>
          <a:ext cx="6362700" cy="3829050"/>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57150</xdr:rowOff>
    </xdr:from>
    <xdr:to>
      <xdr:col>5</xdr:col>
      <xdr:colOff>323314</xdr:colOff>
      <xdr:row>46</xdr:row>
      <xdr:rowOff>161317</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0" y="4057650"/>
          <a:ext cx="3371314" cy="4866667"/>
        </a:xfrm>
        <a:prstGeom prst="rect">
          <a:avLst/>
        </a:prstGeom>
      </xdr:spPr>
    </xdr:pic>
    <xdr:clientData/>
  </xdr:twoCellAnchor>
  <xdr:twoCellAnchor editAs="oneCell">
    <xdr:from>
      <xdr:col>6</xdr:col>
      <xdr:colOff>571500</xdr:colOff>
      <xdr:row>20</xdr:row>
      <xdr:rowOff>66675</xdr:rowOff>
    </xdr:from>
    <xdr:to>
      <xdr:col>13</xdr:col>
      <xdr:colOff>428109</xdr:colOff>
      <xdr:row>26</xdr:row>
      <xdr:rowOff>123675</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4229100" y="3876675"/>
          <a:ext cx="4123809" cy="1200000"/>
        </a:xfrm>
        <a:prstGeom prst="rect">
          <a:avLst/>
        </a:prstGeom>
        <a:ln>
          <a:solidFill>
            <a:sysClr val="windowText" lastClr="000000"/>
          </a:solidFill>
        </a:ln>
      </xdr:spPr>
    </xdr:pic>
    <xdr:clientData/>
  </xdr:twoCellAnchor>
  <xdr:twoCellAnchor editAs="oneCell">
    <xdr:from>
      <xdr:col>0</xdr:col>
      <xdr:colOff>0</xdr:colOff>
      <xdr:row>56</xdr:row>
      <xdr:rowOff>0</xdr:rowOff>
    </xdr:from>
    <xdr:to>
      <xdr:col>5</xdr:col>
      <xdr:colOff>323314</xdr:colOff>
      <xdr:row>76</xdr:row>
      <xdr:rowOff>104286</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0" y="10668000"/>
          <a:ext cx="3371314" cy="3914286"/>
        </a:xfrm>
        <a:prstGeom prst="rect">
          <a:avLst/>
        </a:prstGeom>
      </xdr:spPr>
    </xdr:pic>
    <xdr:clientData/>
  </xdr:twoCellAnchor>
  <xdr:twoCellAnchor editAs="oneCell">
    <xdr:from>
      <xdr:col>0</xdr:col>
      <xdr:colOff>0</xdr:colOff>
      <xdr:row>76</xdr:row>
      <xdr:rowOff>85725</xdr:rowOff>
    </xdr:from>
    <xdr:to>
      <xdr:col>5</xdr:col>
      <xdr:colOff>313790</xdr:colOff>
      <xdr:row>85</xdr:row>
      <xdr:rowOff>152177</xdr:rowOff>
    </xdr:to>
    <xdr:pic>
      <xdr:nvPicPr>
        <xdr:cNvPr id="5" name="Picture 4"/>
        <xdr:cNvPicPr>
          <a:picLocks noChangeAspect="1"/>
        </xdr:cNvPicPr>
      </xdr:nvPicPr>
      <xdr:blipFill>
        <a:blip xmlns:r="http://schemas.openxmlformats.org/officeDocument/2006/relationships" r:embed="rId4" cstate="print"/>
        <a:stretch>
          <a:fillRect/>
        </a:stretch>
      </xdr:blipFill>
      <xdr:spPr>
        <a:xfrm>
          <a:off x="0" y="14563725"/>
          <a:ext cx="3361790" cy="1780952"/>
        </a:xfrm>
        <a:prstGeom prst="rect">
          <a:avLst/>
        </a:prstGeom>
      </xdr:spPr>
    </xdr:pic>
    <xdr:clientData/>
  </xdr:twoCellAnchor>
  <xdr:twoCellAnchor editAs="oneCell">
    <xdr:from>
      <xdr:col>0</xdr:col>
      <xdr:colOff>0</xdr:colOff>
      <xdr:row>85</xdr:row>
      <xdr:rowOff>85725</xdr:rowOff>
    </xdr:from>
    <xdr:to>
      <xdr:col>5</xdr:col>
      <xdr:colOff>313790</xdr:colOff>
      <xdr:row>89</xdr:row>
      <xdr:rowOff>114201</xdr:rowOff>
    </xdr:to>
    <xdr:pic>
      <xdr:nvPicPr>
        <xdr:cNvPr id="6" name="Picture 5"/>
        <xdr:cNvPicPr>
          <a:picLocks noChangeAspect="1"/>
        </xdr:cNvPicPr>
      </xdr:nvPicPr>
      <xdr:blipFill>
        <a:blip xmlns:r="http://schemas.openxmlformats.org/officeDocument/2006/relationships" r:embed="rId5" cstate="print"/>
        <a:stretch>
          <a:fillRect/>
        </a:stretch>
      </xdr:blipFill>
      <xdr:spPr>
        <a:xfrm>
          <a:off x="0" y="16278225"/>
          <a:ext cx="3361790" cy="790476"/>
        </a:xfrm>
        <a:prstGeom prst="rect">
          <a:avLst/>
        </a:prstGeom>
      </xdr:spPr>
    </xdr:pic>
    <xdr:clientData/>
  </xdr:twoCellAnchor>
  <xdr:twoCellAnchor editAs="oneCell">
    <xdr:from>
      <xdr:col>7</xdr:col>
      <xdr:colOff>9525</xdr:colOff>
      <xdr:row>57</xdr:row>
      <xdr:rowOff>114300</xdr:rowOff>
    </xdr:from>
    <xdr:to>
      <xdr:col>13</xdr:col>
      <xdr:colOff>475734</xdr:colOff>
      <xdr:row>63</xdr:row>
      <xdr:rowOff>171300</xdr:rowOff>
    </xdr:to>
    <xdr:pic>
      <xdr:nvPicPr>
        <xdr:cNvPr id="7" name="Picture 6"/>
        <xdr:cNvPicPr>
          <a:picLocks noChangeAspect="1"/>
        </xdr:cNvPicPr>
      </xdr:nvPicPr>
      <xdr:blipFill>
        <a:blip xmlns:r="http://schemas.openxmlformats.org/officeDocument/2006/relationships" r:embed="rId2" cstate="print"/>
        <a:stretch>
          <a:fillRect/>
        </a:stretch>
      </xdr:blipFill>
      <xdr:spPr>
        <a:xfrm>
          <a:off x="4276725" y="10972800"/>
          <a:ext cx="4123809" cy="1200000"/>
        </a:xfrm>
        <a:prstGeom prst="rect">
          <a:avLst/>
        </a:prstGeom>
        <a:ln>
          <a:solidFill>
            <a:sysClr val="windowText" lastClr="000000"/>
          </a:solidFill>
        </a:ln>
      </xdr:spPr>
    </xdr:pic>
    <xdr:clientData/>
  </xdr:twoCellAnchor>
  <xdr:twoCellAnchor editAs="oneCell">
    <xdr:from>
      <xdr:col>6</xdr:col>
      <xdr:colOff>9525</xdr:colOff>
      <xdr:row>103</xdr:row>
      <xdr:rowOff>57150</xdr:rowOff>
    </xdr:from>
    <xdr:to>
      <xdr:col>11</xdr:col>
      <xdr:colOff>195613</xdr:colOff>
      <xdr:row>115</xdr:row>
      <xdr:rowOff>171450</xdr:rowOff>
    </xdr:to>
    <xdr:pic>
      <xdr:nvPicPr>
        <xdr:cNvPr id="8" name="Picture 7"/>
        <xdr:cNvPicPr>
          <a:picLocks noChangeAspect="1"/>
        </xdr:cNvPicPr>
      </xdr:nvPicPr>
      <xdr:blipFill>
        <a:blip xmlns:r="http://schemas.openxmlformats.org/officeDocument/2006/relationships" r:embed="rId6" cstate="print"/>
        <a:stretch>
          <a:fillRect/>
        </a:stretch>
      </xdr:blipFill>
      <xdr:spPr>
        <a:xfrm>
          <a:off x="3667125" y="19678650"/>
          <a:ext cx="3234088" cy="2400300"/>
        </a:xfrm>
        <a:prstGeom prst="rect">
          <a:avLst/>
        </a:prstGeom>
        <a:ln>
          <a:solidFill>
            <a:sysClr val="windowText" lastClr="000000"/>
          </a:solidFill>
        </a:ln>
      </xdr:spPr>
    </xdr:pic>
    <xdr:clientData/>
  </xdr:twoCellAnchor>
  <xdr:twoCellAnchor editAs="oneCell">
    <xdr:from>
      <xdr:col>0</xdr:col>
      <xdr:colOff>95250</xdr:colOff>
      <xdr:row>117</xdr:row>
      <xdr:rowOff>0</xdr:rowOff>
    </xdr:from>
    <xdr:to>
      <xdr:col>6</xdr:col>
      <xdr:colOff>589315</xdr:colOff>
      <xdr:row>134</xdr:row>
      <xdr:rowOff>38100</xdr:rowOff>
    </xdr:to>
    <xdr:pic>
      <xdr:nvPicPr>
        <xdr:cNvPr id="9" name="Picture 8"/>
        <xdr:cNvPicPr>
          <a:picLocks noChangeAspect="1"/>
        </xdr:cNvPicPr>
      </xdr:nvPicPr>
      <xdr:blipFill>
        <a:blip xmlns:r="http://schemas.openxmlformats.org/officeDocument/2006/relationships" r:embed="rId7" cstate="print"/>
        <a:stretch>
          <a:fillRect/>
        </a:stretch>
      </xdr:blipFill>
      <xdr:spPr>
        <a:xfrm>
          <a:off x="95250" y="22288500"/>
          <a:ext cx="4151665" cy="3276600"/>
        </a:xfrm>
        <a:prstGeom prst="rect">
          <a:avLst/>
        </a:prstGeom>
        <a:ln>
          <a:solidFill>
            <a:sysClr val="windowText" lastClr="000000"/>
          </a:solidFill>
        </a:ln>
      </xdr:spPr>
    </xdr:pic>
    <xdr:clientData/>
  </xdr:twoCellAnchor>
  <xdr:twoCellAnchor editAs="oneCell">
    <xdr:from>
      <xdr:col>7</xdr:col>
      <xdr:colOff>447675</xdr:colOff>
      <xdr:row>116</xdr:row>
      <xdr:rowOff>180976</xdr:rowOff>
    </xdr:from>
    <xdr:to>
      <xdr:col>15</xdr:col>
      <xdr:colOff>125101</xdr:colOff>
      <xdr:row>134</xdr:row>
      <xdr:rowOff>49601</xdr:rowOff>
    </xdr:to>
    <xdr:pic>
      <xdr:nvPicPr>
        <xdr:cNvPr id="10" name="Picture 9"/>
        <xdr:cNvPicPr>
          <a:picLocks noChangeAspect="1"/>
        </xdr:cNvPicPr>
      </xdr:nvPicPr>
      <xdr:blipFill>
        <a:blip xmlns:r="http://schemas.openxmlformats.org/officeDocument/2006/relationships" r:embed="rId8" cstate="print"/>
        <a:stretch>
          <a:fillRect/>
        </a:stretch>
      </xdr:blipFill>
      <xdr:spPr>
        <a:xfrm>
          <a:off x="4714875" y="22278976"/>
          <a:ext cx="4554226" cy="3297625"/>
        </a:xfrm>
        <a:prstGeom prst="rect">
          <a:avLst/>
        </a:prstGeom>
        <a:ln>
          <a:solidFill>
            <a:sysClr val="windowText" lastClr="000000"/>
          </a:solidFill>
        </a:ln>
      </xdr:spPr>
    </xdr:pic>
    <xdr:clientData/>
  </xdr:twoCellAnchor>
  <xdr:twoCellAnchor editAs="oneCell">
    <xdr:from>
      <xdr:col>15</xdr:col>
      <xdr:colOff>142875</xdr:colOff>
      <xdr:row>116</xdr:row>
      <xdr:rowOff>152401</xdr:rowOff>
    </xdr:from>
    <xdr:to>
      <xdr:col>22</xdr:col>
      <xdr:colOff>247650</xdr:colOff>
      <xdr:row>134</xdr:row>
      <xdr:rowOff>49414</xdr:rowOff>
    </xdr:to>
    <xdr:pic>
      <xdr:nvPicPr>
        <xdr:cNvPr id="11" name="Picture 10"/>
        <xdr:cNvPicPr>
          <a:picLocks noChangeAspect="1"/>
        </xdr:cNvPicPr>
      </xdr:nvPicPr>
      <xdr:blipFill>
        <a:blip xmlns:r="http://schemas.openxmlformats.org/officeDocument/2006/relationships" r:embed="rId9" cstate="print"/>
        <a:stretch>
          <a:fillRect/>
        </a:stretch>
      </xdr:blipFill>
      <xdr:spPr>
        <a:xfrm>
          <a:off x="9286875" y="22250401"/>
          <a:ext cx="4371975" cy="3326013"/>
        </a:xfrm>
        <a:prstGeom prst="rect">
          <a:avLst/>
        </a:prstGeom>
        <a:ln>
          <a:solidFill>
            <a:sysClr val="windowText" lastClr="000000"/>
          </a:solidFill>
        </a:ln>
      </xdr:spPr>
    </xdr:pic>
    <xdr:clientData/>
  </xdr:twoCellAnchor>
  <xdr:twoCellAnchor editAs="oneCell">
    <xdr:from>
      <xdr:col>0</xdr:col>
      <xdr:colOff>0</xdr:colOff>
      <xdr:row>140</xdr:row>
      <xdr:rowOff>155210</xdr:rowOff>
    </xdr:from>
    <xdr:to>
      <xdr:col>10</xdr:col>
      <xdr:colOff>215786</xdr:colOff>
      <xdr:row>155</xdr:row>
      <xdr:rowOff>95250</xdr:rowOff>
    </xdr:to>
    <xdr:pic>
      <xdr:nvPicPr>
        <xdr:cNvPr id="12" name="Picture 11"/>
        <xdr:cNvPicPr>
          <a:picLocks noChangeAspect="1"/>
        </xdr:cNvPicPr>
      </xdr:nvPicPr>
      <xdr:blipFill>
        <a:blip xmlns:r="http://schemas.openxmlformats.org/officeDocument/2006/relationships" r:embed="rId10" cstate="print"/>
        <a:stretch>
          <a:fillRect/>
        </a:stretch>
      </xdr:blipFill>
      <xdr:spPr>
        <a:xfrm>
          <a:off x="0" y="26825210"/>
          <a:ext cx="6311786" cy="2797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37">
          <cell r="B37" t="str">
            <v>Monitor</v>
          </cell>
        </row>
        <row r="38">
          <cell r="B38" t="str">
            <v>Monitor</v>
          </cell>
        </row>
        <row r="43">
          <cell r="B43" t="str">
            <v>Computer</v>
          </cell>
        </row>
        <row r="44">
          <cell r="B44" t="str">
            <v>Computer</v>
          </cell>
        </row>
        <row r="75">
          <cell r="B75" t="str">
            <v>Controls Commissioning and Sizing</v>
          </cell>
        </row>
        <row r="76">
          <cell r="B76" t="str">
            <v>Controls Commissioning and Sizing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cell r="G10">
            <v>0.125</v>
          </cell>
        </row>
        <row r="11">
          <cell r="B11" t="str">
            <v>Lighting - PPA</v>
          </cell>
          <cell r="C11" t="str">
            <v/>
          </cell>
          <cell r="D11" t="str">
            <v/>
          </cell>
          <cell r="E11" t="str">
            <v/>
          </cell>
          <cell r="F11" t="str">
            <v/>
          </cell>
          <cell r="G11" t="str">
            <v/>
          </cell>
        </row>
        <row r="12">
          <cell r="B12" t="str">
            <v>Dishwasher - New</v>
          </cell>
          <cell r="C12">
            <v>1</v>
          </cell>
          <cell r="D12">
            <v>1</v>
          </cell>
          <cell r="E12">
            <v>1</v>
          </cell>
          <cell r="F12">
            <v>1</v>
          </cell>
          <cell r="G12">
            <v>1</v>
          </cell>
        </row>
        <row r="13">
          <cell r="B13" t="str">
            <v>Dishwasher - NR</v>
          </cell>
          <cell r="C13">
            <v>6.4935064935064929E-2</v>
          </cell>
          <cell r="D13">
            <v>6.4935064935064929E-2</v>
          </cell>
          <cell r="E13">
            <v>6.4935064935064929E-2</v>
          </cell>
          <cell r="F13">
            <v>6.4935064935064929E-2</v>
          </cell>
          <cell r="G13">
            <v>6.4935064935064929E-2</v>
          </cell>
        </row>
        <row r="14">
          <cell r="B14" t="str">
            <v>Clothes Washer - New</v>
          </cell>
          <cell r="C14">
            <v>1</v>
          </cell>
          <cell r="D14">
            <v>1</v>
          </cell>
          <cell r="E14">
            <v>1</v>
          </cell>
          <cell r="F14">
            <v>1</v>
          </cell>
          <cell r="G14">
            <v>1</v>
          </cell>
        </row>
        <row r="15">
          <cell r="B15" t="str">
            <v>Clothes Washer - NR</v>
          </cell>
          <cell r="C15">
            <v>7.1428571428571425E-2</v>
          </cell>
          <cell r="D15">
            <v>7.1428571428571425E-2</v>
          </cell>
          <cell r="E15">
            <v>7.1428571428571425E-2</v>
          </cell>
          <cell r="F15">
            <v>7.1428571428571425E-2</v>
          </cell>
          <cell r="G15">
            <v>7.1428571428571425E-2</v>
          </cell>
        </row>
        <row r="16">
          <cell r="B16" t="str">
            <v>WasteWater Heat Recovery - New</v>
          </cell>
          <cell r="C16">
            <v>1</v>
          </cell>
          <cell r="D16">
            <v>1</v>
          </cell>
          <cell r="E16">
            <v>1</v>
          </cell>
          <cell r="F16">
            <v>1</v>
          </cell>
          <cell r="G16">
            <v>1</v>
          </cell>
        </row>
        <row r="17">
          <cell r="B17" t="str">
            <v>Showerheads - New</v>
          </cell>
          <cell r="C17">
            <v>1</v>
          </cell>
          <cell r="D17">
            <v>1</v>
          </cell>
          <cell r="E17">
            <v>1</v>
          </cell>
          <cell r="F17">
            <v>1</v>
          </cell>
          <cell r="G17">
            <v>1</v>
          </cell>
        </row>
        <row r="18">
          <cell r="B18" t="str">
            <v>Showerheads - Retro</v>
          </cell>
          <cell r="C18" t="str">
            <v/>
          </cell>
          <cell r="D18" t="str">
            <v/>
          </cell>
          <cell r="E18" t="str">
            <v/>
          </cell>
          <cell r="F18" t="str">
            <v/>
          </cell>
          <cell r="G18" t="str">
            <v/>
          </cell>
        </row>
        <row r="19">
          <cell r="B19" t="str">
            <v>HPWH - New</v>
          </cell>
          <cell r="C19">
            <v>1</v>
          </cell>
          <cell r="D19">
            <v>1</v>
          </cell>
          <cell r="E19">
            <v>1</v>
          </cell>
          <cell r="F19">
            <v>1</v>
          </cell>
          <cell r="G19">
            <v>1</v>
          </cell>
        </row>
        <row r="20">
          <cell r="B20" t="str">
            <v>HPWH - NR</v>
          </cell>
          <cell r="C20">
            <v>7.6923076923076927E-2</v>
          </cell>
          <cell r="D20">
            <v>7.6923076923076927E-2</v>
          </cell>
          <cell r="E20">
            <v>7.6923076923076927E-2</v>
          </cell>
          <cell r="F20">
            <v>7.6923076923076927E-2</v>
          </cell>
          <cell r="G20">
            <v>7.6923076923076927E-2</v>
          </cell>
        </row>
        <row r="21">
          <cell r="B21" t="str">
            <v>EV Supply Equip - NR</v>
          </cell>
          <cell r="C21">
            <v>0.1</v>
          </cell>
          <cell r="D21">
            <v>0.1</v>
          </cell>
          <cell r="E21">
            <v>0.1</v>
          </cell>
          <cell r="F21">
            <v>0.1</v>
          </cell>
          <cell r="G21">
            <v>0.1</v>
          </cell>
        </row>
        <row r="22">
          <cell r="B22" t="str">
            <v>Clothes Dryer - New</v>
          </cell>
          <cell r="C22">
            <v>1</v>
          </cell>
          <cell r="D22">
            <v>1</v>
          </cell>
          <cell r="E22">
            <v>1</v>
          </cell>
          <cell r="F22">
            <v>1</v>
          </cell>
          <cell r="G22">
            <v>1</v>
          </cell>
        </row>
        <row r="23">
          <cell r="B23" t="str">
            <v>Clothes Dryer - NR</v>
          </cell>
          <cell r="C23">
            <v>6.25E-2</v>
          </cell>
          <cell r="D23">
            <v>6.25E-2</v>
          </cell>
          <cell r="E23">
            <v>6.25E-2</v>
          </cell>
          <cell r="F23">
            <v>6.25E-2</v>
          </cell>
          <cell r="G23">
            <v>6.25E-2</v>
          </cell>
        </row>
        <row r="24">
          <cell r="B24" t="str">
            <v>Refrigerator - New</v>
          </cell>
          <cell r="C24">
            <v>1</v>
          </cell>
          <cell r="D24">
            <v>1</v>
          </cell>
          <cell r="E24">
            <v>1</v>
          </cell>
          <cell r="F24">
            <v>1</v>
          </cell>
          <cell r="G24">
            <v>1</v>
          </cell>
        </row>
        <row r="25">
          <cell r="B25" t="str">
            <v>Refrigerator - NR</v>
          </cell>
          <cell r="C25">
            <v>6.5789473684210523E-2</v>
          </cell>
          <cell r="D25">
            <v>6.5789473684210523E-2</v>
          </cell>
          <cell r="E25">
            <v>6.5789473684210523E-2</v>
          </cell>
          <cell r="F25">
            <v>6.5789473684210523E-2</v>
          </cell>
          <cell r="G25">
            <v>6.5789473684210523E-2</v>
          </cell>
        </row>
        <row r="26">
          <cell r="B26" t="str">
            <v>Freezer - New</v>
          </cell>
          <cell r="C26">
            <v>1</v>
          </cell>
          <cell r="D26">
            <v>1</v>
          </cell>
          <cell r="E26">
            <v>1</v>
          </cell>
          <cell r="F26">
            <v>1</v>
          </cell>
          <cell r="G26">
            <v>1</v>
          </cell>
        </row>
        <row r="27">
          <cell r="B27" t="str">
            <v>Freezer - NR</v>
          </cell>
          <cell r="C27">
            <v>4.6082949308755762E-2</v>
          </cell>
          <cell r="D27">
            <v>4.6082949308755762E-2</v>
          </cell>
          <cell r="E27">
            <v>4.6082949308755762E-2</v>
          </cell>
          <cell r="F27">
            <v>4.6082949308755762E-2</v>
          </cell>
          <cell r="G27">
            <v>4.6082949308755762E-2</v>
          </cell>
        </row>
        <row r="28">
          <cell r="B28" t="str">
            <v>Solar Water Heater - New</v>
          </cell>
          <cell r="C28">
            <v>1</v>
          </cell>
          <cell r="D28">
            <v>1</v>
          </cell>
          <cell r="E28">
            <v>1</v>
          </cell>
          <cell r="F28">
            <v>1</v>
          </cell>
          <cell r="G28">
            <v>1</v>
          </cell>
        </row>
        <row r="29">
          <cell r="B29" t="str">
            <v>Solar Water Heater - NR</v>
          </cell>
          <cell r="C29" t="e">
            <v>#DIV/0!</v>
          </cell>
          <cell r="D29" t="e">
            <v>#DIV/0!</v>
          </cell>
          <cell r="E29" t="e">
            <v>#DIV/0!</v>
          </cell>
          <cell r="F29" t="e">
            <v>#DIV/0!</v>
          </cell>
          <cell r="G29" t="e">
            <v>#DIV/0!</v>
          </cell>
        </row>
        <row r="30">
          <cell r="B30" t="str">
            <v>Solar Water Heater - Retro</v>
          </cell>
          <cell r="C30" t="str">
            <v/>
          </cell>
          <cell r="D30" t="str">
            <v/>
          </cell>
          <cell r="E30" t="str">
            <v/>
          </cell>
          <cell r="F30" t="str">
            <v/>
          </cell>
          <cell r="G30" t="str">
            <v/>
          </cell>
        </row>
        <row r="31">
          <cell r="B31">
            <v>0</v>
          </cell>
          <cell r="C31" t="str">
            <v/>
          </cell>
          <cell r="D31" t="str">
            <v/>
          </cell>
          <cell r="E31" t="str">
            <v/>
          </cell>
          <cell r="F31" t="str">
            <v/>
          </cell>
          <cell r="G31" t="str">
            <v/>
          </cell>
        </row>
        <row r="32">
          <cell r="B32">
            <v>0</v>
          </cell>
          <cell r="C32" t="str">
            <v/>
          </cell>
          <cell r="D32" t="str">
            <v/>
          </cell>
          <cell r="E32" t="str">
            <v/>
          </cell>
          <cell r="F32" t="str">
            <v/>
          </cell>
          <cell r="G32" t="str">
            <v/>
          </cell>
        </row>
        <row r="33">
          <cell r="B33" t="str">
            <v>Electric Oven - New</v>
          </cell>
          <cell r="C33">
            <v>1</v>
          </cell>
          <cell r="D33">
            <v>1</v>
          </cell>
          <cell r="E33">
            <v>1</v>
          </cell>
          <cell r="F33">
            <v>1</v>
          </cell>
          <cell r="G33">
            <v>1</v>
          </cell>
        </row>
        <row r="34">
          <cell r="B34" t="str">
            <v>Electric Oven - NR</v>
          </cell>
          <cell r="C34">
            <v>0.05</v>
          </cell>
          <cell r="D34">
            <v>0.05</v>
          </cell>
          <cell r="E34">
            <v>0.05</v>
          </cell>
          <cell r="F34">
            <v>0.05</v>
          </cell>
          <cell r="G34">
            <v>0.05</v>
          </cell>
        </row>
        <row r="35">
          <cell r="B35" t="str">
            <v>Microwave - New</v>
          </cell>
          <cell r="C35">
            <v>1</v>
          </cell>
          <cell r="D35">
            <v>1</v>
          </cell>
          <cell r="E35">
            <v>1</v>
          </cell>
          <cell r="F35">
            <v>1</v>
          </cell>
          <cell r="G35">
            <v>1</v>
          </cell>
        </row>
        <row r="36">
          <cell r="B36" t="str">
            <v>Microwave - NR</v>
          </cell>
          <cell r="C36">
            <v>0.1111111111111111</v>
          </cell>
          <cell r="D36">
            <v>0.1111111111111111</v>
          </cell>
          <cell r="E36">
            <v>0.1111111111111111</v>
          </cell>
          <cell r="F36">
            <v>0.1111111111111111</v>
          </cell>
          <cell r="G36">
            <v>0.1111111111111111</v>
          </cell>
        </row>
        <row r="37">
          <cell r="B37" t="str">
            <v>Monitor - New</v>
          </cell>
          <cell r="C37">
            <v>1</v>
          </cell>
          <cell r="D37">
            <v>1</v>
          </cell>
          <cell r="E37">
            <v>1</v>
          </cell>
          <cell r="F37">
            <v>1</v>
          </cell>
          <cell r="G37">
            <v>1</v>
          </cell>
        </row>
        <row r="38">
          <cell r="B38" t="str">
            <v>Monitor - NR</v>
          </cell>
          <cell r="C38">
            <v>0.2</v>
          </cell>
          <cell r="D38">
            <v>0.2</v>
          </cell>
          <cell r="E38">
            <v>0.2</v>
          </cell>
          <cell r="F38">
            <v>0.2</v>
          </cell>
          <cell r="G38">
            <v>0.2</v>
          </cell>
        </row>
        <row r="39">
          <cell r="B39" t="str">
            <v>Desktop - New</v>
          </cell>
          <cell r="C39">
            <v>1</v>
          </cell>
          <cell r="D39">
            <v>1</v>
          </cell>
          <cell r="E39">
            <v>1</v>
          </cell>
          <cell r="F39">
            <v>1</v>
          </cell>
          <cell r="G39">
            <v>1</v>
          </cell>
        </row>
        <row r="40">
          <cell r="B40" t="str">
            <v>Desktop - NR</v>
          </cell>
          <cell r="C40">
            <v>0.25</v>
          </cell>
          <cell r="D40">
            <v>0.25</v>
          </cell>
          <cell r="E40">
            <v>0.25</v>
          </cell>
          <cell r="F40">
            <v>0.25</v>
          </cell>
          <cell r="G40">
            <v>0.25</v>
          </cell>
        </row>
        <row r="41">
          <cell r="B41" t="str">
            <v>Laptop - New</v>
          </cell>
          <cell r="C41">
            <v>1</v>
          </cell>
          <cell r="D41">
            <v>1</v>
          </cell>
          <cell r="E41">
            <v>1</v>
          </cell>
          <cell r="F41">
            <v>1</v>
          </cell>
          <cell r="G41">
            <v>1</v>
          </cell>
        </row>
        <row r="42">
          <cell r="B42" t="str">
            <v>Laptop - NR</v>
          </cell>
          <cell r="C42">
            <v>0.25</v>
          </cell>
          <cell r="D42">
            <v>0.25</v>
          </cell>
          <cell r="E42">
            <v>0.25</v>
          </cell>
          <cell r="F42">
            <v>0.25</v>
          </cell>
          <cell r="G42">
            <v>0.25</v>
          </cell>
        </row>
        <row r="43">
          <cell r="B43" t="str">
            <v>Computer - New</v>
          </cell>
          <cell r="C43">
            <v>1</v>
          </cell>
          <cell r="D43">
            <v>1</v>
          </cell>
          <cell r="E43">
            <v>1</v>
          </cell>
          <cell r="F43">
            <v>1</v>
          </cell>
          <cell r="G43">
            <v>1</v>
          </cell>
        </row>
        <row r="44">
          <cell r="B44" t="str">
            <v>Computer - NR</v>
          </cell>
          <cell r="C44">
            <v>0.25</v>
          </cell>
          <cell r="D44">
            <v>0.25</v>
          </cell>
          <cell r="E44">
            <v>0.25</v>
          </cell>
          <cell r="F44">
            <v>0.25</v>
          </cell>
          <cell r="G44">
            <v>0.25</v>
          </cell>
        </row>
        <row r="45">
          <cell r="B45" t="str">
            <v>ASHP - New</v>
          </cell>
          <cell r="C45">
            <v>1</v>
          </cell>
          <cell r="D45">
            <v>1</v>
          </cell>
          <cell r="E45">
            <v>1</v>
          </cell>
          <cell r="F45">
            <v>1</v>
          </cell>
          <cell r="G45">
            <v>1</v>
          </cell>
        </row>
        <row r="46">
          <cell r="B46" t="str">
            <v>ASHP - NR</v>
          </cell>
          <cell r="C46">
            <v>6.6666666666666666E-2</v>
          </cell>
          <cell r="D46">
            <v>6.6666666666666666E-2</v>
          </cell>
          <cell r="E46">
            <v>6.6666666666666666E-2</v>
          </cell>
          <cell r="F46">
            <v>6.6666666666666666E-2</v>
          </cell>
          <cell r="G46">
            <v>6.6666666666666666E-2</v>
          </cell>
        </row>
        <row r="47">
          <cell r="B47" t="str">
            <v>HP - Retro</v>
          </cell>
          <cell r="C47" t="str">
            <v/>
          </cell>
          <cell r="D47" t="str">
            <v/>
          </cell>
          <cell r="E47" t="str">
            <v/>
          </cell>
          <cell r="F47" t="str">
            <v/>
          </cell>
          <cell r="G47" t="str">
            <v/>
          </cell>
        </row>
        <row r="48">
          <cell r="B48" t="str">
            <v>DHP - New</v>
          </cell>
          <cell r="C48">
            <v>1</v>
          </cell>
          <cell r="D48">
            <v>1</v>
          </cell>
          <cell r="E48">
            <v>1</v>
          </cell>
          <cell r="F48">
            <v>1</v>
          </cell>
          <cell r="G48">
            <v>1</v>
          </cell>
        </row>
        <row r="49">
          <cell r="B49" t="str">
            <v>DHP - NR</v>
          </cell>
          <cell r="C49">
            <v>6.6666666666666666E-2</v>
          </cell>
          <cell r="D49">
            <v>6.6666666666666666E-2</v>
          </cell>
          <cell r="E49">
            <v>6.6666666666666666E-2</v>
          </cell>
          <cell r="F49">
            <v>6.6666666666666666E-2</v>
          </cell>
          <cell r="G49">
            <v>6.6666666666666666E-2</v>
          </cell>
        </row>
        <row r="50">
          <cell r="B50" t="str">
            <v>DHP - Retro</v>
          </cell>
          <cell r="C50" t="str">
            <v/>
          </cell>
          <cell r="D50" t="str">
            <v/>
          </cell>
          <cell r="E50" t="str">
            <v/>
          </cell>
          <cell r="F50" t="str">
            <v/>
          </cell>
          <cell r="G50" t="str">
            <v/>
          </cell>
        </row>
        <row r="51">
          <cell r="B51" t="str">
            <v>Duct Sealing - New</v>
          </cell>
          <cell r="C51">
            <v>1</v>
          </cell>
          <cell r="D51">
            <v>1</v>
          </cell>
          <cell r="E51">
            <v>1</v>
          </cell>
          <cell r="F51">
            <v>1</v>
          </cell>
          <cell r="G51">
            <v>1</v>
          </cell>
        </row>
        <row r="52">
          <cell r="B52" t="str">
            <v>Duct Sealing - Retro</v>
          </cell>
          <cell r="C52" t="str">
            <v/>
          </cell>
          <cell r="D52" t="str">
            <v/>
          </cell>
          <cell r="E52" t="str">
            <v/>
          </cell>
          <cell r="F52" t="str">
            <v/>
          </cell>
          <cell r="G52" t="str">
            <v/>
          </cell>
        </row>
        <row r="53">
          <cell r="B53" t="str">
            <v>WIFI enabled tstats - New</v>
          </cell>
          <cell r="C53">
            <v>1</v>
          </cell>
          <cell r="D53">
            <v>1</v>
          </cell>
          <cell r="E53">
            <v>1</v>
          </cell>
          <cell r="F53">
            <v>1</v>
          </cell>
          <cell r="G53">
            <v>1</v>
          </cell>
        </row>
        <row r="54">
          <cell r="B54" t="str">
            <v>WIFI enabled tstats - Retro</v>
          </cell>
          <cell r="C54" t="str">
            <v/>
          </cell>
          <cell r="D54" t="str">
            <v/>
          </cell>
          <cell r="E54" t="str">
            <v/>
          </cell>
          <cell r="F54" t="str">
            <v/>
          </cell>
          <cell r="G54" t="str">
            <v/>
          </cell>
        </row>
        <row r="55">
          <cell r="B55" t="str">
            <v>Combo DHP/HPWH units - New</v>
          </cell>
          <cell r="C55">
            <v>1</v>
          </cell>
          <cell r="D55">
            <v>1</v>
          </cell>
          <cell r="E55">
            <v>1</v>
          </cell>
          <cell r="F55">
            <v>1</v>
          </cell>
          <cell r="G55">
            <v>1</v>
          </cell>
        </row>
        <row r="56">
          <cell r="B56" t="str">
            <v>Combo DHP/HPWH units - NR</v>
          </cell>
          <cell r="C56" t="e">
            <v>#DIV/0!</v>
          </cell>
          <cell r="D56" t="e">
            <v>#DIV/0!</v>
          </cell>
          <cell r="E56" t="e">
            <v>#DIV/0!</v>
          </cell>
          <cell r="F56" t="e">
            <v>#DIV/0!</v>
          </cell>
          <cell r="G56" t="e">
            <v>#DIV/0!</v>
          </cell>
        </row>
        <row r="57">
          <cell r="B57" t="str">
            <v>Combo DHP/HPWH units - Retro</v>
          </cell>
          <cell r="C57" t="str">
            <v/>
          </cell>
          <cell r="D57" t="str">
            <v/>
          </cell>
          <cell r="E57" t="str">
            <v/>
          </cell>
          <cell r="F57" t="str">
            <v/>
          </cell>
          <cell r="G57" t="str">
            <v/>
          </cell>
        </row>
        <row r="58">
          <cell r="B58" t="str">
            <v>Aerator - New</v>
          </cell>
          <cell r="C58">
            <v>1</v>
          </cell>
          <cell r="D58">
            <v>1</v>
          </cell>
          <cell r="E58">
            <v>1</v>
          </cell>
          <cell r="F58">
            <v>1</v>
          </cell>
          <cell r="G58">
            <v>1</v>
          </cell>
        </row>
        <row r="59">
          <cell r="B59" t="str">
            <v>Aerator - Retro</v>
          </cell>
          <cell r="C59" t="str">
            <v/>
          </cell>
          <cell r="D59" t="str">
            <v/>
          </cell>
          <cell r="E59" t="str">
            <v/>
          </cell>
          <cell r="F59" t="str">
            <v/>
          </cell>
          <cell r="G59" t="str">
            <v/>
          </cell>
        </row>
        <row r="60">
          <cell r="B60" t="str">
            <v>Behavior - Retro</v>
          </cell>
          <cell r="C60" t="str">
            <v/>
          </cell>
          <cell r="D60" t="str">
            <v/>
          </cell>
          <cell r="E60" t="str">
            <v/>
          </cell>
          <cell r="F60" t="str">
            <v/>
          </cell>
          <cell r="G60" t="str">
            <v/>
          </cell>
        </row>
        <row r="61">
          <cell r="B61" t="str">
            <v>Behavior - New</v>
          </cell>
          <cell r="C61">
            <v>1</v>
          </cell>
          <cell r="D61">
            <v>1</v>
          </cell>
          <cell r="E61">
            <v>1</v>
          </cell>
          <cell r="F61">
            <v>1</v>
          </cell>
          <cell r="G61">
            <v>1</v>
          </cell>
        </row>
        <row r="62">
          <cell r="B62">
            <v>0</v>
          </cell>
          <cell r="C62" t="str">
            <v/>
          </cell>
          <cell r="D62" t="str">
            <v/>
          </cell>
          <cell r="E62" t="str">
            <v/>
          </cell>
          <cell r="F62" t="str">
            <v/>
          </cell>
          <cell r="G62" t="str">
            <v/>
          </cell>
        </row>
        <row r="63">
          <cell r="B63" t="str">
            <v>Heat Recovery Ventilation - New</v>
          </cell>
          <cell r="C63">
            <v>1</v>
          </cell>
          <cell r="D63">
            <v>1</v>
          </cell>
          <cell r="E63">
            <v>1</v>
          </cell>
          <cell r="F63">
            <v>1</v>
          </cell>
          <cell r="G63">
            <v>1</v>
          </cell>
        </row>
        <row r="64">
          <cell r="B64" t="str">
            <v>GSHP - New</v>
          </cell>
          <cell r="C64">
            <v>1</v>
          </cell>
          <cell r="D64">
            <v>1</v>
          </cell>
          <cell r="E64">
            <v>1</v>
          </cell>
          <cell r="F64">
            <v>1</v>
          </cell>
          <cell r="G64">
            <v>1</v>
          </cell>
        </row>
        <row r="65">
          <cell r="B65" t="str">
            <v>GSHP - NR</v>
          </cell>
          <cell r="C65">
            <v>6.6666666666666666E-2</v>
          </cell>
          <cell r="D65">
            <v>6.6666666666666666E-2</v>
          </cell>
          <cell r="E65">
            <v>6.6666666666666666E-2</v>
          </cell>
          <cell r="F65">
            <v>6.6666666666666666E-2</v>
          </cell>
          <cell r="G65">
            <v>6.6666666666666666E-2</v>
          </cell>
        </row>
        <row r="66">
          <cell r="B66">
            <v>0</v>
          </cell>
          <cell r="C66" t="str">
            <v/>
          </cell>
          <cell r="D66" t="str">
            <v/>
          </cell>
          <cell r="E66" t="str">
            <v/>
          </cell>
          <cell r="F66" t="str">
            <v/>
          </cell>
          <cell r="G66" t="str">
            <v/>
          </cell>
        </row>
        <row r="67">
          <cell r="B67" t="str">
            <v>ECM for HVAC ventilation - New</v>
          </cell>
          <cell r="C67">
            <v>1</v>
          </cell>
          <cell r="D67">
            <v>1</v>
          </cell>
          <cell r="E67">
            <v>1</v>
          </cell>
          <cell r="F67">
            <v>1</v>
          </cell>
          <cell r="G67">
            <v>1</v>
          </cell>
        </row>
        <row r="68">
          <cell r="B68" t="str">
            <v>ECM for HVAC ventilation - NR</v>
          </cell>
          <cell r="C68" t="e">
            <v>#DIV/0!</v>
          </cell>
          <cell r="D68" t="e">
            <v>#DIV/0!</v>
          </cell>
          <cell r="E68" t="e">
            <v>#DIV/0!</v>
          </cell>
          <cell r="F68" t="e">
            <v>#DIV/0!</v>
          </cell>
          <cell r="G68" t="e">
            <v>#DIV/0!</v>
          </cell>
        </row>
        <row r="69">
          <cell r="B69" t="str">
            <v>Whole house/attic fan - New</v>
          </cell>
          <cell r="C69">
            <v>1</v>
          </cell>
          <cell r="D69">
            <v>1</v>
          </cell>
          <cell r="E69">
            <v>1</v>
          </cell>
          <cell r="F69">
            <v>1</v>
          </cell>
          <cell r="G69">
            <v>1</v>
          </cell>
        </row>
        <row r="70">
          <cell r="B70" t="str">
            <v>Whole house/attic fan - Retro</v>
          </cell>
          <cell r="C70" t="str">
            <v/>
          </cell>
          <cell r="D70" t="str">
            <v/>
          </cell>
          <cell r="E70" t="str">
            <v/>
          </cell>
          <cell r="F70" t="str">
            <v/>
          </cell>
          <cell r="G70" t="str">
            <v/>
          </cell>
        </row>
        <row r="71">
          <cell r="B71" t="str">
            <v>WH Pipe insulation - Retro</v>
          </cell>
          <cell r="C71" t="str">
            <v/>
          </cell>
          <cell r="D71" t="str">
            <v/>
          </cell>
          <cell r="E71" t="str">
            <v/>
          </cell>
          <cell r="F71" t="str">
            <v/>
          </cell>
          <cell r="G71" t="str">
            <v/>
          </cell>
        </row>
        <row r="72">
          <cell r="B72" t="str">
            <v>DHP Ducted - NR</v>
          </cell>
          <cell r="C72">
            <v>6.6666666666666666E-2</v>
          </cell>
          <cell r="D72">
            <v>6.6666666666666666E-2</v>
          </cell>
          <cell r="E72">
            <v>6.6666666666666666E-2</v>
          </cell>
          <cell r="F72">
            <v>6.6666666666666666E-2</v>
          </cell>
          <cell r="G72">
            <v>6.6666666666666666E-2</v>
          </cell>
        </row>
        <row r="73">
          <cell r="B73" t="str">
            <v>Advanced Power Strips - New</v>
          </cell>
          <cell r="C73">
            <v>1</v>
          </cell>
          <cell r="D73">
            <v>1</v>
          </cell>
          <cell r="E73">
            <v>1</v>
          </cell>
          <cell r="F73">
            <v>1</v>
          </cell>
          <cell r="G73">
            <v>1</v>
          </cell>
        </row>
        <row r="74">
          <cell r="B74" t="str">
            <v>Advanced Power Strips - Retro</v>
          </cell>
          <cell r="C74" t="str">
            <v/>
          </cell>
          <cell r="D74" t="str">
            <v/>
          </cell>
          <cell r="E74" t="str">
            <v/>
          </cell>
          <cell r="F74" t="str">
            <v/>
          </cell>
          <cell r="G74" t="str">
            <v/>
          </cell>
        </row>
        <row r="75">
          <cell r="B75" t="str">
            <v>Controls Commissioning and Sizing - New</v>
          </cell>
          <cell r="C75">
            <v>1</v>
          </cell>
          <cell r="D75">
            <v>1</v>
          </cell>
          <cell r="E75">
            <v>1</v>
          </cell>
          <cell r="F75">
            <v>1</v>
          </cell>
          <cell r="G75">
            <v>1</v>
          </cell>
        </row>
        <row r="76">
          <cell r="B76" t="str">
            <v>Controls Commissioning and Sizing - NR</v>
          </cell>
          <cell r="C76">
            <v>6.6666666666666666E-2</v>
          </cell>
          <cell r="D76">
            <v>6.6666666666666666E-2</v>
          </cell>
          <cell r="E76">
            <v>6.6666666666666666E-2</v>
          </cell>
          <cell r="F76">
            <v>6.6666666666666666E-2</v>
          </cell>
          <cell r="G76">
            <v>6.6666666666666666E-2</v>
          </cell>
        </row>
        <row r="77">
          <cell r="B77" t="str">
            <v>ResWx - Retro</v>
          </cell>
          <cell r="C77" t="str">
            <v/>
          </cell>
          <cell r="D77" t="str">
            <v/>
          </cell>
          <cell r="E77" t="str">
            <v/>
          </cell>
          <cell r="F77" t="str">
            <v/>
          </cell>
          <cell r="G77" t="str">
            <v/>
          </cell>
        </row>
        <row r="78">
          <cell r="C78"/>
          <cell r="D78"/>
          <cell r="E78"/>
          <cell r="F78"/>
        </row>
        <row r="79">
          <cell r="C79"/>
          <cell r="D79"/>
          <cell r="E79"/>
          <cell r="F79"/>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1">
          <cell r="D11">
            <v>2.9671514740017984E-2</v>
          </cell>
          <cell r="E11">
            <v>2.9671514740017984E-2</v>
          </cell>
        </row>
        <row r="12">
          <cell r="D12">
            <v>0</v>
          </cell>
          <cell r="E12">
            <v>0</v>
          </cell>
        </row>
        <row r="13">
          <cell r="D13">
            <v>0</v>
          </cell>
          <cell r="E13">
            <v>0</v>
          </cell>
        </row>
        <row r="14">
          <cell r="D14">
            <v>0</v>
          </cell>
          <cell r="E14">
            <v>0</v>
          </cell>
        </row>
        <row r="15">
          <cell r="D15">
            <v>2.279607208754721E-2</v>
          </cell>
          <cell r="E15">
            <v>2.279607208754721E-2</v>
          </cell>
        </row>
        <row r="16">
          <cell r="D16">
            <v>0</v>
          </cell>
          <cell r="E16">
            <v>0</v>
          </cell>
        </row>
        <row r="18">
          <cell r="D18">
            <v>0</v>
          </cell>
          <cell r="E18">
            <v>0</v>
          </cell>
        </row>
        <row r="19">
          <cell r="D19">
            <v>0</v>
          </cell>
          <cell r="E19">
            <v>0</v>
          </cell>
        </row>
        <row r="20">
          <cell r="D20">
            <v>0</v>
          </cell>
          <cell r="E20">
            <v>0</v>
          </cell>
        </row>
        <row r="21">
          <cell r="D21">
            <v>0</v>
          </cell>
          <cell r="E21">
            <v>0</v>
          </cell>
        </row>
        <row r="22">
          <cell r="D22">
            <v>1.0945836048995988E-3</v>
          </cell>
          <cell r="E22">
            <v>1.0945836048995988E-3</v>
          </cell>
        </row>
        <row r="23">
          <cell r="D23">
            <v>4.9999998343195358E-2</v>
          </cell>
          <cell r="E23">
            <v>4.9999998343195358E-2</v>
          </cell>
        </row>
        <row r="24">
          <cell r="D24">
            <v>0</v>
          </cell>
          <cell r="E24">
            <v>0</v>
          </cell>
        </row>
        <row r="25">
          <cell r="D25">
            <v>0</v>
          </cell>
          <cell r="E25">
            <v>0</v>
          </cell>
        </row>
        <row r="26">
          <cell r="D26">
            <v>1.2426879154171162E-2</v>
          </cell>
          <cell r="E26">
            <v>1.2426879154171162E-2</v>
          </cell>
        </row>
        <row r="27">
          <cell r="D27">
            <v>0</v>
          </cell>
          <cell r="E27">
            <v>0</v>
          </cell>
        </row>
      </sheetData>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O12">
            <v>3.1581870751261829E-2</v>
          </cell>
        </row>
        <row r="114">
          <cell r="I114">
            <v>1.6655502145549572</v>
          </cell>
        </row>
        <row r="120">
          <cell r="I120">
            <v>1.0109839382712824</v>
          </cell>
        </row>
      </sheetData>
      <sheetData sheetId="1">
        <row r="105">
          <cell r="I105">
            <v>0.71239882016544165</v>
          </cell>
        </row>
        <row r="111">
          <cell r="I111">
            <v>0.45062457275939666</v>
          </cell>
        </row>
      </sheetData>
      <sheetData sheetId="2">
        <row r="12">
          <cell r="O12">
            <v>0.22531328019440805</v>
          </cell>
        </row>
        <row r="103">
          <cell r="I103">
            <v>1.1331497454290105</v>
          </cell>
        </row>
        <row r="109">
          <cell r="I109">
            <v>0.72198913200149617</v>
          </cell>
        </row>
      </sheetData>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hyperlink" Target="http://www1.eere.energy.gov/buildings/appliance_standards/docs/bceps_nopr_market.xlsx"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energy.ca.gov/appliances/2013rulemaking/documents/proposals/12-AAER-2A_Consumer_Electronics/California_IOUs_Supplemental_Technical_Report_Electronic_Displays_2014-01-08_TN-72475.pdf" TargetMode="External"/><Relationship Id="rId2" Type="http://schemas.openxmlformats.org/officeDocument/2006/relationships/hyperlink" Target="http://www.energy.ca.gov/appliances/2013rulemaking/documents/proposals/12-AAER-2A_Consumer_Electronics/California_IOUs_Standards_Proposal_Computers_UPDATED_2013-08-06_TN-71813.pdf" TargetMode="External"/><Relationship Id="rId1" Type="http://schemas.openxmlformats.org/officeDocument/2006/relationships/hyperlink" Target="http://www.energy.ca.gov/appliances/2013rulemaking/documents/proposals/12-AAER-2A_Consumer_Electronics/California_IOUs_Standards_Proposal_Computers_UPDATED_2013-08-06_TN-71813.pdf" TargetMode="External"/><Relationship Id="rId5" Type="http://schemas.openxmlformats.org/officeDocument/2006/relationships/drawing" Target="../drawings/drawing5.xml"/><Relationship Id="rId4" Type="http://schemas.openxmlformats.org/officeDocument/2006/relationships/hyperlink" Target="https://www.xcelenergy.com/staticfiles/xe/Regulatory/Regulatory%20PDFs/ES_RetailerIncentiveFile.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D14" sqref="D14"/>
    </sheetView>
  </sheetViews>
  <sheetFormatPr defaultRowHeight="15"/>
  <cols>
    <col min="1" max="1" width="4" style="349" customWidth="1"/>
    <col min="2" max="2" width="4.28515625" style="349" customWidth="1"/>
    <col min="3" max="3" width="28.140625" style="349" customWidth="1"/>
    <col min="4" max="4" width="48.28515625" style="349" customWidth="1"/>
    <col min="5" max="5" width="44.7109375" style="349" customWidth="1"/>
    <col min="6" max="6" width="31.5703125" style="349" customWidth="1"/>
    <col min="7" max="16384" width="9.140625" style="349"/>
  </cols>
  <sheetData>
    <row r="1" spans="3:6" ht="15.75" thickBot="1"/>
    <row r="2" spans="3:6" ht="19.5" thickBot="1">
      <c r="C2" s="350" t="s">
        <v>309</v>
      </c>
      <c r="D2" s="351" t="s">
        <v>326</v>
      </c>
      <c r="E2" s="351"/>
      <c r="F2" s="352"/>
    </row>
    <row r="3" spans="3:6">
      <c r="C3" s="353" t="s">
        <v>310</v>
      </c>
      <c r="D3" s="353" t="s">
        <v>311</v>
      </c>
      <c r="E3" s="353" t="s">
        <v>312</v>
      </c>
      <c r="F3" s="353" t="s">
        <v>313</v>
      </c>
    </row>
    <row r="4" spans="3:6" ht="30">
      <c r="C4" s="354" t="s">
        <v>314</v>
      </c>
      <c r="D4" s="355" t="s">
        <v>325</v>
      </c>
      <c r="E4" s="356" t="s">
        <v>571</v>
      </c>
      <c r="F4" s="357" t="s">
        <v>529</v>
      </c>
    </row>
    <row r="5" spans="3:6" ht="30">
      <c r="C5" s="354" t="s">
        <v>315</v>
      </c>
      <c r="D5" s="358" t="s">
        <v>327</v>
      </c>
      <c r="E5" s="356" t="s">
        <v>526</v>
      </c>
      <c r="F5" s="357" t="s">
        <v>529</v>
      </c>
    </row>
    <row r="6" spans="3:6">
      <c r="C6" s="354" t="s">
        <v>316</v>
      </c>
      <c r="D6" s="358" t="s">
        <v>329</v>
      </c>
      <c r="E6" s="358" t="s">
        <v>524</v>
      </c>
      <c r="F6" s="357" t="s">
        <v>530</v>
      </c>
    </row>
    <row r="7" spans="3:6" ht="30">
      <c r="C7" s="354" t="s">
        <v>317</v>
      </c>
      <c r="D7" s="358" t="s">
        <v>330</v>
      </c>
      <c r="E7" s="358"/>
      <c r="F7" s="357" t="s">
        <v>531</v>
      </c>
    </row>
    <row r="8" spans="3:6">
      <c r="C8" s="354" t="s">
        <v>318</v>
      </c>
      <c r="D8" s="358" t="s">
        <v>319</v>
      </c>
      <c r="E8" s="359"/>
      <c r="F8" s="357"/>
    </row>
    <row r="9" spans="3:6" ht="30">
      <c r="C9" s="354" t="s">
        <v>320</v>
      </c>
      <c r="D9" s="358" t="s">
        <v>172</v>
      </c>
      <c r="E9" s="359" t="s">
        <v>527</v>
      </c>
      <c r="F9" s="357"/>
    </row>
    <row r="10" spans="3:6" ht="30">
      <c r="C10" s="354" t="s">
        <v>321</v>
      </c>
      <c r="D10" s="358" t="s">
        <v>327</v>
      </c>
      <c r="E10" s="359" t="s">
        <v>527</v>
      </c>
      <c r="F10" s="357"/>
    </row>
    <row r="11" spans="3:6" ht="30">
      <c r="C11" s="354" t="s">
        <v>322</v>
      </c>
      <c r="D11" s="358" t="s">
        <v>327</v>
      </c>
      <c r="E11" s="359" t="s">
        <v>527</v>
      </c>
      <c r="F11" s="357"/>
    </row>
    <row r="12" spans="3:6">
      <c r="C12" s="354" t="s">
        <v>323</v>
      </c>
      <c r="D12" s="360" t="s">
        <v>525</v>
      </c>
      <c r="E12" s="361"/>
      <c r="F12" s="357" t="s">
        <v>533</v>
      </c>
    </row>
    <row r="13" spans="3:6" ht="45">
      <c r="C13" s="354" t="s">
        <v>324</v>
      </c>
      <c r="D13" s="360" t="s">
        <v>579</v>
      </c>
      <c r="E13" s="359" t="s">
        <v>528</v>
      </c>
      <c r="F13" s="357" t="s">
        <v>532</v>
      </c>
    </row>
    <row r="21" spans="3:3">
      <c r="C21" s="362"/>
    </row>
    <row r="22" spans="3:3">
      <c r="C22" s="362"/>
    </row>
    <row r="23" spans="3:3">
      <c r="C23" s="362"/>
    </row>
    <row r="24" spans="3:3">
      <c r="C24" s="362"/>
    </row>
    <row r="25" spans="3:3">
      <c r="C25" s="362"/>
    </row>
    <row r="26" spans="3:3">
      <c r="C26" s="362"/>
    </row>
    <row r="27" spans="3:3">
      <c r="C27" s="36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3"/>
  <dimension ref="A4:DB17"/>
  <sheetViews>
    <sheetView topLeftCell="C1" workbookViewId="0">
      <selection activeCell="O7" sqref="O7:Q9"/>
    </sheetView>
  </sheetViews>
  <sheetFormatPr defaultRowHeight="12.75"/>
  <cols>
    <col min="1" max="1" width="19.140625" customWidth="1"/>
    <col min="2" max="2" width="63" customWidth="1"/>
    <col min="3" max="3" width="35.5703125" customWidth="1"/>
    <col min="7" max="7" width="12.42578125" bestFit="1" customWidth="1"/>
    <col min="16" max="16" width="11.140625" customWidth="1"/>
  </cols>
  <sheetData>
    <row r="4" spans="1:106">
      <c r="A4" s="49" t="s">
        <v>302</v>
      </c>
    </row>
    <row r="5" spans="1:106" s="9" customFormat="1">
      <c r="B5" s="14" t="s">
        <v>3</v>
      </c>
      <c r="C5" s="15"/>
      <c r="D5" s="15"/>
      <c r="E5" s="15"/>
      <c r="F5" s="15"/>
      <c r="G5" s="15"/>
      <c r="H5" s="16"/>
      <c r="I5" s="17"/>
      <c r="J5" s="424" t="s">
        <v>4</v>
      </c>
      <c r="K5" s="425"/>
      <c r="L5" s="425"/>
      <c r="M5" s="425"/>
      <c r="N5" s="425"/>
      <c r="O5" s="426"/>
      <c r="P5" s="427" t="s">
        <v>5</v>
      </c>
      <c r="Q5" s="428"/>
      <c r="R5" s="18"/>
      <c r="S5" s="19"/>
      <c r="T5" s="19"/>
      <c r="U5" s="19"/>
      <c r="V5" s="19"/>
      <c r="W5" s="19"/>
      <c r="X5" s="19"/>
      <c r="Y5" s="20"/>
      <c r="Z5" s="21"/>
      <c r="AA5" s="19"/>
      <c r="AB5" s="19"/>
      <c r="AC5" s="19"/>
      <c r="AD5" s="19"/>
      <c r="AE5" s="19"/>
      <c r="AF5" s="22"/>
      <c r="AG5" s="22"/>
      <c r="AH5" s="22"/>
      <c r="AI5" s="22"/>
      <c r="AJ5" s="22"/>
      <c r="AK5" s="22"/>
      <c r="AL5" s="22"/>
      <c r="AM5" s="22"/>
      <c r="AN5" s="22"/>
      <c r="AO5" s="22"/>
      <c r="AP5" s="22"/>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9" customFormat="1" ht="25.5">
      <c r="B6" s="23" t="s">
        <v>6</v>
      </c>
      <c r="C6" s="23" t="s">
        <v>7</v>
      </c>
      <c r="D6" s="23" t="s">
        <v>8</v>
      </c>
      <c r="E6" s="23" t="s">
        <v>9</v>
      </c>
      <c r="F6" s="23" t="s">
        <v>10</v>
      </c>
      <c r="G6" s="23" t="s">
        <v>11</v>
      </c>
      <c r="H6" s="23" t="s">
        <v>12</v>
      </c>
      <c r="I6" s="23" t="s">
        <v>13</v>
      </c>
      <c r="J6" s="23" t="s">
        <v>14</v>
      </c>
      <c r="K6" s="23" t="s">
        <v>15</v>
      </c>
      <c r="L6" s="23" t="s">
        <v>16</v>
      </c>
      <c r="M6" s="23" t="s">
        <v>17</v>
      </c>
      <c r="N6" s="23" t="s">
        <v>18</v>
      </c>
      <c r="O6" s="23" t="s">
        <v>19</v>
      </c>
      <c r="P6" s="24" t="s">
        <v>20</v>
      </c>
      <c r="Q6" s="23" t="s">
        <v>12</v>
      </c>
      <c r="R6" s="25"/>
      <c r="S6" s="25"/>
      <c r="T6" s="25"/>
      <c r="U6" s="25"/>
      <c r="V6" s="25"/>
      <c r="W6" s="25"/>
      <c r="X6" s="25"/>
      <c r="Y6" s="25"/>
      <c r="Z6" s="25"/>
      <c r="AA6" s="25"/>
      <c r="AB6" s="25"/>
      <c r="AC6" s="25"/>
      <c r="AD6" s="25"/>
      <c r="AE6" s="25"/>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B7" s="26" t="str">
        <f>Raw!B8</f>
        <v>ENERGY STAR Monitors</v>
      </c>
      <c r="C7" s="26" t="str">
        <f>Raw!C8</f>
        <v>ENERGY STAR LCD Display</v>
      </c>
      <c r="D7" s="343">
        <f>Raw!D8</f>
        <v>29.693683763540115</v>
      </c>
      <c r="E7" s="27">
        <f>Raw!E8</f>
        <v>5</v>
      </c>
      <c r="F7" s="343">
        <f>Raw!F8</f>
        <v>8</v>
      </c>
      <c r="G7" s="26">
        <f>Raw!G8</f>
        <v>0</v>
      </c>
      <c r="H7" s="26" t="str">
        <f>Raw!H8</f>
        <v>FLAT</v>
      </c>
      <c r="I7" s="26">
        <f>Raw!I8</f>
        <v>0</v>
      </c>
      <c r="J7" s="26">
        <f>Raw!J8</f>
        <v>0</v>
      </c>
      <c r="K7" s="26">
        <f>Raw!K8</f>
        <v>0</v>
      </c>
      <c r="L7" s="26">
        <f>Raw!L8</f>
        <v>0</v>
      </c>
      <c r="M7" s="26">
        <f>Raw!M8</f>
        <v>0</v>
      </c>
      <c r="N7" s="26">
        <f>Raw!N8</f>
        <v>0</v>
      </c>
      <c r="O7" s="26">
        <f>Raw!O8</f>
        <v>0</v>
      </c>
      <c r="P7" s="26">
        <f>Raw!P8</f>
        <v>0</v>
      </c>
      <c r="Q7" s="26">
        <f>Raw!Q8</f>
        <v>0</v>
      </c>
      <c r="R7" s="48"/>
      <c r="S7" s="48"/>
      <c r="T7" s="48"/>
      <c r="U7" s="48"/>
      <c r="V7" s="48"/>
      <c r="W7" s="48"/>
      <c r="X7" s="48"/>
      <c r="Y7" s="48"/>
      <c r="Z7" s="48"/>
      <c r="AA7" s="48"/>
      <c r="AB7" s="48"/>
      <c r="AC7" s="48"/>
      <c r="AD7" s="48"/>
      <c r="AE7" s="48"/>
      <c r="AF7" s="48"/>
      <c r="AG7" s="48"/>
      <c r="AH7" s="48"/>
      <c r="AI7" s="48"/>
      <c r="AJ7" s="48"/>
      <c r="AK7" s="48"/>
      <c r="AL7" s="48"/>
      <c r="AM7" s="48"/>
    </row>
    <row r="8" spans="1:106">
      <c r="B8" s="26" t="str">
        <f>Raw!B9</f>
        <v>ENERGY STAR Desktops</v>
      </c>
      <c r="C8" s="26" t="str">
        <f>Raw!C9</f>
        <v>ENERGY STAR Desktop</v>
      </c>
      <c r="D8" s="343">
        <f>Raw!D9</f>
        <v>63.574979092327354</v>
      </c>
      <c r="E8" s="27">
        <f>Raw!E9</f>
        <v>5</v>
      </c>
      <c r="F8" s="343">
        <f>Raw!F9</f>
        <v>13.80118387577151</v>
      </c>
      <c r="G8" s="26">
        <f>Raw!G9</f>
        <v>0</v>
      </c>
      <c r="H8" s="26" t="str">
        <f>Raw!H9</f>
        <v>FLAT</v>
      </c>
      <c r="I8" s="26">
        <f>Raw!I9</f>
        <v>0</v>
      </c>
      <c r="J8" s="26">
        <f>Raw!J9</f>
        <v>0</v>
      </c>
      <c r="K8" s="26">
        <f>Raw!K9</f>
        <v>0</v>
      </c>
      <c r="L8" s="26">
        <f>Raw!L9</f>
        <v>0</v>
      </c>
      <c r="M8" s="26">
        <f>Raw!M9</f>
        <v>0</v>
      </c>
      <c r="N8" s="26">
        <f>Raw!N9</f>
        <v>0</v>
      </c>
      <c r="O8" s="26">
        <f>Raw!O9</f>
        <v>0</v>
      </c>
      <c r="P8" s="26">
        <f>Raw!P9</f>
        <v>0</v>
      </c>
      <c r="Q8" s="26">
        <f>Raw!Q9</f>
        <v>0</v>
      </c>
      <c r="R8" s="48"/>
      <c r="S8" s="48"/>
      <c r="T8" s="48"/>
      <c r="U8" s="48"/>
      <c r="V8" s="48"/>
      <c r="W8" s="48"/>
      <c r="X8" s="48"/>
      <c r="Y8" s="48"/>
      <c r="Z8" s="48"/>
      <c r="AA8" s="48"/>
      <c r="AB8" s="48"/>
      <c r="AC8" s="48"/>
      <c r="AD8" s="48"/>
      <c r="AE8" s="48"/>
      <c r="AF8" s="48"/>
      <c r="AG8" s="48"/>
      <c r="AH8" s="48"/>
      <c r="AI8" s="48"/>
      <c r="AJ8" s="48"/>
      <c r="AK8" s="48"/>
      <c r="AL8" s="48"/>
      <c r="AM8" s="48"/>
    </row>
    <row r="9" spans="1:106">
      <c r="B9" s="26" t="str">
        <f>Raw!B10</f>
        <v>ENERGY STAR Laptops</v>
      </c>
      <c r="C9" s="26" t="str">
        <f>Raw!C10</f>
        <v>ENERGY STAR Notebook</v>
      </c>
      <c r="D9" s="343">
        <f>Raw!D10</f>
        <v>18.370399815048557</v>
      </c>
      <c r="E9" s="27">
        <f>Raw!E10</f>
        <v>4</v>
      </c>
      <c r="F9" s="343">
        <f>Raw!F10</f>
        <v>55.697634927220747</v>
      </c>
      <c r="G9" s="26">
        <f>Raw!G10</f>
        <v>0</v>
      </c>
      <c r="H9" s="26" t="str">
        <f>Raw!H10</f>
        <v>FLAT</v>
      </c>
      <c r="I9" s="26">
        <f>Raw!I10</f>
        <v>0</v>
      </c>
      <c r="J9" s="26">
        <f>Raw!J10</f>
        <v>0</v>
      </c>
      <c r="K9" s="26">
        <f>Raw!K10</f>
        <v>0</v>
      </c>
      <c r="L9" s="26">
        <f>Raw!L10</f>
        <v>0</v>
      </c>
      <c r="M9" s="26">
        <f>Raw!M10</f>
        <v>0</v>
      </c>
      <c r="N9" s="26">
        <f>Raw!N10</f>
        <v>0</v>
      </c>
      <c r="O9" s="26">
        <f>Raw!O10</f>
        <v>0</v>
      </c>
      <c r="P9" s="26">
        <f>Raw!P10</f>
        <v>0</v>
      </c>
      <c r="Q9" s="26">
        <f>Raw!Q10</f>
        <v>0</v>
      </c>
      <c r="R9" s="48"/>
      <c r="S9" s="48"/>
      <c r="T9" s="48"/>
      <c r="U9" s="48"/>
      <c r="V9" s="48"/>
      <c r="W9" s="48"/>
      <c r="X9" s="48"/>
      <c r="Y9" s="48"/>
      <c r="Z9" s="48"/>
      <c r="AA9" s="48"/>
      <c r="AB9" s="48"/>
      <c r="AC9" s="48"/>
      <c r="AD9" s="48"/>
      <c r="AE9" s="48"/>
      <c r="AF9" s="48"/>
      <c r="AG9" s="48"/>
      <c r="AH9" s="48"/>
      <c r="AI9" s="48"/>
      <c r="AJ9" s="48"/>
      <c r="AK9" s="48"/>
      <c r="AL9" s="48"/>
      <c r="AM9" s="48"/>
    </row>
    <row r="10" spans="1:106">
      <c r="B10" s="26"/>
      <c r="C10" s="26"/>
      <c r="D10" s="27"/>
      <c r="E10" s="26"/>
      <c r="F10" s="27"/>
      <c r="G10" s="26"/>
      <c r="H10" s="26"/>
      <c r="I10" s="26"/>
      <c r="J10" s="26"/>
      <c r="K10" s="26"/>
      <c r="L10" s="26"/>
      <c r="M10" s="26"/>
      <c r="N10" s="26"/>
      <c r="O10" s="26"/>
      <c r="P10" s="26"/>
      <c r="Q10" s="26"/>
      <c r="R10" s="48"/>
      <c r="S10" s="48"/>
      <c r="T10" s="48"/>
      <c r="U10" s="48"/>
      <c r="V10" s="48"/>
      <c r="W10" s="48"/>
      <c r="X10" s="48"/>
      <c r="Y10" s="48"/>
      <c r="Z10" s="48"/>
      <c r="AA10" s="48"/>
      <c r="AB10" s="48"/>
      <c r="AC10" s="48"/>
      <c r="AD10" s="48"/>
      <c r="AE10" s="48"/>
      <c r="AF10" s="48"/>
      <c r="AG10" s="48"/>
      <c r="AH10" s="48"/>
      <c r="AI10" s="48"/>
      <c r="AJ10" s="48"/>
      <c r="AK10" s="48"/>
      <c r="AL10" s="48"/>
      <c r="AM10" s="48"/>
    </row>
    <row r="11" spans="1:106">
      <c r="B11" s="26"/>
      <c r="C11" s="26"/>
      <c r="D11" s="27"/>
      <c r="E11" s="26"/>
      <c r="F11" s="27"/>
      <c r="G11" s="26"/>
      <c r="H11" s="26"/>
      <c r="I11" s="26"/>
      <c r="J11" s="26"/>
      <c r="K11" s="26"/>
      <c r="L11" s="26"/>
      <c r="M11" s="26"/>
      <c r="N11" s="26"/>
      <c r="O11" s="26"/>
      <c r="P11" s="26"/>
      <c r="Q11" s="26"/>
      <c r="R11" s="48"/>
      <c r="S11" s="48"/>
      <c r="T11" s="48"/>
      <c r="U11" s="48"/>
      <c r="V11" s="48"/>
      <c r="W11" s="48"/>
      <c r="X11" s="48"/>
      <c r="Y11" s="48"/>
      <c r="Z11" s="48"/>
      <c r="AA11" s="48"/>
      <c r="AB11" s="48"/>
      <c r="AC11" s="48"/>
      <c r="AD11" s="48"/>
      <c r="AE11" s="48"/>
      <c r="AF11" s="48"/>
      <c r="AG11" s="48"/>
      <c r="AH11" s="48"/>
      <c r="AI11" s="48"/>
      <c r="AJ11" s="48"/>
      <c r="AK11" s="48"/>
      <c r="AL11" s="48"/>
      <c r="AM11" s="48"/>
    </row>
    <row r="12" spans="1:106">
      <c r="B12" s="26"/>
      <c r="C12" s="26"/>
      <c r="D12" s="27"/>
      <c r="E12" s="26"/>
      <c r="F12" s="27"/>
      <c r="G12" s="26"/>
      <c r="H12" s="26"/>
      <c r="I12" s="26"/>
      <c r="J12" s="26"/>
      <c r="K12" s="26"/>
      <c r="L12" s="26"/>
      <c r="M12" s="26"/>
      <c r="N12" s="26"/>
      <c r="O12" s="26"/>
      <c r="P12" s="26"/>
      <c r="Q12" s="26"/>
      <c r="R12" s="48"/>
      <c r="S12" s="48"/>
      <c r="T12" s="48"/>
      <c r="U12" s="48"/>
      <c r="V12" s="48"/>
      <c r="W12" s="48"/>
      <c r="X12" s="48"/>
      <c r="Y12" s="48"/>
      <c r="Z12" s="48"/>
      <c r="AA12" s="48"/>
      <c r="AB12" s="48"/>
      <c r="AC12" s="48"/>
      <c r="AD12" s="48"/>
      <c r="AE12" s="48"/>
      <c r="AF12" s="48"/>
      <c r="AG12" s="48"/>
      <c r="AH12" s="48"/>
      <c r="AI12" s="48"/>
      <c r="AJ12" s="48"/>
      <c r="AK12" s="48"/>
      <c r="AL12" s="48"/>
      <c r="AM12" s="48"/>
    </row>
    <row r="13" spans="1:106">
      <c r="B13" s="26"/>
      <c r="C13" s="26"/>
      <c r="D13" s="27"/>
      <c r="E13" s="26"/>
      <c r="F13" s="27"/>
      <c r="G13" s="26"/>
      <c r="H13" s="26"/>
      <c r="I13" s="26"/>
      <c r="J13" s="26"/>
      <c r="K13" s="26"/>
      <c r="L13" s="26"/>
      <c r="M13" s="26"/>
      <c r="N13" s="26"/>
      <c r="O13" s="26"/>
      <c r="P13" s="26"/>
      <c r="Q13" s="26"/>
      <c r="R13" s="48"/>
      <c r="S13" s="48"/>
      <c r="T13" s="48"/>
      <c r="U13" s="48"/>
      <c r="V13" s="48"/>
      <c r="W13" s="48"/>
      <c r="X13" s="48"/>
      <c r="Y13" s="48"/>
      <c r="Z13" s="48"/>
      <c r="AA13" s="48"/>
      <c r="AB13" s="48"/>
      <c r="AC13" s="48"/>
      <c r="AD13" s="48"/>
      <c r="AE13" s="48"/>
      <c r="AF13" s="48"/>
      <c r="AG13" s="48"/>
      <c r="AH13" s="48"/>
      <c r="AI13" s="48"/>
      <c r="AJ13" s="48"/>
      <c r="AK13" s="48"/>
      <c r="AL13" s="48"/>
      <c r="AM13" s="48"/>
    </row>
    <row r="14" spans="1:106">
      <c r="B14" s="26"/>
      <c r="C14" s="26"/>
      <c r="D14" s="26"/>
      <c r="E14" s="26"/>
      <c r="F14" s="26"/>
      <c r="G14" s="26"/>
      <c r="H14" s="26"/>
      <c r="I14" s="26"/>
      <c r="J14" s="26"/>
      <c r="K14" s="26"/>
      <c r="L14" s="26"/>
      <c r="M14" s="26"/>
      <c r="N14" s="26"/>
      <c r="O14" s="26"/>
      <c r="P14" s="26"/>
      <c r="Q14" s="26"/>
      <c r="R14" s="48"/>
      <c r="S14" s="48"/>
      <c r="T14" s="48"/>
      <c r="U14" s="48"/>
      <c r="V14" s="48"/>
      <c r="W14" s="48"/>
      <c r="X14" s="48"/>
      <c r="Y14" s="48"/>
      <c r="Z14" s="48"/>
      <c r="AA14" s="48"/>
      <c r="AB14" s="48"/>
      <c r="AC14" s="48"/>
      <c r="AD14" s="48"/>
      <c r="AE14" s="48"/>
      <c r="AF14" s="48"/>
      <c r="AG14" s="48"/>
      <c r="AH14" s="48"/>
      <c r="AI14" s="48"/>
      <c r="AJ14" s="48"/>
      <c r="AK14" s="48"/>
      <c r="AL14" s="48"/>
      <c r="AM14" s="48"/>
    </row>
    <row r="15" spans="1:106">
      <c r="B15" s="26"/>
      <c r="C15" s="26"/>
      <c r="D15" s="26"/>
      <c r="E15" s="26"/>
      <c r="F15" s="26"/>
      <c r="G15" s="26"/>
      <c r="H15" s="26"/>
      <c r="I15" s="26"/>
      <c r="J15" s="26"/>
      <c r="K15" s="26"/>
      <c r="L15" s="26"/>
      <c r="M15" s="26"/>
      <c r="N15" s="26"/>
      <c r="O15" s="26"/>
      <c r="P15" s="26"/>
      <c r="Q15" s="26"/>
      <c r="R15" s="48"/>
      <c r="S15" s="48"/>
      <c r="T15" s="48"/>
      <c r="U15" s="48"/>
      <c r="V15" s="48"/>
      <c r="W15" s="48"/>
      <c r="X15" s="48"/>
      <c r="Y15" s="48"/>
      <c r="Z15" s="48"/>
      <c r="AA15" s="48"/>
      <c r="AB15" s="48"/>
      <c r="AC15" s="48"/>
      <c r="AD15" s="48"/>
      <c r="AE15" s="48"/>
      <c r="AF15" s="48"/>
      <c r="AG15" s="48"/>
      <c r="AH15" s="48"/>
      <c r="AI15" s="48"/>
      <c r="AJ15" s="48"/>
      <c r="AK15" s="48"/>
      <c r="AL15" s="48"/>
      <c r="AM15" s="48"/>
    </row>
    <row r="16" spans="1:106">
      <c r="B16" s="26"/>
      <c r="C16" s="26"/>
      <c r="D16" s="26"/>
      <c r="E16" s="26"/>
      <c r="F16" s="26"/>
      <c r="G16" s="26"/>
      <c r="H16" s="26"/>
      <c r="I16" s="26"/>
      <c r="J16" s="26"/>
      <c r="K16" s="26"/>
      <c r="L16" s="26"/>
      <c r="M16" s="26"/>
      <c r="N16" s="26"/>
      <c r="O16" s="26"/>
      <c r="P16" s="26"/>
      <c r="Q16" s="26"/>
      <c r="R16" s="48"/>
      <c r="S16" s="48"/>
      <c r="T16" s="48"/>
      <c r="U16" s="48"/>
      <c r="V16" s="48"/>
      <c r="W16" s="48"/>
      <c r="X16" s="48"/>
      <c r="Y16" s="48"/>
      <c r="Z16" s="48"/>
      <c r="AA16" s="48"/>
      <c r="AB16" s="48"/>
      <c r="AC16" s="48"/>
      <c r="AD16" s="48"/>
      <c r="AE16" s="48"/>
      <c r="AF16" s="48"/>
      <c r="AG16" s="48"/>
      <c r="AH16" s="48"/>
      <c r="AI16" s="48"/>
      <c r="AJ16" s="48"/>
      <c r="AK16" s="48"/>
      <c r="AL16" s="48"/>
      <c r="AM16" s="48"/>
    </row>
    <row r="17" spans="2:39">
      <c r="B17" s="26"/>
      <c r="C17" s="26"/>
      <c r="D17" s="26"/>
      <c r="E17" s="26"/>
      <c r="F17" s="26"/>
      <c r="G17" s="26"/>
      <c r="H17" s="26"/>
      <c r="I17" s="26"/>
      <c r="J17" s="26"/>
      <c r="K17" s="26"/>
      <c r="L17" s="26"/>
      <c r="M17" s="26"/>
      <c r="N17" s="26"/>
      <c r="O17" s="26"/>
      <c r="P17" s="26"/>
      <c r="Q17" s="26"/>
      <c r="R17" s="48"/>
      <c r="S17" s="48"/>
      <c r="T17" s="48"/>
      <c r="U17" s="48"/>
      <c r="V17" s="48"/>
      <c r="W17" s="48"/>
      <c r="X17" s="48"/>
      <c r="Y17" s="48"/>
      <c r="Z17" s="48"/>
      <c r="AA17" s="48"/>
      <c r="AB17" s="48"/>
      <c r="AC17" s="48"/>
      <c r="AD17" s="48"/>
      <c r="AE17" s="48"/>
      <c r="AF17" s="48"/>
      <c r="AG17" s="48"/>
      <c r="AH17" s="48"/>
      <c r="AI17" s="48"/>
      <c r="AJ17" s="48"/>
      <c r="AK17" s="48"/>
      <c r="AL17" s="48"/>
      <c r="AM17" s="48"/>
    </row>
  </sheetData>
  <mergeCells count="2">
    <mergeCell ref="J5:O5"/>
    <mergeCell ref="P5:Q5"/>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Sheet14"/>
  <dimension ref="B1:DB223"/>
  <sheetViews>
    <sheetView workbookViewId="0">
      <selection activeCell="E9" sqref="E9"/>
    </sheetView>
  </sheetViews>
  <sheetFormatPr defaultRowHeight="12.75"/>
  <cols>
    <col min="1" max="1" width="9.140625" style="9"/>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2: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2: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2:106">
      <c r="B3" s="10"/>
      <c r="D3" s="10"/>
      <c r="K3" s="11"/>
      <c r="L3" s="12"/>
      <c r="CP3" s="12"/>
      <c r="CQ3" s="12"/>
    </row>
    <row r="5" spans="2: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2:106">
      <c r="B6" s="14" t="s">
        <v>3</v>
      </c>
      <c r="C6" s="15"/>
      <c r="D6" s="15"/>
      <c r="E6" s="15"/>
      <c r="F6" s="15"/>
      <c r="G6" s="15"/>
      <c r="H6" s="16"/>
      <c r="I6" s="79"/>
      <c r="J6" s="430" t="s">
        <v>4</v>
      </c>
      <c r="K6" s="431"/>
      <c r="L6" s="431"/>
      <c r="M6" s="431"/>
      <c r="N6" s="431"/>
      <c r="O6" s="432"/>
      <c r="P6" s="433" t="s">
        <v>5</v>
      </c>
      <c r="Q6" s="434"/>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ht="25.5">
      <c r="B7" s="23" t="s">
        <v>6</v>
      </c>
      <c r="C7" s="23" t="s">
        <v>7</v>
      </c>
      <c r="D7" s="23" t="s">
        <v>8</v>
      </c>
      <c r="E7" s="23" t="s">
        <v>9</v>
      </c>
      <c r="F7" s="23" t="s">
        <v>10</v>
      </c>
      <c r="G7" s="80" t="s">
        <v>11</v>
      </c>
      <c r="H7" s="23" t="s">
        <v>12</v>
      </c>
      <c r="I7" s="81" t="s">
        <v>13</v>
      </c>
      <c r="J7" s="81" t="s">
        <v>14</v>
      </c>
      <c r="K7" s="81" t="s">
        <v>15</v>
      </c>
      <c r="L7" s="81" t="s">
        <v>16</v>
      </c>
      <c r="M7" s="81" t="s">
        <v>17</v>
      </c>
      <c r="N7" s="81" t="s">
        <v>18</v>
      </c>
      <c r="O7" s="81" t="s">
        <v>19</v>
      </c>
      <c r="P7" s="82" t="s">
        <v>20</v>
      </c>
      <c r="Q7" s="81"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ht="25.5">
      <c r="B8" s="83" t="s">
        <v>292</v>
      </c>
      <c r="C8" s="83" t="s">
        <v>299</v>
      </c>
      <c r="D8" s="83">
        <f>Summary!I35</f>
        <v>29.693683763540115</v>
      </c>
      <c r="E8" s="42">
        <f>Summary!B38</f>
        <v>5</v>
      </c>
      <c r="F8" s="55">
        <f>Summary!L27</f>
        <v>8</v>
      </c>
      <c r="G8" s="42"/>
      <c r="H8" s="84" t="s">
        <v>150</v>
      </c>
      <c r="Q8" s="85"/>
      <c r="R8" s="30"/>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2:106">
      <c r="B9" s="83" t="s">
        <v>293</v>
      </c>
      <c r="C9" s="83" t="s">
        <v>300</v>
      </c>
      <c r="D9" s="83">
        <f>Summary!I8</f>
        <v>63.574979092327354</v>
      </c>
      <c r="E9" s="42">
        <f>Summary!B10</f>
        <v>5</v>
      </c>
      <c r="F9" s="55">
        <f>Summary!L4</f>
        <v>13.80118387577151</v>
      </c>
      <c r="G9" s="42"/>
      <c r="H9" s="84" t="s">
        <v>150</v>
      </c>
      <c r="Q9" s="85"/>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2:106">
      <c r="B10" s="83" t="s">
        <v>294</v>
      </c>
      <c r="C10" s="83" t="s">
        <v>301</v>
      </c>
      <c r="D10" s="83">
        <f>Summary!I21</f>
        <v>18.370399815048557</v>
      </c>
      <c r="E10" s="42">
        <f>Summary!B22</f>
        <v>4</v>
      </c>
      <c r="F10" s="55">
        <f>Summary!L16</f>
        <v>55.697634927220747</v>
      </c>
      <c r="G10" s="42"/>
      <c r="H10" s="84" t="s">
        <v>150</v>
      </c>
      <c r="Q10" s="85"/>
      <c r="R10" s="30"/>
      <c r="S10" s="31"/>
      <c r="T10" s="32"/>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2:106">
      <c r="B11" s="83"/>
      <c r="C11" s="83"/>
      <c r="D11" s="83"/>
      <c r="E11" s="42"/>
      <c r="F11" s="55"/>
      <c r="G11" s="42"/>
      <c r="H11" s="84"/>
      <c r="Q11" s="85"/>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2:106">
      <c r="B12" s="83"/>
      <c r="C12" s="83"/>
      <c r="D12" s="83"/>
      <c r="E12" s="42"/>
      <c r="F12" s="55"/>
      <c r="G12" s="42"/>
      <c r="H12" s="84"/>
      <c r="Q12" s="85"/>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2:106">
      <c r="B13" s="83"/>
      <c r="C13" s="83"/>
      <c r="D13" s="83"/>
      <c r="E13" s="42"/>
      <c r="F13" s="55"/>
      <c r="G13" s="42"/>
      <c r="H13" s="84"/>
      <c r="Q13" s="85"/>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2:106">
      <c r="B14" s="83"/>
      <c r="C14" s="83"/>
      <c r="D14" s="83"/>
      <c r="E14" s="42"/>
      <c r="F14" s="55"/>
      <c r="G14" s="42"/>
      <c r="H14" s="84"/>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2: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2: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sheetPr codeName="Sheet9"/>
  <dimension ref="A1:L329"/>
  <sheetViews>
    <sheetView workbookViewId="0">
      <selection activeCell="D11" sqref="D11"/>
    </sheetView>
  </sheetViews>
  <sheetFormatPr defaultRowHeight="14.25"/>
  <cols>
    <col min="1" max="1" width="16.7109375" style="276" customWidth="1"/>
    <col min="2" max="2" width="26.5703125" style="276" bestFit="1" customWidth="1"/>
    <col min="3" max="3" width="11.28515625" style="276" bestFit="1" customWidth="1"/>
    <col min="4" max="4" width="10.7109375" style="276" bestFit="1" customWidth="1"/>
    <col min="5" max="5" width="11.28515625" style="276" bestFit="1" customWidth="1"/>
    <col min="6" max="6" width="10.7109375" style="276" bestFit="1" customWidth="1"/>
    <col min="7" max="7" width="16.5703125" style="276" customWidth="1"/>
    <col min="8" max="16384" width="9.140625" style="276"/>
  </cols>
  <sheetData>
    <row r="1" spans="1:12">
      <c r="A1" s="275" t="s">
        <v>155</v>
      </c>
    </row>
    <row r="2" spans="1:12" s="282" customFormat="1" ht="15">
      <c r="A2" s="277" t="s">
        <v>267</v>
      </c>
      <c r="B2" s="278"/>
      <c r="C2" s="279"/>
      <c r="D2" s="280"/>
      <c r="E2" s="281"/>
      <c r="H2" s="283"/>
      <c r="J2" s="284"/>
    </row>
    <row r="3" spans="1:12" s="282" customFormat="1" ht="15">
      <c r="A3" s="277"/>
      <c r="B3" s="439" t="s">
        <v>268</v>
      </c>
      <c r="C3" s="440" t="s">
        <v>171</v>
      </c>
      <c r="D3" s="440"/>
      <c r="E3" s="441" t="s">
        <v>269</v>
      </c>
      <c r="F3" s="441"/>
      <c r="G3" s="442" t="s">
        <v>270</v>
      </c>
      <c r="J3" s="284"/>
      <c r="L3" s="277" t="s">
        <v>298</v>
      </c>
    </row>
    <row r="4" spans="1:12" s="282" customFormat="1" ht="15">
      <c r="A4" s="277"/>
      <c r="B4" s="439"/>
      <c r="C4" s="285" t="s">
        <v>165</v>
      </c>
      <c r="D4" s="286" t="s">
        <v>166</v>
      </c>
      <c r="E4" s="285" t="s">
        <v>165</v>
      </c>
      <c r="F4" s="286" t="s">
        <v>166</v>
      </c>
      <c r="G4" s="442"/>
      <c r="H4" s="283" t="s">
        <v>290</v>
      </c>
      <c r="I4" s="283" t="s">
        <v>291</v>
      </c>
      <c r="J4" s="284"/>
      <c r="L4" s="342">
        <f>AVERAGE('Inc Cost'!C51:C52)</f>
        <v>13.80118387577151</v>
      </c>
    </row>
    <row r="5" spans="1:12" s="282" customFormat="1" ht="15">
      <c r="A5" s="277"/>
      <c r="B5" s="287" t="s">
        <v>271</v>
      </c>
      <c r="C5" s="288">
        <v>201.22843516799998</v>
      </c>
      <c r="D5" s="289">
        <v>108.34681406999998</v>
      </c>
      <c r="E5" s="290">
        <v>92.917334911999987</v>
      </c>
      <c r="F5" s="290">
        <v>51.361226429999988</v>
      </c>
      <c r="G5" s="291">
        <v>0.25319693094629159</v>
      </c>
      <c r="H5" s="340">
        <f>(C5-E5)</f>
        <v>108.31110025599999</v>
      </c>
      <c r="I5" s="340">
        <f>(D5-F5)</f>
        <v>56.985587639999991</v>
      </c>
      <c r="J5" s="284"/>
    </row>
    <row r="6" spans="1:12" s="282" customFormat="1" ht="15">
      <c r="A6" s="277"/>
      <c r="B6" s="287" t="s">
        <v>272</v>
      </c>
      <c r="C6" s="288">
        <v>284.99012268800004</v>
      </c>
      <c r="D6" s="289">
        <v>151.43756666999997</v>
      </c>
      <c r="E6" s="290">
        <v>161.474718752</v>
      </c>
      <c r="F6" s="290">
        <v>86.968648679999987</v>
      </c>
      <c r="G6" s="291">
        <v>0.14705882352941177</v>
      </c>
      <c r="H6" s="340">
        <f t="shared" ref="H6:H7" si="0">(C6-E6)</f>
        <v>123.51540393600004</v>
      </c>
      <c r="I6" s="340">
        <f t="shared" ref="I6:I7" si="1">(D6-F6)</f>
        <v>64.46891798999998</v>
      </c>
      <c r="J6" s="284"/>
    </row>
    <row r="7" spans="1:12" s="282" customFormat="1" ht="15">
      <c r="A7" s="277"/>
      <c r="B7" s="287" t="s">
        <v>273</v>
      </c>
      <c r="C7" s="288">
        <v>314.29006492799999</v>
      </c>
      <c r="D7" s="289">
        <v>167.07810461999998</v>
      </c>
      <c r="E7" s="290">
        <v>187.8475656</v>
      </c>
      <c r="F7" s="290">
        <v>100.94044634999999</v>
      </c>
      <c r="G7" s="291">
        <v>0.59974424552429673</v>
      </c>
      <c r="H7" s="340">
        <f t="shared" si="0"/>
        <v>126.442499328</v>
      </c>
      <c r="I7" s="340">
        <f t="shared" si="1"/>
        <v>66.137658269999989</v>
      </c>
      <c r="J7" s="284"/>
    </row>
    <row r="8" spans="1:12" s="282" customFormat="1" ht="15">
      <c r="A8" s="277"/>
      <c r="B8" s="292"/>
      <c r="C8" s="293"/>
      <c r="D8" s="294"/>
      <c r="E8" s="295"/>
      <c r="F8" s="295"/>
      <c r="G8" s="283" t="s">
        <v>274</v>
      </c>
      <c r="H8" s="341">
        <f>SUMPRODUCT($G$5:$G$7,H5:H7)</f>
        <v>121.42122952450129</v>
      </c>
      <c r="I8" s="341">
        <f>SUMPRODUCT($G$5:$G$7,I5:I7)</f>
        <v>63.574979092327354</v>
      </c>
      <c r="J8" s="284"/>
    </row>
    <row r="10" spans="1:12">
      <c r="A10" s="276" t="s">
        <v>275</v>
      </c>
      <c r="B10" s="419">
        <v>5</v>
      </c>
      <c r="C10" s="276" t="s">
        <v>276</v>
      </c>
      <c r="D10" s="276" t="s">
        <v>604</v>
      </c>
    </row>
    <row r="14" spans="1:12">
      <c r="A14" s="275" t="s">
        <v>156</v>
      </c>
    </row>
    <row r="15" spans="1:12" s="282" customFormat="1" ht="15">
      <c r="A15" s="277" t="s">
        <v>277</v>
      </c>
      <c r="B15" s="296"/>
      <c r="C15" s="297"/>
      <c r="D15" s="298"/>
      <c r="E15" s="299"/>
      <c r="F15" s="300"/>
      <c r="G15" s="301"/>
      <c r="H15" s="283"/>
      <c r="L15" s="277" t="s">
        <v>298</v>
      </c>
    </row>
    <row r="16" spans="1:12" s="304" customFormat="1" ht="13.5">
      <c r="A16" s="302"/>
      <c r="B16" s="439" t="s">
        <v>268</v>
      </c>
      <c r="C16" s="440" t="s">
        <v>171</v>
      </c>
      <c r="D16" s="440"/>
      <c r="E16" s="441" t="s">
        <v>269</v>
      </c>
      <c r="F16" s="441"/>
      <c r="G16" s="442" t="s">
        <v>270</v>
      </c>
      <c r="H16" s="303"/>
      <c r="I16" s="303"/>
      <c r="J16" s="303"/>
      <c r="L16" s="342">
        <f>AVERAGE('Inc Cost'!C98:C99)</f>
        <v>55.697634927220747</v>
      </c>
    </row>
    <row r="17" spans="1:12" s="304" customFormat="1" ht="13.5">
      <c r="A17" s="302"/>
      <c r="B17" s="439"/>
      <c r="C17" s="285" t="s">
        <v>165</v>
      </c>
      <c r="D17" s="286" t="s">
        <v>166</v>
      </c>
      <c r="E17" s="285" t="s">
        <v>165</v>
      </c>
      <c r="F17" s="286" t="s">
        <v>166</v>
      </c>
      <c r="G17" s="442"/>
      <c r="H17" s="283" t="s">
        <v>290</v>
      </c>
      <c r="I17" s="283" t="s">
        <v>291</v>
      </c>
      <c r="J17" s="303"/>
    </row>
    <row r="18" spans="1:12" s="304" customFormat="1" ht="13.5">
      <c r="A18" s="302"/>
      <c r="B18" s="287" t="s">
        <v>271</v>
      </c>
      <c r="C18" s="288">
        <v>66.467413071999999</v>
      </c>
      <c r="D18" s="289">
        <v>36.782902439999994</v>
      </c>
      <c r="E18" s="290">
        <v>38.749936723200001</v>
      </c>
      <c r="F18" s="290">
        <v>21.692911502999998</v>
      </c>
      <c r="G18" s="291">
        <v>0.46094698502630516</v>
      </c>
      <c r="H18" s="340">
        <f t="shared" ref="H18:H20" si="2">(C18-E18)</f>
        <v>27.717476348799998</v>
      </c>
      <c r="I18" s="340">
        <f t="shared" ref="I18:I20" si="3">(D18-F18)</f>
        <v>15.089990936999996</v>
      </c>
      <c r="J18" s="303"/>
    </row>
    <row r="19" spans="1:12" s="304" customFormat="1" ht="13.5">
      <c r="A19" s="302"/>
      <c r="B19" s="287" t="s">
        <v>272</v>
      </c>
      <c r="C19" s="288">
        <v>88.774009759999998</v>
      </c>
      <c r="D19" s="289">
        <v>48.503480369999998</v>
      </c>
      <c r="E19" s="290">
        <v>51.915795862400003</v>
      </c>
      <c r="F19" s="290">
        <v>28.812996980999994</v>
      </c>
      <c r="G19" s="291">
        <v>0.14488061513557265</v>
      </c>
      <c r="H19" s="340">
        <f t="shared" si="2"/>
        <v>36.858213897599995</v>
      </c>
      <c r="I19" s="340">
        <f t="shared" si="3"/>
        <v>19.690483389000004</v>
      </c>
      <c r="J19" s="303"/>
    </row>
    <row r="20" spans="1:12" s="304" customFormat="1" ht="13.5">
      <c r="A20" s="302"/>
      <c r="B20" s="287" t="s">
        <v>273</v>
      </c>
      <c r="C20" s="288">
        <v>103.028398032</v>
      </c>
      <c r="D20" s="289">
        <v>55.937747459999983</v>
      </c>
      <c r="E20" s="290">
        <v>61.762586720000002</v>
      </c>
      <c r="F20" s="290">
        <v>34.216427939999996</v>
      </c>
      <c r="G20" s="291">
        <v>0.39417239983812224</v>
      </c>
      <c r="H20" s="340">
        <f t="shared" si="2"/>
        <v>41.265811311999997</v>
      </c>
      <c r="I20" s="340">
        <f t="shared" si="3"/>
        <v>21.721319519999987</v>
      </c>
      <c r="J20" s="303"/>
    </row>
    <row r="21" spans="1:12" ht="36" customHeight="1">
      <c r="G21" s="283" t="s">
        <v>274</v>
      </c>
      <c r="H21" s="341">
        <f>SUMPRODUCT($G$18:$G$20,H18:H20)</f>
        <v>34.382171733918256</v>
      </c>
      <c r="I21" s="341">
        <f>SUMPRODUCT($G$18:$G$20,I18:I20)</f>
        <v>18.370399815048557</v>
      </c>
    </row>
    <row r="22" spans="1:12">
      <c r="A22" s="276" t="s">
        <v>275</v>
      </c>
      <c r="B22" s="276">
        <v>4</v>
      </c>
      <c r="C22" s="276" t="s">
        <v>276</v>
      </c>
    </row>
    <row r="23" spans="1:12" ht="36" customHeight="1"/>
    <row r="25" spans="1:12">
      <c r="A25" s="305" t="s">
        <v>278</v>
      </c>
    </row>
    <row r="26" spans="1:12" s="282" customFormat="1" ht="15">
      <c r="A26" s="277" t="s">
        <v>279</v>
      </c>
      <c r="B26" s="296"/>
      <c r="C26" s="297"/>
      <c r="D26" s="298"/>
      <c r="E26" s="299"/>
      <c r="F26" s="300"/>
      <c r="G26" s="301"/>
      <c r="L26" s="277" t="s">
        <v>298</v>
      </c>
    </row>
    <row r="27" spans="1:12" s="307" customFormat="1" ht="13.5">
      <c r="A27" s="306"/>
      <c r="B27" s="435" t="s">
        <v>280</v>
      </c>
      <c r="C27" s="435" t="s">
        <v>171</v>
      </c>
      <c r="D27" s="435"/>
      <c r="E27" s="436" t="s">
        <v>269</v>
      </c>
      <c r="F27" s="436"/>
      <c r="G27" s="437" t="s">
        <v>281</v>
      </c>
      <c r="L27" s="342">
        <f>8</f>
        <v>8</v>
      </c>
    </row>
    <row r="28" spans="1:12" s="307" customFormat="1" ht="13.5">
      <c r="A28" s="306"/>
      <c r="B28" s="435"/>
      <c r="C28" s="308" t="s">
        <v>165</v>
      </c>
      <c r="D28" s="308" t="s">
        <v>166</v>
      </c>
      <c r="E28" s="308" t="s">
        <v>165</v>
      </c>
      <c r="F28" s="308" t="s">
        <v>166</v>
      </c>
      <c r="G28" s="438"/>
      <c r="H28" s="283" t="s">
        <v>290</v>
      </c>
      <c r="I28" s="283" t="s">
        <v>291</v>
      </c>
    </row>
    <row r="29" spans="1:12" s="307" customFormat="1" ht="13.5">
      <c r="A29" s="306"/>
      <c r="B29" s="309" t="s">
        <v>254</v>
      </c>
      <c r="C29" s="308">
        <v>84.755691598679988</v>
      </c>
      <c r="D29" s="310">
        <v>58.875052519999997</v>
      </c>
      <c r="E29" s="308">
        <v>63.048007139999996</v>
      </c>
      <c r="F29" s="308">
        <v>45.687559999999998</v>
      </c>
      <c r="G29" s="311">
        <v>1.6542597187758478E-3</v>
      </c>
      <c r="H29" s="340">
        <f t="shared" ref="H29:H34" si="4">(C29-E29)</f>
        <v>21.707684458679992</v>
      </c>
      <c r="I29" s="340">
        <f t="shared" ref="I29:I34" si="5">(D29-F29)</f>
        <v>13.187492519999999</v>
      </c>
    </row>
    <row r="30" spans="1:12" s="307" customFormat="1" ht="13.5">
      <c r="A30" s="306"/>
      <c r="B30" s="309" t="s">
        <v>255</v>
      </c>
      <c r="C30" s="308">
        <v>84.755691598679988</v>
      </c>
      <c r="D30" s="310">
        <v>58.875052519999997</v>
      </c>
      <c r="E30" s="308">
        <v>46.196579219999997</v>
      </c>
      <c r="F30" s="308">
        <v>33.822679999999998</v>
      </c>
      <c r="G30" s="311">
        <v>1.9851116625310174E-2</v>
      </c>
      <c r="H30" s="340">
        <f t="shared" si="4"/>
        <v>38.559112378679991</v>
      </c>
      <c r="I30" s="340">
        <f t="shared" si="5"/>
        <v>25.052372519999999</v>
      </c>
    </row>
    <row r="31" spans="1:12" s="307" customFormat="1" ht="13.5">
      <c r="A31" s="306"/>
      <c r="B31" s="309" t="s">
        <v>256</v>
      </c>
      <c r="C31" s="308">
        <v>84.755691598679988</v>
      </c>
      <c r="D31" s="310">
        <v>58.875052519999997</v>
      </c>
      <c r="E31" s="308">
        <v>50.773510260000002</v>
      </c>
      <c r="F31" s="308">
        <v>37.045240000000007</v>
      </c>
      <c r="G31" s="311">
        <v>0.41935483870967744</v>
      </c>
      <c r="H31" s="340">
        <f t="shared" si="4"/>
        <v>33.982181338679986</v>
      </c>
      <c r="I31" s="340">
        <f t="shared" si="5"/>
        <v>21.82981251999999</v>
      </c>
    </row>
    <row r="32" spans="1:12" s="307" customFormat="1" ht="13.5">
      <c r="A32" s="306"/>
      <c r="B32" s="309" t="s">
        <v>257</v>
      </c>
      <c r="C32" s="308">
        <v>84.755691598679988</v>
      </c>
      <c r="D32" s="310">
        <v>58.875052519999997</v>
      </c>
      <c r="E32" s="308">
        <v>53.894145059999992</v>
      </c>
      <c r="F32" s="308">
        <v>39.242440000000002</v>
      </c>
      <c r="G32" s="311">
        <v>0.27295285359801491</v>
      </c>
      <c r="H32" s="340">
        <f t="shared" si="4"/>
        <v>30.861546538679995</v>
      </c>
      <c r="I32" s="340">
        <f t="shared" si="5"/>
        <v>19.632612519999995</v>
      </c>
    </row>
    <row r="33" spans="1:9" s="307" customFormat="1" ht="13.5">
      <c r="A33" s="306"/>
      <c r="B33" s="309" t="s">
        <v>258</v>
      </c>
      <c r="C33" s="308">
        <v>84.755691598679988</v>
      </c>
      <c r="D33" s="310">
        <v>58.875052519999997</v>
      </c>
      <c r="E33" s="308">
        <v>54.102187379999997</v>
      </c>
      <c r="F33" s="308">
        <v>39.388919999999999</v>
      </c>
      <c r="G33" s="311">
        <v>0.14722911497105046</v>
      </c>
      <c r="H33" s="340">
        <f t="shared" si="4"/>
        <v>30.653504218679991</v>
      </c>
      <c r="I33" s="340">
        <f t="shared" si="5"/>
        <v>19.486132519999998</v>
      </c>
    </row>
    <row r="34" spans="1:9" s="282" customFormat="1" ht="15.75" customHeight="1">
      <c r="A34" s="277"/>
      <c r="B34" s="309" t="s">
        <v>259</v>
      </c>
      <c r="C34" s="308">
        <v>177.60934790340002</v>
      </c>
      <c r="D34" s="310">
        <v>124.25215260000002</v>
      </c>
      <c r="E34" s="308">
        <v>54.102187379999997</v>
      </c>
      <c r="F34" s="308">
        <v>39.388919999999999</v>
      </c>
      <c r="G34" s="312">
        <v>0.13895781637717122</v>
      </c>
      <c r="H34" s="340">
        <f t="shared" si="4"/>
        <v>123.50716052340002</v>
      </c>
      <c r="I34" s="340">
        <f t="shared" si="5"/>
        <v>84.863232600000018</v>
      </c>
    </row>
    <row r="35" spans="1:9" ht="18.75" customHeight="1">
      <c r="G35" s="283" t="s">
        <v>274</v>
      </c>
      <c r="H35" s="341">
        <f>SUMPRODUCT($G$29:$G$34,H29:H34)</f>
        <v>45.151064583405358</v>
      </c>
      <c r="I35" s="341">
        <f>SUMPRODUCT($G$29:$G$34,I29:I34)</f>
        <v>29.693683763540115</v>
      </c>
    </row>
    <row r="36" spans="1:9">
      <c r="A36" s="276" t="s">
        <v>275</v>
      </c>
    </row>
    <row r="37" spans="1:9">
      <c r="A37" s="276" t="s">
        <v>165</v>
      </c>
      <c r="B37" s="313">
        <v>4</v>
      </c>
      <c r="C37" s="276" t="s">
        <v>276</v>
      </c>
    </row>
    <row r="38" spans="1:9">
      <c r="A38" s="276" t="s">
        <v>166</v>
      </c>
      <c r="B38" s="313">
        <v>5</v>
      </c>
      <c r="C38" s="276" t="s">
        <v>276</v>
      </c>
    </row>
    <row r="39" spans="1:9" ht="24" customHeight="1"/>
    <row r="248" ht="12.75" customHeight="1"/>
    <row r="252" ht="12.75" customHeight="1"/>
    <row r="256" ht="12.75" customHeight="1"/>
    <row r="260" ht="12.75" customHeight="1"/>
    <row r="266" ht="12.75" customHeight="1"/>
    <row r="269" ht="12.75" customHeight="1"/>
    <row r="272" ht="12.75" customHeight="1"/>
    <row r="275" ht="12.75" customHeight="1"/>
    <row r="278" ht="12.75" customHeight="1"/>
    <row r="281" ht="12.75" customHeight="1"/>
    <row r="284" ht="12.75" customHeight="1"/>
    <row r="287" ht="12.75" customHeight="1"/>
    <row r="291" ht="12.75" customHeight="1"/>
    <row r="295" ht="12.75" customHeight="1"/>
    <row r="299" ht="12.75" customHeight="1"/>
    <row r="303" ht="12.75" customHeight="1"/>
    <row r="306" ht="12.75" customHeight="1"/>
    <row r="308" ht="12.75" customHeight="1"/>
    <row r="312" ht="12.75" customHeight="1"/>
    <row r="316" ht="12.75" customHeight="1"/>
    <row r="320" ht="12.75" customHeight="1"/>
    <row r="323" ht="12.75" customHeight="1"/>
    <row r="326" ht="12.75" customHeight="1"/>
    <row r="329" ht="12.75" customHeight="1"/>
  </sheetData>
  <mergeCells count="12">
    <mergeCell ref="B27:B28"/>
    <mergeCell ref="C27:D27"/>
    <mergeCell ref="E27:F27"/>
    <mergeCell ref="G27:G28"/>
    <mergeCell ref="B3:B4"/>
    <mergeCell ref="C3:D3"/>
    <mergeCell ref="E3:F3"/>
    <mergeCell ref="G3:G4"/>
    <mergeCell ref="B16:B17"/>
    <mergeCell ref="C16:D16"/>
    <mergeCell ref="E16:F16"/>
    <mergeCell ref="G16:G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published="0" codeName="Sheet15"/>
  <dimension ref="A3:E3"/>
  <sheetViews>
    <sheetView workbookViewId="0">
      <selection activeCell="J31" sqref="J31"/>
    </sheetView>
  </sheetViews>
  <sheetFormatPr defaultRowHeight="12.75"/>
  <sheetData>
    <row r="3" spans="1:5">
      <c r="A3" t="s">
        <v>296</v>
      </c>
      <c r="D3" t="s">
        <v>297</v>
      </c>
      <c r="E3" t="s">
        <v>295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6"/>
  <dimension ref="A1:M51"/>
  <sheetViews>
    <sheetView workbookViewId="0">
      <selection activeCell="C25" sqref="C25"/>
    </sheetView>
  </sheetViews>
  <sheetFormatPr defaultColWidth="27.28515625" defaultRowHeight="12"/>
  <cols>
    <col min="1" max="1" width="3.7109375" style="172" customWidth="1"/>
    <col min="2" max="2" width="30.7109375" style="180" customWidth="1"/>
    <col min="3" max="3" width="19.7109375" style="181" customWidth="1"/>
    <col min="4" max="4" width="19.7109375" style="99" customWidth="1"/>
    <col min="5" max="8" width="19.7109375" style="173" customWidth="1"/>
    <col min="9" max="9" width="18.7109375" style="115" customWidth="1"/>
    <col min="10" max="10" width="18.7109375" style="116" customWidth="1"/>
    <col min="11" max="11" width="17.7109375" style="116" customWidth="1"/>
    <col min="12" max="13" width="27.28515625" style="116" customWidth="1"/>
    <col min="14" max="16384" width="27.28515625" style="99"/>
  </cols>
  <sheetData>
    <row r="1" spans="1:13" s="93" customFormat="1" ht="30" customHeight="1">
      <c r="A1" s="90" t="s">
        <v>161</v>
      </c>
      <c r="B1" s="91"/>
      <c r="C1" s="92"/>
      <c r="D1" s="92"/>
    </row>
    <row r="2" spans="1:13" ht="22.5" customHeight="1">
      <c r="A2" s="94" t="s">
        <v>162</v>
      </c>
      <c r="B2" s="95"/>
      <c r="C2" s="96"/>
      <c r="D2" s="97"/>
      <c r="E2" s="97"/>
      <c r="F2" s="97"/>
      <c r="G2" s="98"/>
      <c r="H2" s="98"/>
      <c r="I2" s="98"/>
      <c r="J2" s="98"/>
      <c r="K2" s="98"/>
      <c r="L2" s="98"/>
      <c r="M2" s="98"/>
    </row>
    <row r="3" spans="1:13" ht="15">
      <c r="A3" s="100"/>
      <c r="B3" s="452"/>
      <c r="C3" s="454" t="s">
        <v>163</v>
      </c>
      <c r="D3" s="455"/>
      <c r="E3" s="454" t="s">
        <v>164</v>
      </c>
      <c r="F3" s="101"/>
      <c r="G3" s="102"/>
      <c r="H3" s="102"/>
      <c r="I3" s="98"/>
      <c r="J3" s="98"/>
      <c r="K3" s="98"/>
      <c r="L3" s="98"/>
      <c r="M3" s="98"/>
    </row>
    <row r="4" spans="1:13">
      <c r="A4" s="100"/>
      <c r="B4" s="453"/>
      <c r="C4" s="103" t="s">
        <v>165</v>
      </c>
      <c r="D4" s="103" t="s">
        <v>166</v>
      </c>
      <c r="E4" s="454"/>
      <c r="F4" s="101"/>
      <c r="G4" s="102"/>
      <c r="H4" s="102"/>
      <c r="I4" s="98"/>
      <c r="J4" s="98"/>
      <c r="K4" s="98"/>
      <c r="L4" s="98"/>
      <c r="M4" s="98"/>
    </row>
    <row r="5" spans="1:13">
      <c r="A5" s="100"/>
      <c r="B5" s="104" t="s">
        <v>167</v>
      </c>
      <c r="C5" s="105">
        <v>0.36</v>
      </c>
      <c r="D5" s="105">
        <v>0.78</v>
      </c>
      <c r="E5" s="105">
        <f>D5</f>
        <v>0.78</v>
      </c>
      <c r="F5" s="101"/>
      <c r="G5" s="102"/>
      <c r="H5" s="102"/>
      <c r="I5" s="98"/>
      <c r="J5" s="98"/>
      <c r="K5" s="98"/>
      <c r="L5" s="98"/>
      <c r="M5" s="98"/>
    </row>
    <row r="6" spans="1:13">
      <c r="A6" s="100"/>
      <c r="B6" s="104" t="s">
        <v>168</v>
      </c>
      <c r="C6" s="105">
        <v>0.08</v>
      </c>
      <c r="D6" s="105">
        <v>0.15</v>
      </c>
      <c r="E6" s="105">
        <f>D6</f>
        <v>0.15</v>
      </c>
      <c r="F6" s="101"/>
      <c r="G6" s="102"/>
      <c r="H6" s="102"/>
      <c r="I6" s="98"/>
      <c r="J6" s="98"/>
      <c r="K6" s="98"/>
      <c r="L6" s="98"/>
      <c r="M6" s="98"/>
    </row>
    <row r="7" spans="1:13" s="114" customFormat="1" ht="33" customHeight="1">
      <c r="A7" s="94" t="s">
        <v>169</v>
      </c>
      <c r="B7" s="106"/>
      <c r="C7" s="107"/>
      <c r="D7" s="108"/>
      <c r="E7" s="109"/>
      <c r="F7" s="110"/>
      <c r="G7" s="111"/>
      <c r="H7" s="112"/>
      <c r="I7" s="113"/>
    </row>
    <row r="8" spans="1:13" ht="15">
      <c r="A8" s="99"/>
      <c r="B8" s="456" t="s">
        <v>170</v>
      </c>
      <c r="C8" s="458" t="s">
        <v>171</v>
      </c>
      <c r="D8" s="451"/>
      <c r="E8" s="451"/>
      <c r="F8" s="458" t="s">
        <v>172</v>
      </c>
      <c r="G8" s="451"/>
      <c r="H8" s="451"/>
    </row>
    <row r="9" spans="1:13">
      <c r="A9" s="99"/>
      <c r="B9" s="457"/>
      <c r="C9" s="103" t="s">
        <v>173</v>
      </c>
      <c r="D9" s="103" t="s">
        <v>174</v>
      </c>
      <c r="E9" s="103" t="s">
        <v>175</v>
      </c>
      <c r="F9" s="103" t="s">
        <v>173</v>
      </c>
      <c r="G9" s="103" t="s">
        <v>174</v>
      </c>
      <c r="H9" s="103" t="s">
        <v>175</v>
      </c>
    </row>
    <row r="10" spans="1:13">
      <c r="A10" s="99"/>
      <c r="B10" s="117" t="s">
        <v>154</v>
      </c>
      <c r="C10" s="118">
        <v>33.799999999999997</v>
      </c>
      <c r="D10" s="118">
        <v>2.0299999999999998</v>
      </c>
      <c r="E10" s="118">
        <v>1.01</v>
      </c>
      <c r="F10" s="118">
        <v>15.45</v>
      </c>
      <c r="G10" s="118">
        <v>1.27</v>
      </c>
      <c r="H10" s="118">
        <v>0.78</v>
      </c>
      <c r="I10" s="119"/>
    </row>
    <row r="11" spans="1:13">
      <c r="A11" s="99"/>
      <c r="B11" s="117" t="s">
        <v>176</v>
      </c>
      <c r="C11" s="118">
        <v>48.11</v>
      </c>
      <c r="D11" s="118">
        <v>2.31</v>
      </c>
      <c r="E11" s="118">
        <v>0.96</v>
      </c>
      <c r="F11" s="118">
        <v>27.11</v>
      </c>
      <c r="G11" s="118">
        <v>1.8</v>
      </c>
      <c r="H11" s="118">
        <v>0.81</v>
      </c>
    </row>
    <row r="12" spans="1:13">
      <c r="A12" s="99"/>
      <c r="B12" s="117" t="s">
        <v>177</v>
      </c>
      <c r="C12" s="118">
        <v>53.04</v>
      </c>
      <c r="D12" s="118">
        <v>2.7</v>
      </c>
      <c r="E12" s="118">
        <v>1.07</v>
      </c>
      <c r="F12" s="118">
        <v>31.54</v>
      </c>
      <c r="G12" s="118">
        <v>2.4700000000000002</v>
      </c>
      <c r="H12" s="118">
        <v>0.87</v>
      </c>
    </row>
    <row r="13" spans="1:13" ht="13.5" customHeight="1">
      <c r="A13" s="120"/>
      <c r="B13" s="121"/>
      <c r="C13" s="122"/>
      <c r="D13" s="122"/>
      <c r="E13" s="123"/>
      <c r="F13" s="101"/>
      <c r="G13" s="102"/>
      <c r="H13" s="102"/>
      <c r="I13" s="98"/>
      <c r="J13" s="98"/>
      <c r="K13" s="98"/>
      <c r="L13" s="98"/>
      <c r="M13" s="98"/>
    </row>
    <row r="14" spans="1:13" ht="12.75" customHeight="1">
      <c r="A14" s="99"/>
      <c r="B14" s="461" t="s">
        <v>178</v>
      </c>
      <c r="C14" s="443" t="s">
        <v>179</v>
      </c>
      <c r="D14" s="444"/>
      <c r="E14" s="445"/>
      <c r="F14" s="443" t="s">
        <v>180</v>
      </c>
      <c r="G14" s="444"/>
      <c r="H14" s="445"/>
      <c r="I14" s="124"/>
      <c r="J14" s="124"/>
      <c r="K14" s="124"/>
      <c r="L14" s="98"/>
      <c r="M14" s="98"/>
    </row>
    <row r="15" spans="1:13" ht="12" customHeight="1">
      <c r="A15" s="99"/>
      <c r="B15" s="462"/>
      <c r="C15" s="103" t="s">
        <v>181</v>
      </c>
      <c r="D15" s="103" t="s">
        <v>182</v>
      </c>
      <c r="E15" s="103" t="s">
        <v>183</v>
      </c>
      <c r="F15" s="103" t="s">
        <v>181</v>
      </c>
      <c r="G15" s="103" t="s">
        <v>182</v>
      </c>
      <c r="H15" s="103" t="s">
        <v>183</v>
      </c>
      <c r="I15" s="124"/>
      <c r="J15" s="124"/>
      <c r="K15" s="124"/>
      <c r="L15" s="98"/>
      <c r="M15" s="98"/>
    </row>
    <row r="16" spans="1:13">
      <c r="A16" s="99"/>
      <c r="B16" s="125" t="s">
        <v>184</v>
      </c>
      <c r="C16" s="126">
        <v>803</v>
      </c>
      <c r="D16" s="126">
        <v>1104</v>
      </c>
      <c r="E16" s="126">
        <v>6854</v>
      </c>
      <c r="F16" s="126">
        <v>1059</v>
      </c>
      <c r="G16" s="126">
        <v>1241</v>
      </c>
      <c r="H16" s="126">
        <v>6461</v>
      </c>
      <c r="I16" s="99">
        <f>C16/8760</f>
        <v>9.166666666666666E-2</v>
      </c>
      <c r="J16" s="99">
        <f t="shared" ref="J16:K18" si="0">D16/8760</f>
        <v>0.12602739726027398</v>
      </c>
      <c r="K16" s="99">
        <f t="shared" si="0"/>
        <v>0.78242009132420087</v>
      </c>
      <c r="L16" s="98"/>
      <c r="M16" s="98"/>
    </row>
    <row r="17" spans="1:13">
      <c r="A17" s="99"/>
      <c r="B17" s="125" t="s">
        <v>185</v>
      </c>
      <c r="C17" s="126">
        <v>1906</v>
      </c>
      <c r="D17" s="126">
        <v>0</v>
      </c>
      <c r="E17" s="126">
        <v>6854</v>
      </c>
      <c r="F17" s="126">
        <v>2300</v>
      </c>
      <c r="G17" s="126">
        <v>0</v>
      </c>
      <c r="H17" s="126">
        <v>6461</v>
      </c>
      <c r="I17" s="99">
        <f t="shared" ref="I17:I18" si="1">C17/8760</f>
        <v>0.2175799086757991</v>
      </c>
      <c r="J17" s="99">
        <f t="shared" si="0"/>
        <v>0</v>
      </c>
      <c r="K17" s="99">
        <f t="shared" si="0"/>
        <v>0.78242009132420087</v>
      </c>
      <c r="L17" s="98"/>
      <c r="M17" s="98"/>
    </row>
    <row r="18" spans="1:13">
      <c r="A18" s="99"/>
      <c r="B18" s="125" t="s">
        <v>186</v>
      </c>
      <c r="C18" s="126">
        <v>803</v>
      </c>
      <c r="D18" s="126">
        <v>7957</v>
      </c>
      <c r="E18" s="126">
        <v>0</v>
      </c>
      <c r="F18" s="126">
        <v>1059</v>
      </c>
      <c r="G18" s="126">
        <v>7702</v>
      </c>
      <c r="H18" s="126">
        <v>0</v>
      </c>
      <c r="I18" s="99">
        <f t="shared" si="1"/>
        <v>9.166666666666666E-2</v>
      </c>
      <c r="J18" s="99">
        <f t="shared" si="0"/>
        <v>0.90833333333333333</v>
      </c>
      <c r="K18" s="99">
        <f t="shared" si="0"/>
        <v>0</v>
      </c>
      <c r="L18" s="98"/>
      <c r="M18" s="98"/>
    </row>
    <row r="19" spans="1:13">
      <c r="A19" s="99"/>
      <c r="B19" s="125" t="s">
        <v>187</v>
      </c>
      <c r="C19" s="126">
        <v>8760</v>
      </c>
      <c r="D19" s="126">
        <v>0</v>
      </c>
      <c r="E19" s="126">
        <v>0</v>
      </c>
      <c r="F19" s="126">
        <v>8760</v>
      </c>
      <c r="G19" s="126">
        <v>0</v>
      </c>
      <c r="H19" s="126">
        <v>0</v>
      </c>
      <c r="I19" s="124"/>
      <c r="J19" s="124"/>
      <c r="K19" s="124"/>
      <c r="L19" s="98"/>
      <c r="M19" s="98"/>
    </row>
    <row r="20" spans="1:13">
      <c r="A20" s="99"/>
      <c r="B20" s="127"/>
      <c r="C20" s="128"/>
      <c r="D20" s="128"/>
      <c r="E20" s="128"/>
      <c r="F20" s="129"/>
      <c r="G20" s="124"/>
      <c r="H20" s="124"/>
      <c r="I20" s="124"/>
      <c r="J20" s="124"/>
      <c r="K20" s="124"/>
      <c r="L20" s="98"/>
      <c r="M20" s="98"/>
    </row>
    <row r="21" spans="1:13">
      <c r="A21" s="99"/>
      <c r="B21" s="125"/>
      <c r="C21" s="103" t="s">
        <v>181</v>
      </c>
      <c r="D21" s="103" t="s">
        <v>182</v>
      </c>
      <c r="E21" s="103" t="s">
        <v>183</v>
      </c>
      <c r="F21" s="124"/>
      <c r="G21" s="124"/>
      <c r="H21" s="124"/>
      <c r="I21" s="124"/>
      <c r="J21" s="124"/>
      <c r="K21" s="124"/>
      <c r="L21" s="98"/>
      <c r="M21" s="98"/>
    </row>
    <row r="22" spans="1:13" ht="24">
      <c r="A22" s="99"/>
      <c r="B22" s="130" t="s">
        <v>188</v>
      </c>
      <c r="C22" s="131">
        <f>C$5*C$6*C16+C$5*(1-C$6)*C17+(1-C$5)*C$6*C18+(1-C$5)*(1-C$6)*C19</f>
        <v>5853.3951999999999</v>
      </c>
      <c r="D22" s="131">
        <f>C$5*C$6*D16+C$5*(1-C$6)*D17+(1-C$5)*C$6*D18+(1-C$5)*(1-C$6)*D19</f>
        <v>439.19360000000006</v>
      </c>
      <c r="E22" s="131">
        <f>C$5*C$6*E16+C$5*(1-C$6)*E17+(1-C$5)*C$6*E18+(1-C$5)*(1-C$6)*E19</f>
        <v>2467.44</v>
      </c>
      <c r="F22" s="124"/>
      <c r="G22" s="132"/>
      <c r="H22" s="132"/>
      <c r="I22" s="99"/>
      <c r="J22" s="124"/>
      <c r="K22" s="124"/>
      <c r="L22" s="98"/>
      <c r="M22" s="98"/>
    </row>
    <row r="23" spans="1:13" ht="24">
      <c r="A23" s="99"/>
      <c r="B23" s="130" t="s">
        <v>189</v>
      </c>
      <c r="C23" s="131">
        <f>D$5*D$6*C16+D$5*(1-D$6)*C17+(1-D$5)*D$6*C18+(1-D$5)*(1-D$6)*C19</f>
        <v>3022.2479999999996</v>
      </c>
      <c r="D23" s="131">
        <f>D$5*D$6*D16+D$5*(1-D$6)*D17+(1-D$5)*D$6*D18+(1-D$5)*(1-D$6)*D19</f>
        <v>391.74899999999997</v>
      </c>
      <c r="E23" s="131">
        <f>D$5*D$6*E16+D$5*(1-D$6)*E17+(1-D$5)*D$6*E18+(1-D$5)*(1-D$6)*E19</f>
        <v>5346.12</v>
      </c>
      <c r="F23" s="124"/>
      <c r="G23" s="132"/>
      <c r="H23" s="132"/>
      <c r="I23" s="99"/>
      <c r="J23" s="124"/>
      <c r="K23" s="124"/>
      <c r="L23" s="98"/>
      <c r="M23" s="98"/>
    </row>
    <row r="24" spans="1:13">
      <c r="A24" s="99"/>
      <c r="B24" s="133"/>
      <c r="C24" s="134"/>
      <c r="D24" s="134"/>
      <c r="E24" s="134"/>
      <c r="F24" s="124"/>
      <c r="G24" s="132"/>
      <c r="H24" s="132"/>
      <c r="I24" s="99"/>
      <c r="J24" s="124"/>
      <c r="K24" s="124"/>
      <c r="L24" s="98"/>
      <c r="M24" s="98"/>
    </row>
    <row r="25" spans="1:13">
      <c r="A25" s="99"/>
      <c r="B25" s="135" t="s">
        <v>190</v>
      </c>
      <c r="C25" s="136">
        <v>4</v>
      </c>
      <c r="D25" s="134"/>
      <c r="E25" s="134"/>
      <c r="F25" s="124"/>
      <c r="G25" s="132"/>
      <c r="H25" s="132"/>
      <c r="I25" s="99"/>
      <c r="J25" s="124"/>
      <c r="K25" s="124"/>
      <c r="L25" s="98"/>
      <c r="M25" s="98"/>
    </row>
    <row r="32" spans="1:13" s="114" customFormat="1" ht="15">
      <c r="A32" s="94"/>
      <c r="B32" s="137"/>
      <c r="C32" s="138"/>
      <c r="D32" s="139"/>
      <c r="E32" s="140"/>
      <c r="H32" s="113"/>
      <c r="I32" s="113"/>
      <c r="K32" s="124"/>
    </row>
    <row r="33" spans="1:13" s="114" customFormat="1" ht="11.25">
      <c r="A33" s="141"/>
      <c r="B33" s="142"/>
      <c r="C33" s="143"/>
      <c r="D33" s="143"/>
      <c r="E33" s="144"/>
      <c r="F33" s="144"/>
      <c r="G33" s="144"/>
      <c r="H33" s="113"/>
      <c r="I33" s="113"/>
    </row>
    <row r="34" spans="1:13" s="147" customFormat="1" ht="21" customHeight="1">
      <c r="A34" s="145" t="s">
        <v>191</v>
      </c>
      <c r="B34" s="106"/>
      <c r="C34" s="146"/>
      <c r="D34" s="146"/>
      <c r="E34" s="114"/>
      <c r="F34" s="114"/>
      <c r="G34" s="114"/>
      <c r="H34" s="113"/>
      <c r="I34" s="113"/>
    </row>
    <row r="35" spans="1:13" s="148" customFormat="1" ht="12.75" customHeight="1">
      <c r="B35" s="149" t="s">
        <v>159</v>
      </c>
      <c r="C35" s="150" t="s">
        <v>192</v>
      </c>
      <c r="D35" s="151"/>
      <c r="E35" s="151"/>
      <c r="F35" s="152"/>
      <c r="G35" s="153"/>
      <c r="H35" s="153"/>
      <c r="I35" s="153"/>
      <c r="J35" s="153"/>
      <c r="K35" s="153"/>
      <c r="L35" s="153"/>
      <c r="M35" s="153"/>
    </row>
    <row r="36" spans="1:13" s="154" customFormat="1" ht="18.75" customHeight="1">
      <c r="B36" s="149" t="s">
        <v>193</v>
      </c>
      <c r="C36" s="150" t="s">
        <v>194</v>
      </c>
      <c r="D36" s="155"/>
      <c r="E36" s="156"/>
      <c r="F36" s="156"/>
      <c r="G36" s="157"/>
      <c r="H36" s="157"/>
      <c r="I36" s="157"/>
      <c r="J36" s="157"/>
      <c r="K36" s="157"/>
      <c r="L36" s="158"/>
    </row>
    <row r="37" spans="1:13" s="154" customFormat="1" ht="12" customHeight="1">
      <c r="B37" s="149"/>
      <c r="C37" s="150" t="s">
        <v>195</v>
      </c>
      <c r="D37" s="155"/>
      <c r="E37" s="156"/>
      <c r="F37" s="156"/>
      <c r="G37" s="157"/>
      <c r="H37" s="157"/>
      <c r="I37" s="157"/>
      <c r="J37" s="157"/>
      <c r="K37" s="157"/>
      <c r="L37" s="158"/>
    </row>
    <row r="38" spans="1:13" s="148" customFormat="1" ht="18.75" customHeight="1">
      <c r="A38" s="153"/>
      <c r="B38" s="149" t="s">
        <v>196</v>
      </c>
      <c r="C38" s="150" t="s">
        <v>197</v>
      </c>
      <c r="D38" s="151"/>
      <c r="E38" s="151"/>
      <c r="F38" s="151"/>
      <c r="G38" s="153"/>
      <c r="H38" s="153"/>
      <c r="I38" s="153"/>
      <c r="J38" s="153"/>
      <c r="K38" s="153"/>
      <c r="L38" s="153"/>
      <c r="M38" s="153"/>
    </row>
    <row r="39" spans="1:13" s="148" customFormat="1" ht="12" customHeight="1">
      <c r="A39" s="153"/>
      <c r="B39" s="159"/>
      <c r="C39" s="150" t="s">
        <v>198</v>
      </c>
      <c r="D39" s="160"/>
      <c r="E39" s="161"/>
      <c r="F39" s="161"/>
      <c r="G39" s="153"/>
      <c r="H39" s="153"/>
      <c r="I39" s="153"/>
      <c r="J39" s="153"/>
      <c r="K39" s="153"/>
      <c r="L39" s="153"/>
      <c r="M39" s="153"/>
    </row>
    <row r="40" spans="1:13" s="148" customFormat="1" ht="18.75" customHeight="1">
      <c r="A40" s="153"/>
      <c r="B40" s="149" t="s">
        <v>199</v>
      </c>
      <c r="C40" s="446" t="s">
        <v>200</v>
      </c>
      <c r="D40" s="447"/>
      <c r="E40" s="447"/>
      <c r="F40" s="447"/>
      <c r="G40" s="162"/>
      <c r="H40" s="162"/>
      <c r="I40" s="163"/>
      <c r="J40" s="163"/>
      <c r="K40" s="153"/>
      <c r="L40" s="153"/>
    </row>
    <row r="41" spans="1:13" s="97" customFormat="1">
      <c r="C41" s="164"/>
      <c r="E41" s="165"/>
    </row>
    <row r="42" spans="1:13" s="170" customFormat="1" ht="44.1" customHeight="1">
      <c r="A42" s="166" t="s">
        <v>201</v>
      </c>
      <c r="B42" s="167"/>
      <c r="C42" s="168"/>
      <c r="D42" s="168"/>
      <c r="E42" s="168"/>
      <c r="F42" s="168"/>
      <c r="G42" s="168"/>
      <c r="H42" s="169"/>
      <c r="K42" s="171"/>
    </row>
    <row r="43" spans="1:13" ht="15">
      <c r="B43" s="448" t="s">
        <v>202</v>
      </c>
      <c r="C43" s="450" t="s">
        <v>203</v>
      </c>
      <c r="D43" s="451"/>
      <c r="E43" s="451"/>
    </row>
    <row r="44" spans="1:13">
      <c r="B44" s="449"/>
      <c r="C44" s="174" t="s">
        <v>6</v>
      </c>
      <c r="D44" s="174" t="s">
        <v>204</v>
      </c>
      <c r="E44" s="174" t="s">
        <v>205</v>
      </c>
    </row>
    <row r="45" spans="1:13">
      <c r="B45" s="448" t="s">
        <v>154</v>
      </c>
      <c r="C45" s="459">
        <v>0</v>
      </c>
      <c r="D45" s="175" t="s">
        <v>206</v>
      </c>
      <c r="E45" s="460" t="s">
        <v>207</v>
      </c>
    </row>
    <row r="46" spans="1:13">
      <c r="B46" s="448"/>
      <c r="C46" s="459"/>
      <c r="D46" s="176" t="s">
        <v>208</v>
      </c>
      <c r="E46" s="460"/>
    </row>
    <row r="47" spans="1:13">
      <c r="B47" s="448"/>
      <c r="C47" s="177" t="s">
        <v>209</v>
      </c>
      <c r="D47" s="459" t="s">
        <v>210</v>
      </c>
      <c r="E47" s="177" t="s">
        <v>211</v>
      </c>
    </row>
    <row r="48" spans="1:13">
      <c r="B48" s="178" t="s">
        <v>176</v>
      </c>
      <c r="C48" s="177" t="s">
        <v>212</v>
      </c>
      <c r="D48" s="459"/>
      <c r="E48" s="177" t="s">
        <v>213</v>
      </c>
    </row>
    <row r="49" spans="2:5">
      <c r="B49" s="178" t="s">
        <v>177</v>
      </c>
      <c r="C49" s="177" t="s">
        <v>214</v>
      </c>
      <c r="D49" s="459"/>
      <c r="E49" s="179" t="s">
        <v>215</v>
      </c>
    </row>
    <row r="50" spans="2:5">
      <c r="B50" s="178" t="s">
        <v>176</v>
      </c>
      <c r="C50" s="177" t="s">
        <v>216</v>
      </c>
      <c r="D50" s="175" t="s">
        <v>217</v>
      </c>
      <c r="E50" s="177" t="s">
        <v>218</v>
      </c>
    </row>
    <row r="51" spans="2:5">
      <c r="B51" s="178" t="s">
        <v>177</v>
      </c>
      <c r="C51" s="177" t="s">
        <v>219</v>
      </c>
      <c r="D51" s="176" t="s">
        <v>208</v>
      </c>
      <c r="E51" s="179" t="s">
        <v>220</v>
      </c>
    </row>
  </sheetData>
  <mergeCells count="16">
    <mergeCell ref="B45:B47"/>
    <mergeCell ref="C45:C46"/>
    <mergeCell ref="E45:E46"/>
    <mergeCell ref="D47:D49"/>
    <mergeCell ref="B14:B15"/>
    <mergeCell ref="C14:E14"/>
    <mergeCell ref="F14:H14"/>
    <mergeCell ref="C40:F40"/>
    <mergeCell ref="B43:B44"/>
    <mergeCell ref="C43:E43"/>
    <mergeCell ref="B3:B4"/>
    <mergeCell ref="C3:D3"/>
    <mergeCell ref="E3:E4"/>
    <mergeCell ref="B8:B9"/>
    <mergeCell ref="C8:E8"/>
    <mergeCell ref="F8:H8"/>
  </mergeCells>
  <hyperlinks>
    <hyperlink ref="C40:F40" r:id="rId1" display="- U.S. Department of Energy, energy conservation standards rulemaking analysis"/>
  </hyperlink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7"/>
  <dimension ref="A1:M51"/>
  <sheetViews>
    <sheetView zoomScaleNormal="100" workbookViewId="0">
      <selection activeCell="C32" sqref="C32"/>
    </sheetView>
  </sheetViews>
  <sheetFormatPr defaultColWidth="27.28515625" defaultRowHeight="12"/>
  <cols>
    <col min="1" max="1" width="3.7109375" style="172" customWidth="1"/>
    <col min="2" max="2" width="30.7109375" style="180" customWidth="1"/>
    <col min="3" max="3" width="19.7109375" style="181" customWidth="1"/>
    <col min="4" max="4" width="19.7109375" style="99" customWidth="1"/>
    <col min="5" max="8" width="19.7109375" style="173" customWidth="1"/>
    <col min="9" max="9" width="27.28515625" style="115" customWidth="1"/>
    <col min="10" max="13" width="27.28515625" style="116" customWidth="1"/>
    <col min="14" max="16384" width="27.28515625" style="99"/>
  </cols>
  <sheetData>
    <row r="1" spans="1:13" s="197" customFormat="1" ht="16.5">
      <c r="A1" s="194" t="s">
        <v>282</v>
      </c>
      <c r="B1" s="195"/>
      <c r="C1" s="196"/>
      <c r="D1" s="196"/>
    </row>
    <row r="2" spans="1:13" ht="15">
      <c r="A2" s="201" t="s">
        <v>244</v>
      </c>
      <c r="B2" s="202"/>
      <c r="C2" s="203"/>
      <c r="D2" s="204"/>
      <c r="E2" s="204"/>
      <c r="F2" s="204"/>
      <c r="G2" s="98"/>
      <c r="H2" s="98"/>
      <c r="I2" s="98"/>
      <c r="J2" s="98"/>
      <c r="K2" s="98"/>
      <c r="L2" s="98"/>
      <c r="M2" s="98"/>
    </row>
    <row r="3" spans="1:13" ht="12.75">
      <c r="A3" s="205"/>
      <c r="B3" s="463"/>
      <c r="C3" s="465" t="s">
        <v>163</v>
      </c>
      <c r="D3" s="466"/>
      <c r="E3" s="465" t="s">
        <v>164</v>
      </c>
      <c r="F3" s="206"/>
      <c r="G3" s="102"/>
      <c r="H3" s="102"/>
      <c r="I3" s="98"/>
      <c r="J3" s="98"/>
      <c r="K3" s="98"/>
      <c r="L3" s="98"/>
      <c r="M3" s="98"/>
    </row>
    <row r="4" spans="1:13">
      <c r="A4" s="205"/>
      <c r="B4" s="464"/>
      <c r="C4" s="207" t="s">
        <v>165</v>
      </c>
      <c r="D4" s="207" t="s">
        <v>166</v>
      </c>
      <c r="E4" s="465"/>
      <c r="F4" s="206"/>
      <c r="G4" s="102"/>
      <c r="H4" s="102"/>
      <c r="I4" s="98"/>
      <c r="J4" s="98"/>
      <c r="K4" s="98"/>
      <c r="L4" s="98"/>
      <c r="M4" s="98"/>
    </row>
    <row r="5" spans="1:13">
      <c r="A5" s="205"/>
      <c r="B5" s="210" t="s">
        <v>167</v>
      </c>
      <c r="C5" s="211">
        <v>0.36</v>
      </c>
      <c r="D5" s="211">
        <v>0.78</v>
      </c>
      <c r="E5" s="211">
        <f>D5</f>
        <v>0.78</v>
      </c>
      <c r="F5" s="206"/>
      <c r="G5" s="102"/>
      <c r="H5" s="102"/>
      <c r="I5" s="98"/>
      <c r="J5" s="98"/>
      <c r="K5" s="98"/>
      <c r="L5" s="98"/>
      <c r="M5" s="98"/>
    </row>
    <row r="6" spans="1:13">
      <c r="A6" s="205"/>
      <c r="B6" s="210" t="s">
        <v>168</v>
      </c>
      <c r="C6" s="211">
        <v>0.08</v>
      </c>
      <c r="D6" s="211">
        <v>0.15</v>
      </c>
      <c r="E6" s="211">
        <f>D6</f>
        <v>0.15</v>
      </c>
      <c r="F6" s="206"/>
      <c r="G6" s="102"/>
      <c r="H6" s="102"/>
      <c r="I6" s="98"/>
      <c r="J6" s="98"/>
      <c r="K6" s="98"/>
      <c r="L6" s="98"/>
      <c r="M6" s="98"/>
    </row>
    <row r="7" spans="1:13" s="219" customFormat="1" ht="15">
      <c r="A7" s="201" t="s">
        <v>247</v>
      </c>
      <c r="B7" s="213"/>
      <c r="C7" s="107"/>
      <c r="D7" s="214"/>
      <c r="E7" s="215"/>
      <c r="F7" s="216"/>
      <c r="G7" s="217"/>
      <c r="H7" s="218"/>
      <c r="I7" s="263"/>
    </row>
    <row r="8" spans="1:13" ht="12.75">
      <c r="A8" s="99"/>
      <c r="B8" s="467" t="s">
        <v>283</v>
      </c>
      <c r="C8" s="469" t="s">
        <v>171</v>
      </c>
      <c r="D8" s="470"/>
      <c r="E8" s="470"/>
      <c r="F8" s="469" t="s">
        <v>172</v>
      </c>
      <c r="G8" s="470"/>
      <c r="H8" s="470"/>
    </row>
    <row r="9" spans="1:13">
      <c r="A9" s="99"/>
      <c r="B9" s="468"/>
      <c r="C9" s="207" t="s">
        <v>173</v>
      </c>
      <c r="D9" s="207" t="s">
        <v>174</v>
      </c>
      <c r="E9" s="207" t="s">
        <v>175</v>
      </c>
      <c r="F9" s="207" t="s">
        <v>173</v>
      </c>
      <c r="G9" s="207" t="s">
        <v>174</v>
      </c>
      <c r="H9" s="207" t="s">
        <v>175</v>
      </c>
    </row>
    <row r="10" spans="1:13">
      <c r="A10" s="99"/>
      <c r="B10" s="314" t="s">
        <v>154</v>
      </c>
      <c r="C10" s="315">
        <v>11.04</v>
      </c>
      <c r="D10" s="315">
        <v>1.04</v>
      </c>
      <c r="E10" s="315">
        <v>0.56299999999999994</v>
      </c>
      <c r="F10" s="315">
        <v>6.4</v>
      </c>
      <c r="G10" s="315">
        <v>0.78700000000000003</v>
      </c>
      <c r="H10" s="315">
        <v>0.38200000000000001</v>
      </c>
      <c r="I10" s="119"/>
    </row>
    <row r="11" spans="1:13">
      <c r="A11" s="99"/>
      <c r="B11" s="314" t="s">
        <v>176</v>
      </c>
      <c r="C11" s="315">
        <v>14.82</v>
      </c>
      <c r="D11" s="315">
        <v>1.21</v>
      </c>
      <c r="E11" s="315">
        <v>0.60599999999999998</v>
      </c>
      <c r="F11" s="315">
        <v>8.61</v>
      </c>
      <c r="G11" s="315">
        <v>0.88900000000000001</v>
      </c>
      <c r="H11" s="315">
        <v>0.45700000000000002</v>
      </c>
    </row>
    <row r="12" spans="1:13">
      <c r="A12" s="99"/>
      <c r="B12" s="314" t="s">
        <v>177</v>
      </c>
      <c r="C12" s="315">
        <v>17.239999999999998</v>
      </c>
      <c r="D12" s="315">
        <v>1.34</v>
      </c>
      <c r="E12" s="315">
        <v>0.61899999999999999</v>
      </c>
      <c r="F12" s="315">
        <v>10.24</v>
      </c>
      <c r="G12" s="315">
        <v>1.22</v>
      </c>
      <c r="H12" s="315">
        <v>0.52200000000000002</v>
      </c>
    </row>
    <row r="13" spans="1:13">
      <c r="A13" s="99"/>
      <c r="B13" s="314" t="s">
        <v>284</v>
      </c>
      <c r="C13" s="316">
        <v>14.82</v>
      </c>
      <c r="D13" s="316">
        <v>1.21</v>
      </c>
      <c r="E13" s="316">
        <v>0.60599999999999998</v>
      </c>
      <c r="F13" s="316">
        <v>8.61</v>
      </c>
      <c r="G13" s="316">
        <v>0.88900000000000001</v>
      </c>
      <c r="H13" s="316">
        <v>0.45700000000000002</v>
      </c>
    </row>
    <row r="14" spans="1:13" ht="13.5">
      <c r="A14" s="317"/>
      <c r="B14" s="243"/>
      <c r="C14" s="244"/>
      <c r="D14" s="244"/>
      <c r="E14" s="245"/>
      <c r="F14" s="206"/>
      <c r="G14" s="102"/>
      <c r="H14" s="102"/>
      <c r="I14" s="98"/>
      <c r="J14" s="98"/>
      <c r="K14" s="98"/>
      <c r="L14" s="98"/>
      <c r="M14" s="98"/>
    </row>
    <row r="15" spans="1:13" ht="12.75">
      <c r="A15" s="99"/>
      <c r="B15" s="471" t="s">
        <v>178</v>
      </c>
      <c r="C15" s="443" t="s">
        <v>179</v>
      </c>
      <c r="D15" s="473"/>
      <c r="E15" s="474"/>
      <c r="F15" s="443" t="s">
        <v>180</v>
      </c>
      <c r="G15" s="473"/>
      <c r="H15" s="474"/>
      <c r="I15" s="251"/>
      <c r="J15" s="251"/>
      <c r="K15" s="251"/>
      <c r="L15" s="98"/>
      <c r="M15" s="98"/>
    </row>
    <row r="16" spans="1:13">
      <c r="A16" s="99"/>
      <c r="B16" s="472"/>
      <c r="C16" s="207" t="s">
        <v>181</v>
      </c>
      <c r="D16" s="207" t="s">
        <v>182</v>
      </c>
      <c r="E16" s="207" t="s">
        <v>183</v>
      </c>
      <c r="F16" s="207" t="s">
        <v>181</v>
      </c>
      <c r="G16" s="207" t="s">
        <v>182</v>
      </c>
      <c r="H16" s="207" t="s">
        <v>183</v>
      </c>
      <c r="I16" s="251"/>
      <c r="J16" s="251"/>
      <c r="K16" s="251"/>
      <c r="L16" s="98"/>
      <c r="M16" s="98"/>
    </row>
    <row r="17" spans="1:13">
      <c r="A17" s="99"/>
      <c r="B17" s="246" t="s">
        <v>184</v>
      </c>
      <c r="C17" s="247">
        <v>803</v>
      </c>
      <c r="D17" s="247">
        <v>1104</v>
      </c>
      <c r="E17" s="247">
        <v>6854</v>
      </c>
      <c r="F17" s="247">
        <v>1059</v>
      </c>
      <c r="G17" s="247">
        <v>1241</v>
      </c>
      <c r="H17" s="247">
        <v>6461</v>
      </c>
      <c r="I17" s="99"/>
      <c r="J17" s="99"/>
      <c r="K17" s="251"/>
      <c r="L17" s="98"/>
      <c r="M17" s="98"/>
    </row>
    <row r="18" spans="1:13">
      <c r="A18" s="99"/>
      <c r="B18" s="246" t="s">
        <v>185</v>
      </c>
      <c r="C18" s="247">
        <v>1906</v>
      </c>
      <c r="D18" s="247">
        <v>0</v>
      </c>
      <c r="E18" s="247">
        <v>6854</v>
      </c>
      <c r="F18" s="247">
        <v>2300</v>
      </c>
      <c r="G18" s="247">
        <v>0</v>
      </c>
      <c r="H18" s="247">
        <v>6461</v>
      </c>
      <c r="I18" s="99"/>
      <c r="J18" s="99"/>
      <c r="K18" s="99"/>
      <c r="L18" s="98"/>
      <c r="M18" s="98"/>
    </row>
    <row r="19" spans="1:13">
      <c r="A19" s="99"/>
      <c r="B19" s="246" t="s">
        <v>186</v>
      </c>
      <c r="C19" s="247">
        <v>803</v>
      </c>
      <c r="D19" s="247">
        <v>7957</v>
      </c>
      <c r="E19" s="247">
        <v>0</v>
      </c>
      <c r="F19" s="247">
        <v>1059</v>
      </c>
      <c r="G19" s="247">
        <v>7702</v>
      </c>
      <c r="H19" s="247">
        <v>0</v>
      </c>
      <c r="I19" s="99"/>
      <c r="J19" s="251"/>
      <c r="K19" s="251"/>
      <c r="L19" s="98"/>
      <c r="M19" s="98"/>
    </row>
    <row r="20" spans="1:13">
      <c r="A20" s="99"/>
      <c r="B20" s="246" t="s">
        <v>187</v>
      </c>
      <c r="C20" s="247">
        <v>8760</v>
      </c>
      <c r="D20" s="247">
        <v>0</v>
      </c>
      <c r="E20" s="247">
        <v>0</v>
      </c>
      <c r="F20" s="247">
        <v>8760</v>
      </c>
      <c r="G20" s="247">
        <v>0</v>
      </c>
      <c r="H20" s="247">
        <v>0</v>
      </c>
      <c r="I20" s="251"/>
      <c r="J20" s="251"/>
      <c r="K20" s="251"/>
      <c r="L20" s="98"/>
      <c r="M20" s="98"/>
    </row>
    <row r="21" spans="1:13">
      <c r="A21" s="99"/>
      <c r="B21" s="248"/>
      <c r="C21" s="249"/>
      <c r="D21" s="249"/>
      <c r="E21" s="249"/>
      <c r="F21" s="250"/>
      <c r="G21" s="251"/>
      <c r="H21" s="251"/>
      <c r="I21" s="251"/>
      <c r="J21" s="251"/>
      <c r="K21" s="251"/>
      <c r="L21" s="98"/>
      <c r="M21" s="98"/>
    </row>
    <row r="22" spans="1:13">
      <c r="A22" s="99"/>
      <c r="B22" s="246"/>
      <c r="C22" s="207" t="s">
        <v>181</v>
      </c>
      <c r="D22" s="207" t="s">
        <v>182</v>
      </c>
      <c r="E22" s="207" t="s">
        <v>183</v>
      </c>
      <c r="F22" s="251"/>
      <c r="G22" s="251"/>
      <c r="H22" s="251"/>
      <c r="I22" s="251"/>
      <c r="J22" s="251"/>
      <c r="K22" s="251"/>
      <c r="L22" s="98"/>
      <c r="M22" s="98"/>
    </row>
    <row r="23" spans="1:13" ht="24">
      <c r="A23" s="99"/>
      <c r="B23" s="318" t="s">
        <v>188</v>
      </c>
      <c r="C23" s="319">
        <v>5853.3951999999999</v>
      </c>
      <c r="D23" s="319">
        <v>439.19360000000006</v>
      </c>
      <c r="E23" s="319">
        <v>2467.44</v>
      </c>
      <c r="F23" s="251"/>
      <c r="G23" s="132"/>
      <c r="H23" s="132"/>
      <c r="I23" s="99"/>
      <c r="J23" s="251"/>
      <c r="K23" s="251"/>
      <c r="L23" s="98"/>
      <c r="M23" s="98"/>
    </row>
    <row r="24" spans="1:13" ht="24">
      <c r="A24" s="99"/>
      <c r="B24" s="318" t="s">
        <v>189</v>
      </c>
      <c r="C24" s="319">
        <v>3022.2479999999996</v>
      </c>
      <c r="D24" s="319">
        <v>391.74899999999997</v>
      </c>
      <c r="E24" s="319">
        <v>5346.12</v>
      </c>
      <c r="F24" s="251"/>
      <c r="G24" s="132"/>
      <c r="H24" s="132"/>
      <c r="I24" s="99"/>
      <c r="J24" s="251"/>
      <c r="K24" s="251"/>
      <c r="L24" s="98"/>
      <c r="M24" s="98"/>
    </row>
    <row r="25" spans="1:13">
      <c r="A25" s="99"/>
      <c r="B25" s="255"/>
      <c r="C25" s="256"/>
      <c r="D25" s="256"/>
      <c r="E25" s="256"/>
      <c r="F25" s="251"/>
      <c r="G25" s="132"/>
      <c r="H25" s="132"/>
      <c r="I25" s="99"/>
      <c r="J25" s="251"/>
      <c r="K25" s="251"/>
      <c r="L25" s="98"/>
      <c r="M25" s="98"/>
    </row>
    <row r="26" spans="1:13">
      <c r="A26" s="99"/>
      <c r="B26" s="320" t="s">
        <v>190</v>
      </c>
      <c r="C26" s="136">
        <v>4</v>
      </c>
      <c r="D26" s="256"/>
      <c r="E26" s="256"/>
      <c r="F26" s="251"/>
      <c r="G26" s="132"/>
      <c r="H26" s="132"/>
      <c r="I26" s="99"/>
      <c r="J26" s="251"/>
      <c r="K26" s="251"/>
      <c r="L26" s="98"/>
      <c r="M26" s="98"/>
    </row>
    <row r="33" spans="1:13" s="219" customFormat="1" ht="11.25">
      <c r="A33" s="321"/>
      <c r="B33" s="322"/>
      <c r="C33" s="323"/>
      <c r="D33" s="323"/>
      <c r="E33" s="324"/>
      <c r="F33" s="324"/>
      <c r="G33" s="324"/>
      <c r="H33" s="263"/>
      <c r="I33" s="263"/>
      <c r="J33" s="263"/>
    </row>
    <row r="34" spans="1:13" s="264" customFormat="1" ht="15">
      <c r="A34" s="261" t="s">
        <v>191</v>
      </c>
      <c r="B34" s="213"/>
      <c r="C34" s="262"/>
      <c r="D34" s="262"/>
      <c r="E34" s="219"/>
      <c r="F34" s="219"/>
      <c r="G34" s="219"/>
      <c r="H34" s="263"/>
      <c r="I34" s="263"/>
      <c r="J34" s="325"/>
    </row>
    <row r="35" spans="1:13" s="148" customFormat="1">
      <c r="B35" s="265" t="s">
        <v>159</v>
      </c>
      <c r="C35" s="268" t="s">
        <v>192</v>
      </c>
      <c r="D35" s="266"/>
      <c r="E35" s="266"/>
      <c r="F35" s="326"/>
      <c r="G35" s="153"/>
      <c r="H35" s="153"/>
      <c r="I35" s="153"/>
      <c r="J35" s="153"/>
      <c r="K35" s="153"/>
      <c r="L35" s="153"/>
      <c r="M35" s="153"/>
    </row>
    <row r="36" spans="1:13" s="267" customFormat="1">
      <c r="B36" s="265" t="s">
        <v>193</v>
      </c>
      <c r="C36" s="268" t="s">
        <v>194</v>
      </c>
      <c r="D36" s="269"/>
      <c r="E36" s="270"/>
      <c r="F36" s="270"/>
      <c r="G36" s="271"/>
      <c r="H36" s="271"/>
      <c r="I36" s="271"/>
      <c r="J36" s="271"/>
      <c r="K36" s="271"/>
      <c r="L36" s="327"/>
    </row>
    <row r="37" spans="1:13" s="267" customFormat="1">
      <c r="B37" s="265"/>
      <c r="C37" s="268" t="s">
        <v>195</v>
      </c>
      <c r="D37" s="269"/>
      <c r="E37" s="270"/>
      <c r="F37" s="270"/>
      <c r="G37" s="271"/>
      <c r="H37" s="271"/>
      <c r="I37" s="271"/>
      <c r="J37" s="271"/>
      <c r="K37" s="271"/>
      <c r="L37" s="327"/>
    </row>
    <row r="38" spans="1:13" s="148" customFormat="1">
      <c r="A38" s="153"/>
      <c r="B38" s="265" t="s">
        <v>196</v>
      </c>
      <c r="C38" s="268" t="s">
        <v>197</v>
      </c>
      <c r="D38" s="266"/>
      <c r="E38" s="266"/>
      <c r="F38" s="266"/>
      <c r="G38" s="153"/>
      <c r="H38" s="153"/>
      <c r="I38" s="153"/>
      <c r="J38" s="153"/>
      <c r="K38" s="153"/>
      <c r="L38" s="153"/>
      <c r="M38" s="153"/>
    </row>
    <row r="39" spans="1:13" s="148" customFormat="1">
      <c r="A39" s="153"/>
      <c r="B39" s="272"/>
      <c r="C39" s="268" t="s">
        <v>198</v>
      </c>
      <c r="D39" s="160"/>
      <c r="E39" s="161"/>
      <c r="F39" s="161"/>
      <c r="G39" s="153"/>
      <c r="H39" s="153"/>
      <c r="I39" s="153"/>
      <c r="J39" s="153"/>
      <c r="K39" s="153"/>
      <c r="L39" s="153"/>
      <c r="M39" s="153"/>
    </row>
    <row r="40" spans="1:13" s="148" customFormat="1" ht="12.75">
      <c r="A40" s="153"/>
      <c r="B40" s="265" t="s">
        <v>199</v>
      </c>
      <c r="C40" s="446" t="s">
        <v>200</v>
      </c>
      <c r="D40" s="447"/>
      <c r="E40" s="447"/>
      <c r="F40" s="447"/>
      <c r="G40" s="162"/>
      <c r="H40" s="162"/>
      <c r="I40" s="328"/>
      <c r="J40" s="328"/>
      <c r="K40" s="153"/>
      <c r="L40" s="153"/>
    </row>
    <row r="41" spans="1:13" s="204" customFormat="1">
      <c r="C41" s="273"/>
      <c r="E41" s="274"/>
    </row>
    <row r="42" spans="1:13" s="332" customFormat="1" ht="15">
      <c r="A42" s="329" t="s">
        <v>201</v>
      </c>
      <c r="B42" s="330"/>
      <c r="C42" s="168"/>
      <c r="D42" s="168"/>
      <c r="E42" s="168"/>
      <c r="F42" s="168"/>
      <c r="G42" s="168"/>
      <c r="H42" s="331"/>
      <c r="K42" s="333"/>
    </row>
    <row r="43" spans="1:13" ht="12.75">
      <c r="B43" s="475" t="s">
        <v>202</v>
      </c>
      <c r="C43" s="450" t="s">
        <v>203</v>
      </c>
      <c r="D43" s="470"/>
      <c r="E43" s="470"/>
    </row>
    <row r="44" spans="1:13">
      <c r="B44" s="476"/>
      <c r="C44" s="334" t="s">
        <v>6</v>
      </c>
      <c r="D44" s="334" t="s">
        <v>204</v>
      </c>
      <c r="E44" s="334" t="s">
        <v>205</v>
      </c>
    </row>
    <row r="45" spans="1:13">
      <c r="B45" s="475" t="s">
        <v>154</v>
      </c>
      <c r="C45" s="477">
        <v>0</v>
      </c>
      <c r="D45" s="335" t="s">
        <v>206</v>
      </c>
      <c r="E45" s="478" t="s">
        <v>285</v>
      </c>
    </row>
    <row r="46" spans="1:13">
      <c r="B46" s="475"/>
      <c r="C46" s="477"/>
      <c r="D46" s="336" t="s">
        <v>208</v>
      </c>
      <c r="E46" s="478"/>
    </row>
    <row r="47" spans="1:13">
      <c r="B47" s="475"/>
      <c r="C47" s="337" t="s">
        <v>209</v>
      </c>
      <c r="D47" s="477" t="s">
        <v>210</v>
      </c>
      <c r="E47" s="337" t="s">
        <v>286</v>
      </c>
    </row>
    <row r="48" spans="1:13">
      <c r="B48" s="338" t="s">
        <v>176</v>
      </c>
      <c r="C48" s="337" t="s">
        <v>212</v>
      </c>
      <c r="D48" s="477"/>
      <c r="E48" s="337" t="s">
        <v>213</v>
      </c>
    </row>
    <row r="49" spans="2:5">
      <c r="B49" s="338" t="s">
        <v>177</v>
      </c>
      <c r="C49" s="337" t="s">
        <v>214</v>
      </c>
      <c r="D49" s="477"/>
      <c r="E49" s="339" t="s">
        <v>287</v>
      </c>
    </row>
    <row r="50" spans="2:5">
      <c r="B50" s="338" t="s">
        <v>176</v>
      </c>
      <c r="C50" s="337" t="s">
        <v>216</v>
      </c>
      <c r="D50" s="335" t="s">
        <v>217</v>
      </c>
      <c r="E50" s="337" t="s">
        <v>288</v>
      </c>
    </row>
    <row r="51" spans="2:5">
      <c r="B51" s="338" t="s">
        <v>177</v>
      </c>
      <c r="C51" s="337" t="s">
        <v>219</v>
      </c>
      <c r="D51" s="336" t="s">
        <v>208</v>
      </c>
      <c r="E51" s="339" t="s">
        <v>289</v>
      </c>
    </row>
  </sheetData>
  <mergeCells count="16">
    <mergeCell ref="B43:B44"/>
    <mergeCell ref="C43:E43"/>
    <mergeCell ref="B45:B47"/>
    <mergeCell ref="C45:C46"/>
    <mergeCell ref="E45:E46"/>
    <mergeCell ref="D47:D49"/>
    <mergeCell ref="F8:H8"/>
    <mergeCell ref="B15:B16"/>
    <mergeCell ref="C15:E15"/>
    <mergeCell ref="F15:H15"/>
    <mergeCell ref="C40:F40"/>
    <mergeCell ref="B3:B4"/>
    <mergeCell ref="C3:D3"/>
    <mergeCell ref="E3:E4"/>
    <mergeCell ref="B8:B9"/>
    <mergeCell ref="C8:E8"/>
  </mergeCells>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3"/>
  <dimension ref="A1:L58"/>
  <sheetViews>
    <sheetView zoomScaleNormal="100" workbookViewId="0">
      <selection activeCell="F41" sqref="F41"/>
    </sheetView>
  </sheetViews>
  <sheetFormatPr defaultColWidth="27.140625" defaultRowHeight="12"/>
  <cols>
    <col min="1" max="1" width="4.7109375" style="204" customWidth="1"/>
    <col min="2" max="2" width="32.7109375" style="204" customWidth="1"/>
    <col min="3" max="8" width="19.7109375" style="204" customWidth="1"/>
    <col min="9" max="16384" width="27.140625" style="204"/>
  </cols>
  <sheetData>
    <row r="1" spans="1:10" s="197" customFormat="1" ht="16.5">
      <c r="A1" s="194" t="s">
        <v>243</v>
      </c>
      <c r="B1" s="195"/>
      <c r="C1" s="196"/>
      <c r="D1" s="196"/>
      <c r="F1" s="198"/>
      <c r="G1" s="199"/>
      <c r="H1" s="200"/>
    </row>
    <row r="2" spans="1:10" s="99" customFormat="1" ht="15">
      <c r="A2" s="201" t="s">
        <v>244</v>
      </c>
      <c r="B2" s="202"/>
      <c r="C2" s="203"/>
      <c r="D2" s="204"/>
      <c r="E2" s="204"/>
      <c r="F2" s="199"/>
      <c r="G2" s="199"/>
      <c r="H2" s="200"/>
      <c r="I2" s="98"/>
      <c r="J2" s="98"/>
    </row>
    <row r="3" spans="1:10" s="99" customFormat="1">
      <c r="A3" s="205"/>
      <c r="B3" s="463"/>
      <c r="C3" s="465" t="s">
        <v>245</v>
      </c>
      <c r="D3" s="479"/>
      <c r="E3" s="465" t="s">
        <v>164</v>
      </c>
      <c r="F3" s="206"/>
      <c r="G3" s="102"/>
      <c r="H3" s="102"/>
      <c r="I3" s="98"/>
      <c r="J3" s="98"/>
    </row>
    <row r="4" spans="1:10" s="99" customFormat="1">
      <c r="A4" s="205"/>
      <c r="B4" s="464"/>
      <c r="C4" s="207" t="s">
        <v>165</v>
      </c>
      <c r="D4" s="207" t="s">
        <v>166</v>
      </c>
      <c r="E4" s="465"/>
      <c r="F4" s="206"/>
      <c r="G4" s="102"/>
      <c r="H4" s="102"/>
      <c r="I4" s="98"/>
      <c r="J4" s="98"/>
    </row>
    <row r="5" spans="1:10" s="99" customFormat="1">
      <c r="A5" s="205"/>
      <c r="B5" s="208" t="s">
        <v>246</v>
      </c>
      <c r="C5" s="480">
        <v>25</v>
      </c>
      <c r="D5" s="481"/>
      <c r="E5" s="209">
        <v>25</v>
      </c>
      <c r="F5" s="206"/>
      <c r="G5" s="102"/>
      <c r="H5" s="102"/>
      <c r="I5" s="98"/>
      <c r="J5" s="98"/>
    </row>
    <row r="6" spans="1:10" s="99" customFormat="1">
      <c r="A6" s="205"/>
      <c r="B6" s="210" t="s">
        <v>167</v>
      </c>
      <c r="C6" s="211">
        <v>0.18</v>
      </c>
      <c r="D6" s="211">
        <v>1</v>
      </c>
      <c r="E6" s="211">
        <v>0.18</v>
      </c>
      <c r="F6" s="206"/>
      <c r="G6" s="102"/>
      <c r="H6" s="102"/>
      <c r="I6" s="98"/>
      <c r="J6" s="98"/>
    </row>
    <row r="7" spans="1:10" s="99" customFormat="1">
      <c r="A7" s="205"/>
      <c r="B7" s="210" t="s">
        <v>168</v>
      </c>
      <c r="C7" s="211">
        <v>0.81</v>
      </c>
      <c r="D7" s="211">
        <v>0.4</v>
      </c>
      <c r="E7" s="211">
        <v>0.81</v>
      </c>
      <c r="F7" s="132"/>
      <c r="G7" s="212"/>
      <c r="H7" s="102"/>
      <c r="I7" s="98"/>
      <c r="J7" s="98"/>
    </row>
    <row r="8" spans="1:10" s="219" customFormat="1" ht="15">
      <c r="A8" s="201" t="s">
        <v>247</v>
      </c>
      <c r="B8" s="213"/>
      <c r="C8" s="107"/>
      <c r="D8" s="214"/>
      <c r="E8" s="215"/>
      <c r="F8" s="216"/>
      <c r="G8" s="217"/>
      <c r="H8" s="218"/>
    </row>
    <row r="9" spans="1:10">
      <c r="A9" s="220"/>
      <c r="B9" s="221"/>
      <c r="C9" s="222" t="s">
        <v>171</v>
      </c>
      <c r="D9" s="222" t="s">
        <v>172</v>
      </c>
      <c r="E9" s="206"/>
      <c r="F9" s="223"/>
      <c r="G9" s="212"/>
      <c r="H9" s="206"/>
    </row>
    <row r="10" spans="1:10">
      <c r="A10" s="220"/>
      <c r="B10" s="208" t="s">
        <v>246</v>
      </c>
      <c r="C10" s="224">
        <v>25</v>
      </c>
      <c r="D10" s="225" t="s">
        <v>152</v>
      </c>
      <c r="E10" s="206"/>
      <c r="F10" s="223"/>
      <c r="G10" s="212"/>
      <c r="H10" s="206"/>
    </row>
    <row r="11" spans="1:10">
      <c r="A11" s="220"/>
      <c r="B11" s="226" t="s">
        <v>248</v>
      </c>
      <c r="C11" s="227">
        <v>264.97500000000002</v>
      </c>
      <c r="D11" s="227">
        <v>264.97500000000002</v>
      </c>
      <c r="E11" s="206"/>
      <c r="F11" s="223"/>
      <c r="G11" s="212"/>
      <c r="H11" s="206"/>
    </row>
    <row r="12" spans="1:10">
      <c r="A12" s="220"/>
      <c r="B12" s="226" t="s">
        <v>249</v>
      </c>
      <c r="C12" s="227">
        <v>1080</v>
      </c>
      <c r="D12" s="227">
        <v>1080</v>
      </c>
      <c r="E12" s="206"/>
      <c r="F12" s="223"/>
      <c r="G12" s="212"/>
      <c r="H12" s="206"/>
    </row>
    <row r="13" spans="1:10">
      <c r="A13" s="220"/>
      <c r="B13" s="226" t="s">
        <v>250</v>
      </c>
      <c r="C13" s="227">
        <v>1920</v>
      </c>
      <c r="D13" s="227">
        <v>1920</v>
      </c>
      <c r="E13" s="206"/>
      <c r="F13" s="223"/>
      <c r="G13" s="212"/>
      <c r="H13" s="206"/>
    </row>
    <row r="14" spans="1:10">
      <c r="A14" s="220"/>
      <c r="B14" s="226" t="s">
        <v>251</v>
      </c>
      <c r="C14" s="228">
        <v>2.0735999999999999</v>
      </c>
      <c r="D14" s="228">
        <v>2.0735999999999999</v>
      </c>
      <c r="E14" s="206"/>
      <c r="F14" s="229"/>
      <c r="G14" s="230"/>
      <c r="H14" s="206"/>
    </row>
    <row r="15" spans="1:10" s="220" customFormat="1">
      <c r="A15" s="205"/>
      <c r="B15" s="231"/>
      <c r="C15" s="202"/>
      <c r="D15" s="202"/>
      <c r="E15" s="202"/>
      <c r="F15" s="229"/>
      <c r="G15" s="230"/>
      <c r="H15" s="232"/>
      <c r="I15" s="233"/>
      <c r="J15" s="233"/>
    </row>
    <row r="16" spans="1:10">
      <c r="A16" s="220"/>
      <c r="B16" s="482" t="s">
        <v>252</v>
      </c>
      <c r="C16" s="234" t="s">
        <v>253</v>
      </c>
      <c r="D16" s="222" t="s">
        <v>171</v>
      </c>
      <c r="E16" s="222" t="s">
        <v>172</v>
      </c>
      <c r="F16" s="235"/>
      <c r="G16" s="230"/>
      <c r="H16" s="206"/>
    </row>
    <row r="17" spans="1:10">
      <c r="A17" s="220"/>
      <c r="B17" s="483"/>
      <c r="C17" s="236" t="s">
        <v>254</v>
      </c>
      <c r="D17" s="484">
        <v>34.911149999999999</v>
      </c>
      <c r="E17" s="237">
        <v>28.7</v>
      </c>
      <c r="F17" s="235"/>
      <c r="G17" s="230"/>
      <c r="H17" s="206"/>
    </row>
    <row r="18" spans="1:10">
      <c r="A18" s="220"/>
      <c r="B18" s="483"/>
      <c r="C18" s="236" t="s">
        <v>255</v>
      </c>
      <c r="D18" s="485"/>
      <c r="E18" s="237">
        <v>20.6</v>
      </c>
      <c r="F18" s="206"/>
      <c r="G18" s="206"/>
      <c r="H18" s="206"/>
    </row>
    <row r="19" spans="1:10">
      <c r="A19" s="220"/>
      <c r="B19" s="483"/>
      <c r="C19" s="236" t="s">
        <v>256</v>
      </c>
      <c r="D19" s="485"/>
      <c r="E19" s="237">
        <v>22.8</v>
      </c>
      <c r="F19" s="206"/>
      <c r="G19" s="206"/>
      <c r="H19" s="206"/>
    </row>
    <row r="20" spans="1:10">
      <c r="A20" s="220"/>
      <c r="B20" s="483"/>
      <c r="C20" s="236" t="s">
        <v>257</v>
      </c>
      <c r="D20" s="485"/>
      <c r="E20" s="237">
        <v>24.3</v>
      </c>
      <c r="F20" s="206"/>
      <c r="G20" s="206"/>
      <c r="H20" s="206"/>
    </row>
    <row r="21" spans="1:10">
      <c r="A21" s="220"/>
      <c r="B21" s="483"/>
      <c r="C21" s="236" t="s">
        <v>258</v>
      </c>
      <c r="D21" s="486"/>
      <c r="E21" s="237">
        <v>24.4</v>
      </c>
      <c r="F21" s="206"/>
      <c r="G21" s="206"/>
      <c r="H21" s="206"/>
    </row>
    <row r="22" spans="1:10">
      <c r="A22" s="220"/>
      <c r="B22" s="483"/>
      <c r="C22" s="236" t="s">
        <v>259</v>
      </c>
      <c r="D22" s="237">
        <v>79.543250000000015</v>
      </c>
      <c r="E22" s="237">
        <v>24.4</v>
      </c>
      <c r="F22" s="206"/>
      <c r="G22" s="206"/>
      <c r="H22" s="206"/>
    </row>
    <row r="23" spans="1:10">
      <c r="A23" s="220"/>
      <c r="B23" s="221" t="s">
        <v>174</v>
      </c>
      <c r="C23" s="238"/>
      <c r="D23" s="239">
        <v>2</v>
      </c>
      <c r="E23" s="239">
        <v>0.5</v>
      </c>
      <c r="F23" s="240"/>
      <c r="G23" s="240"/>
      <c r="H23" s="241"/>
    </row>
    <row r="24" spans="1:10">
      <c r="A24" s="220"/>
      <c r="B24" s="221" t="s">
        <v>175</v>
      </c>
      <c r="C24" s="238"/>
      <c r="D24" s="239">
        <v>1</v>
      </c>
      <c r="E24" s="239">
        <v>0.5</v>
      </c>
      <c r="F24" s="240"/>
      <c r="G24" s="240"/>
      <c r="H24" s="206"/>
    </row>
    <row r="25" spans="1:10" s="99" customFormat="1">
      <c r="A25" s="242"/>
      <c r="B25" s="243"/>
      <c r="C25" s="244"/>
      <c r="D25" s="244"/>
      <c r="E25" s="245"/>
      <c r="F25" s="206"/>
      <c r="G25" s="102"/>
      <c r="H25" s="102"/>
      <c r="I25" s="98"/>
      <c r="J25" s="98"/>
    </row>
    <row r="26" spans="1:10" s="99" customFormat="1">
      <c r="B26" s="471"/>
      <c r="C26" s="443" t="s">
        <v>179</v>
      </c>
      <c r="D26" s="488"/>
      <c r="E26" s="489"/>
      <c r="F26" s="443" t="s">
        <v>180</v>
      </c>
      <c r="G26" s="488"/>
      <c r="H26" s="489"/>
      <c r="I26" s="98"/>
      <c r="J26" s="98"/>
    </row>
    <row r="27" spans="1:10" s="99" customFormat="1">
      <c r="B27" s="487"/>
      <c r="C27" s="207" t="s">
        <v>260</v>
      </c>
      <c r="D27" s="207" t="s">
        <v>182</v>
      </c>
      <c r="E27" s="207" t="s">
        <v>183</v>
      </c>
      <c r="F27" s="207" t="s">
        <v>260</v>
      </c>
      <c r="G27" s="207" t="s">
        <v>182</v>
      </c>
      <c r="H27" s="207" t="s">
        <v>183</v>
      </c>
      <c r="I27" s="98"/>
      <c r="J27" s="98"/>
    </row>
    <row r="28" spans="1:10" s="99" customFormat="1">
      <c r="B28" s="246" t="s">
        <v>184</v>
      </c>
      <c r="C28" s="247">
        <v>803</v>
      </c>
      <c r="D28" s="247">
        <v>1104</v>
      </c>
      <c r="E28" s="247">
        <v>6854</v>
      </c>
      <c r="F28" s="247">
        <v>1241</v>
      </c>
      <c r="G28" s="247">
        <v>1095</v>
      </c>
      <c r="H28" s="247">
        <v>6424</v>
      </c>
      <c r="I28" s="98"/>
      <c r="J28" s="98"/>
    </row>
    <row r="29" spans="1:10" s="99" customFormat="1">
      <c r="B29" s="246" t="s">
        <v>185</v>
      </c>
      <c r="C29" s="247">
        <v>1906</v>
      </c>
      <c r="D29" s="247">
        <v>0</v>
      </c>
      <c r="E29" s="247">
        <v>6854</v>
      </c>
      <c r="F29" s="247">
        <v>2336</v>
      </c>
      <c r="G29" s="247">
        <v>0</v>
      </c>
      <c r="H29" s="247">
        <v>6424</v>
      </c>
      <c r="I29" s="98"/>
      <c r="J29" s="98"/>
    </row>
    <row r="30" spans="1:10" s="99" customFormat="1">
      <c r="B30" s="246" t="s">
        <v>186</v>
      </c>
      <c r="C30" s="247">
        <v>803</v>
      </c>
      <c r="D30" s="247">
        <v>7957</v>
      </c>
      <c r="E30" s="247">
        <v>0</v>
      </c>
      <c r="F30" s="247">
        <v>1241</v>
      </c>
      <c r="G30" s="247">
        <v>7519</v>
      </c>
      <c r="H30" s="247">
        <v>0</v>
      </c>
      <c r="I30" s="98"/>
      <c r="J30" s="98"/>
    </row>
    <row r="31" spans="1:10" s="99" customFormat="1">
      <c r="B31" s="246" t="s">
        <v>187</v>
      </c>
      <c r="C31" s="247">
        <v>8760</v>
      </c>
      <c r="D31" s="247">
        <v>0</v>
      </c>
      <c r="E31" s="247">
        <v>0</v>
      </c>
      <c r="F31" s="247">
        <v>8760</v>
      </c>
      <c r="G31" s="247">
        <v>0</v>
      </c>
      <c r="H31" s="247">
        <v>0</v>
      </c>
      <c r="I31" s="98"/>
      <c r="J31" s="98"/>
    </row>
    <row r="32" spans="1:10" s="99" customFormat="1">
      <c r="B32" s="248"/>
      <c r="C32" s="249"/>
      <c r="D32" s="249"/>
      <c r="E32" s="249"/>
      <c r="F32" s="250"/>
      <c r="G32" s="251"/>
      <c r="H32" s="251"/>
      <c r="I32" s="98"/>
      <c r="J32" s="98"/>
    </row>
    <row r="33" spans="1:10" s="99" customFormat="1">
      <c r="B33" s="246"/>
      <c r="C33" s="207" t="s">
        <v>260</v>
      </c>
      <c r="D33" s="207" t="s">
        <v>182</v>
      </c>
      <c r="E33" s="207" t="s">
        <v>183</v>
      </c>
      <c r="F33" s="251"/>
      <c r="G33" s="251"/>
      <c r="H33" s="251"/>
      <c r="I33" s="98"/>
      <c r="J33" s="98"/>
    </row>
    <row r="34" spans="1:10" s="99" customFormat="1" ht="24">
      <c r="B34" s="252" t="s">
        <v>188</v>
      </c>
      <c r="C34" s="227">
        <v>2080.4231999999997</v>
      </c>
      <c r="D34" s="227">
        <v>5446.0026000000007</v>
      </c>
      <c r="E34" s="227">
        <v>1233.72</v>
      </c>
      <c r="F34" s="253"/>
      <c r="G34" s="254"/>
      <c r="H34" s="254"/>
      <c r="I34" s="98"/>
      <c r="J34" s="98"/>
    </row>
    <row r="35" spans="1:10" s="99" customFormat="1" ht="24">
      <c r="B35" s="252" t="s">
        <v>261</v>
      </c>
      <c r="C35" s="227">
        <v>1464.8</v>
      </c>
      <c r="D35" s="227">
        <v>441.6</v>
      </c>
      <c r="E35" s="227">
        <v>6854</v>
      </c>
      <c r="F35" s="251"/>
      <c r="G35" s="132"/>
      <c r="H35" s="132"/>
      <c r="I35" s="98"/>
      <c r="J35" s="98"/>
    </row>
    <row r="36" spans="1:10" s="99" customFormat="1">
      <c r="B36" s="255"/>
      <c r="C36" s="256"/>
      <c r="D36" s="256"/>
      <c r="E36" s="256"/>
      <c r="F36" s="251"/>
      <c r="G36" s="132"/>
      <c r="H36" s="132"/>
      <c r="I36" s="98"/>
      <c r="J36" s="98"/>
    </row>
    <row r="37" spans="1:10" s="99" customFormat="1">
      <c r="B37" s="490" t="s">
        <v>190</v>
      </c>
      <c r="C37" s="257" t="s">
        <v>165</v>
      </c>
      <c r="D37" s="258">
        <v>4</v>
      </c>
      <c r="E37" s="256"/>
      <c r="F37" s="251"/>
      <c r="G37" s="132"/>
      <c r="H37" s="132"/>
      <c r="I37" s="98"/>
      <c r="J37" s="98"/>
    </row>
    <row r="38" spans="1:10">
      <c r="A38" s="220"/>
      <c r="B38" s="491"/>
      <c r="C38" s="257" t="s">
        <v>166</v>
      </c>
      <c r="D38" s="258">
        <v>5</v>
      </c>
      <c r="E38" s="259"/>
      <c r="F38" s="260"/>
      <c r="G38" s="240"/>
      <c r="H38" s="206"/>
    </row>
    <row r="49" spans="1:12" s="264" customFormat="1" ht="15">
      <c r="A49" s="261" t="s">
        <v>191</v>
      </c>
      <c r="B49" s="213"/>
      <c r="C49" s="262"/>
      <c r="D49" s="262"/>
      <c r="E49" s="219"/>
      <c r="F49" s="219"/>
      <c r="G49" s="219"/>
      <c r="H49" s="263"/>
    </row>
    <row r="50" spans="1:12" s="148" customFormat="1" ht="12.75">
      <c r="B50" s="265" t="s">
        <v>159</v>
      </c>
      <c r="C50" s="446" t="s">
        <v>262</v>
      </c>
      <c r="D50" s="447"/>
      <c r="E50" s="492"/>
      <c r="F50" s="266"/>
      <c r="G50" s="153"/>
      <c r="H50" s="153"/>
      <c r="I50" s="153"/>
    </row>
    <row r="51" spans="1:12" s="148" customFormat="1" ht="12" customHeight="1">
      <c r="A51" s="153"/>
      <c r="B51" s="265"/>
      <c r="C51" s="446" t="s">
        <v>263</v>
      </c>
      <c r="D51" s="447"/>
      <c r="E51" s="161"/>
      <c r="F51" s="161"/>
      <c r="G51" s="153"/>
      <c r="H51" s="153"/>
      <c r="I51" s="153"/>
    </row>
    <row r="52" spans="1:12" s="148" customFormat="1" ht="18.75" customHeight="1">
      <c r="A52" s="153"/>
      <c r="B52" s="265" t="s">
        <v>264</v>
      </c>
      <c r="C52" s="446" t="s">
        <v>265</v>
      </c>
      <c r="D52" s="447"/>
      <c r="E52" s="266"/>
      <c r="F52" s="266"/>
      <c r="G52" s="153"/>
      <c r="H52" s="153"/>
      <c r="I52" s="153"/>
    </row>
    <row r="53" spans="1:12" s="267" customFormat="1" ht="18.75" customHeight="1">
      <c r="B53" s="265" t="s">
        <v>193</v>
      </c>
      <c r="C53" s="268" t="s">
        <v>194</v>
      </c>
      <c r="D53" s="269"/>
      <c r="E53" s="270"/>
      <c r="F53" s="270"/>
      <c r="G53" s="271"/>
      <c r="H53" s="271"/>
    </row>
    <row r="54" spans="1:12" s="267" customFormat="1" ht="12" customHeight="1">
      <c r="B54" s="265"/>
      <c r="C54" s="268" t="s">
        <v>195</v>
      </c>
      <c r="D54" s="269"/>
      <c r="E54" s="270"/>
      <c r="F54" s="270"/>
      <c r="G54" s="271"/>
      <c r="H54" s="271"/>
    </row>
    <row r="55" spans="1:12" s="148" customFormat="1" ht="18.75" customHeight="1">
      <c r="A55" s="153"/>
      <c r="B55" s="265" t="s">
        <v>196</v>
      </c>
      <c r="C55" s="268" t="s">
        <v>197</v>
      </c>
      <c r="D55" s="266"/>
      <c r="E55" s="266"/>
      <c r="F55" s="266"/>
      <c r="G55" s="153"/>
      <c r="H55" s="153"/>
      <c r="I55" s="153"/>
    </row>
    <row r="56" spans="1:12" s="148" customFormat="1" ht="12" customHeight="1">
      <c r="A56" s="153"/>
      <c r="B56" s="272"/>
      <c r="C56" s="268" t="s">
        <v>198</v>
      </c>
      <c r="D56" s="160"/>
      <c r="E56" s="161"/>
      <c r="F56" s="161"/>
      <c r="G56" s="153"/>
      <c r="H56" s="153"/>
      <c r="I56" s="153"/>
    </row>
    <row r="57" spans="1:12" s="148" customFormat="1" ht="18.75" customHeight="1">
      <c r="A57" s="153"/>
      <c r="B57" s="265" t="s">
        <v>199</v>
      </c>
      <c r="C57" s="446" t="s">
        <v>266</v>
      </c>
      <c r="D57" s="447"/>
      <c r="E57" s="447"/>
      <c r="F57" s="447"/>
      <c r="G57" s="447"/>
      <c r="H57" s="447"/>
      <c r="I57" s="153"/>
      <c r="J57" s="153"/>
      <c r="K57" s="153"/>
      <c r="L57" s="153"/>
    </row>
    <row r="58" spans="1:12">
      <c r="C58" s="273"/>
      <c r="E58" s="274"/>
    </row>
  </sheetData>
  <mergeCells count="14">
    <mergeCell ref="C57:H57"/>
    <mergeCell ref="B3:B4"/>
    <mergeCell ref="C3:D3"/>
    <mergeCell ref="E3:E4"/>
    <mergeCell ref="C5:D5"/>
    <mergeCell ref="B16:B22"/>
    <mergeCell ref="D17:D21"/>
    <mergeCell ref="B26:B27"/>
    <mergeCell ref="C26:E26"/>
    <mergeCell ref="F26:H26"/>
    <mergeCell ref="B37:B38"/>
    <mergeCell ref="C50:E50"/>
    <mergeCell ref="C51:D51"/>
    <mergeCell ref="C52:D52"/>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published="0" codeName="Sheet17"/>
  <dimension ref="A1:K161"/>
  <sheetViews>
    <sheetView topLeftCell="A63" workbookViewId="0">
      <selection activeCell="C98" sqref="C98:C99"/>
    </sheetView>
  </sheetViews>
  <sheetFormatPr defaultRowHeight="15"/>
  <cols>
    <col min="1" max="1" width="16" style="182" customWidth="1"/>
    <col min="2" max="16384" width="9.140625" style="182"/>
  </cols>
  <sheetData>
    <row r="1" spans="1:10">
      <c r="A1" s="182" t="s">
        <v>242</v>
      </c>
    </row>
    <row r="3" spans="1:10">
      <c r="A3" s="493" t="s">
        <v>241</v>
      </c>
      <c r="B3" s="493"/>
      <c r="C3" s="493"/>
      <c r="D3" s="493"/>
      <c r="E3" s="493"/>
      <c r="F3" s="493"/>
      <c r="G3" s="493"/>
    </row>
    <row r="4" spans="1:10">
      <c r="A4" s="493"/>
      <c r="B4" s="493"/>
      <c r="C4" s="493"/>
      <c r="D4" s="493"/>
      <c r="E4" s="493"/>
      <c r="F4" s="493"/>
      <c r="G4" s="493"/>
    </row>
    <row r="5" spans="1:10">
      <c r="A5" s="493"/>
      <c r="B5" s="493"/>
      <c r="C5" s="493"/>
      <c r="D5" s="493"/>
      <c r="E5" s="493"/>
      <c r="F5" s="493"/>
      <c r="G5" s="493"/>
    </row>
    <row r="6" spans="1:10">
      <c r="A6" s="192"/>
      <c r="B6" s="192"/>
      <c r="C6" s="192"/>
      <c r="D6" s="192"/>
      <c r="E6" s="192"/>
      <c r="F6" s="192"/>
      <c r="G6" s="192"/>
    </row>
    <row r="7" spans="1:10">
      <c r="A7" s="493" t="s">
        <v>240</v>
      </c>
      <c r="B7" s="493"/>
      <c r="C7" s="493"/>
      <c r="D7" s="493"/>
      <c r="E7" s="493"/>
      <c r="F7" s="493"/>
      <c r="G7" s="493"/>
    </row>
    <row r="8" spans="1:10">
      <c r="A8" s="493"/>
      <c r="B8" s="493"/>
      <c r="C8" s="493"/>
      <c r="D8" s="493"/>
      <c r="E8" s="493"/>
      <c r="F8" s="493"/>
      <c r="G8" s="493"/>
    </row>
    <row r="9" spans="1:10">
      <c r="A9" s="493"/>
      <c r="B9" s="493"/>
      <c r="C9" s="493"/>
      <c r="D9" s="493"/>
      <c r="E9" s="493"/>
      <c r="F9" s="493"/>
      <c r="G9" s="493"/>
    </row>
    <row r="10" spans="1:10">
      <c r="A10" s="493"/>
      <c r="B10" s="493"/>
      <c r="C10" s="493"/>
      <c r="D10" s="493"/>
      <c r="E10" s="493"/>
      <c r="F10" s="493"/>
      <c r="G10" s="493"/>
    </row>
    <row r="11" spans="1:10">
      <c r="A11" s="193"/>
      <c r="B11" s="193"/>
      <c r="C11" s="193"/>
      <c r="D11" s="193"/>
      <c r="E11" s="193"/>
      <c r="F11" s="193"/>
      <c r="G11" s="193"/>
    </row>
    <row r="12" spans="1:10">
      <c r="A12" s="493" t="s">
        <v>239</v>
      </c>
      <c r="B12" s="493"/>
      <c r="C12" s="493"/>
      <c r="D12" s="493"/>
      <c r="E12" s="493"/>
      <c r="F12" s="493"/>
      <c r="G12" s="493"/>
      <c r="H12" s="493"/>
      <c r="I12" s="493"/>
      <c r="J12" s="493"/>
    </row>
    <row r="13" spans="1:10">
      <c r="A13" s="493"/>
      <c r="B13" s="493"/>
      <c r="C13" s="493"/>
      <c r="D13" s="493"/>
      <c r="E13" s="493"/>
      <c r="F13" s="493"/>
      <c r="G13" s="493"/>
      <c r="H13" s="493"/>
      <c r="I13" s="493"/>
      <c r="J13" s="493"/>
    </row>
    <row r="14" spans="1:10">
      <c r="A14" s="493"/>
      <c r="B14" s="493"/>
      <c r="C14" s="493"/>
      <c r="D14" s="493"/>
      <c r="E14" s="493"/>
      <c r="F14" s="493"/>
      <c r="G14" s="493"/>
      <c r="H14" s="493"/>
      <c r="I14" s="493"/>
      <c r="J14" s="493"/>
    </row>
    <row r="15" spans="1:10">
      <c r="A15" s="493"/>
      <c r="B15" s="493"/>
      <c r="C15" s="493"/>
      <c r="D15" s="493"/>
      <c r="E15" s="493"/>
      <c r="F15" s="493"/>
      <c r="G15" s="493"/>
      <c r="H15" s="493"/>
      <c r="I15" s="493"/>
      <c r="J15" s="493"/>
    </row>
    <row r="16" spans="1:10">
      <c r="A16" s="493"/>
      <c r="B16" s="493"/>
      <c r="C16" s="493"/>
      <c r="D16" s="493"/>
      <c r="E16" s="493"/>
      <c r="F16" s="493"/>
      <c r="G16" s="493"/>
      <c r="H16" s="493"/>
      <c r="I16" s="493"/>
      <c r="J16" s="493"/>
    </row>
    <row r="17" spans="1:10">
      <c r="A17" s="493"/>
      <c r="B17" s="493"/>
      <c r="C17" s="493"/>
      <c r="D17" s="493"/>
      <c r="E17" s="493"/>
      <c r="F17" s="493"/>
      <c r="G17" s="493"/>
      <c r="H17" s="493"/>
      <c r="I17" s="493"/>
      <c r="J17" s="493"/>
    </row>
    <row r="18" spans="1:10">
      <c r="A18" s="192"/>
      <c r="B18" s="192"/>
      <c r="C18" s="192"/>
      <c r="D18" s="192"/>
      <c r="E18" s="192"/>
      <c r="F18" s="192"/>
      <c r="G18" s="192"/>
      <c r="H18" s="192"/>
      <c r="I18" s="192"/>
      <c r="J18" s="192"/>
    </row>
    <row r="19" spans="1:10">
      <c r="A19" s="188" t="s">
        <v>238</v>
      </c>
    </row>
    <row r="20" spans="1:10">
      <c r="A20" s="191" t="s">
        <v>235</v>
      </c>
      <c r="B20" s="187" t="s">
        <v>234</v>
      </c>
    </row>
    <row r="49" spans="1:3">
      <c r="A49" s="182" t="s">
        <v>237</v>
      </c>
    </row>
    <row r="50" spans="1:3">
      <c r="B50" s="182" t="s">
        <v>231</v>
      </c>
      <c r="C50" s="182" t="s">
        <v>230</v>
      </c>
    </row>
    <row r="51" spans="1:3">
      <c r="A51" s="182" t="s">
        <v>229</v>
      </c>
      <c r="B51" s="190">
        <v>6</v>
      </c>
      <c r="C51" s="189">
        <f>B51*$B$160/$B$161</f>
        <v>5.9147930896163619</v>
      </c>
    </row>
    <row r="52" spans="1:3">
      <c r="A52" s="182" t="s">
        <v>228</v>
      </c>
      <c r="B52" s="190">
        <v>22</v>
      </c>
      <c r="C52" s="189">
        <f>B52*$B$160/$B$161</f>
        <v>21.687574661926661</v>
      </c>
    </row>
    <row r="55" spans="1:3">
      <c r="A55" s="188" t="s">
        <v>236</v>
      </c>
    </row>
    <row r="56" spans="1:3">
      <c r="A56" s="191" t="s">
        <v>235</v>
      </c>
      <c r="B56" s="187" t="s">
        <v>234</v>
      </c>
    </row>
    <row r="92" spans="1:11" ht="15" customHeight="1">
      <c r="A92" s="493" t="s">
        <v>233</v>
      </c>
      <c r="B92" s="493"/>
      <c r="C92" s="493"/>
      <c r="D92" s="493"/>
      <c r="E92" s="493"/>
      <c r="F92" s="493"/>
      <c r="G92" s="493"/>
      <c r="H92" s="493"/>
      <c r="I92" s="493"/>
      <c r="J92" s="493"/>
      <c r="K92" s="493"/>
    </row>
    <row r="93" spans="1:11">
      <c r="A93" s="493"/>
      <c r="B93" s="493"/>
      <c r="C93" s="493"/>
      <c r="D93" s="493"/>
      <c r="E93" s="493"/>
      <c r="F93" s="493"/>
      <c r="G93" s="493"/>
      <c r="H93" s="493"/>
      <c r="I93" s="493"/>
      <c r="J93" s="493"/>
      <c r="K93" s="493"/>
    </row>
    <row r="94" spans="1:11">
      <c r="A94" s="493"/>
      <c r="B94" s="493"/>
      <c r="C94" s="493"/>
      <c r="D94" s="493"/>
      <c r="E94" s="493"/>
      <c r="F94" s="493"/>
      <c r="G94" s="493"/>
      <c r="H94" s="493"/>
      <c r="I94" s="493"/>
      <c r="J94" s="493"/>
      <c r="K94" s="493"/>
    </row>
    <row r="95" spans="1:11">
      <c r="B95" s="190"/>
      <c r="C95" s="190"/>
    </row>
    <row r="96" spans="1:11">
      <c r="A96" s="182" t="s">
        <v>232</v>
      </c>
    </row>
    <row r="97" spans="1:6">
      <c r="B97" s="182" t="s">
        <v>231</v>
      </c>
      <c r="C97" s="182" t="s">
        <v>230</v>
      </c>
    </row>
    <row r="98" spans="1:6">
      <c r="A98" s="182" t="s">
        <v>229</v>
      </c>
      <c r="B98" s="190">
        <v>45.7</v>
      </c>
      <c r="C98" s="189">
        <f>B98*$B$160/$B$161</f>
        <v>45.051007365911296</v>
      </c>
    </row>
    <row r="99" spans="1:6">
      <c r="A99" s="182" t="s">
        <v>228</v>
      </c>
      <c r="B99" s="190">
        <v>67.3</v>
      </c>
      <c r="C99" s="189">
        <f>B99*$B$160/$B$161</f>
        <v>66.344262488530191</v>
      </c>
    </row>
    <row r="102" spans="1:6">
      <c r="A102" s="188" t="s">
        <v>160</v>
      </c>
    </row>
    <row r="103" spans="1:6">
      <c r="A103" s="182" t="s">
        <v>227</v>
      </c>
      <c r="B103" s="187" t="s">
        <v>226</v>
      </c>
    </row>
    <row r="105" spans="1:6">
      <c r="A105" s="494" t="s">
        <v>225</v>
      </c>
      <c r="B105" s="494"/>
      <c r="C105" s="494"/>
      <c r="D105" s="494"/>
      <c r="E105" s="494"/>
      <c r="F105" s="494"/>
    </row>
    <row r="106" spans="1:6">
      <c r="A106" s="494"/>
      <c r="B106" s="494"/>
      <c r="C106" s="494"/>
      <c r="D106" s="494"/>
      <c r="E106" s="494"/>
      <c r="F106" s="494"/>
    </row>
    <row r="107" spans="1:6">
      <c r="A107" s="494"/>
      <c r="B107" s="494"/>
      <c r="C107" s="494"/>
      <c r="D107" s="494"/>
      <c r="E107" s="494"/>
      <c r="F107" s="494"/>
    </row>
    <row r="108" spans="1:6">
      <c r="A108" s="494"/>
      <c r="B108" s="494"/>
      <c r="C108" s="494"/>
      <c r="D108" s="494"/>
      <c r="E108" s="494"/>
      <c r="F108" s="494"/>
    </row>
    <row r="109" spans="1:6">
      <c r="A109" s="494"/>
      <c r="B109" s="494"/>
      <c r="C109" s="494"/>
      <c r="D109" s="494"/>
      <c r="E109" s="494"/>
      <c r="F109" s="494"/>
    </row>
    <row r="110" spans="1:6">
      <c r="A110" s="494"/>
      <c r="B110" s="494"/>
      <c r="C110" s="494"/>
      <c r="D110" s="494"/>
      <c r="E110" s="494"/>
      <c r="F110" s="494"/>
    </row>
    <row r="111" spans="1:6">
      <c r="A111" s="494"/>
      <c r="B111" s="494"/>
      <c r="C111" s="494"/>
      <c r="D111" s="494"/>
      <c r="E111" s="494"/>
      <c r="F111" s="494"/>
    </row>
    <row r="112" spans="1:6">
      <c r="A112" s="494"/>
      <c r="B112" s="494"/>
      <c r="C112" s="494"/>
      <c r="D112" s="494"/>
      <c r="E112" s="494"/>
      <c r="F112" s="494"/>
    </row>
    <row r="113" spans="1:6">
      <c r="A113" s="494"/>
      <c r="B113" s="494"/>
      <c r="C113" s="494"/>
      <c r="D113" s="494"/>
      <c r="E113" s="494"/>
      <c r="F113" s="494"/>
    </row>
    <row r="114" spans="1:6">
      <c r="A114" s="494"/>
      <c r="B114" s="494"/>
      <c r="C114" s="494"/>
      <c r="D114" s="494"/>
      <c r="E114" s="494"/>
      <c r="F114" s="494"/>
    </row>
    <row r="115" spans="1:6">
      <c r="A115" s="494"/>
      <c r="B115" s="494"/>
      <c r="C115" s="494"/>
      <c r="D115" s="494"/>
      <c r="E115" s="494"/>
      <c r="F115" s="494"/>
    </row>
    <row r="138" spans="1:2">
      <c r="A138" s="182" t="s">
        <v>224</v>
      </c>
      <c r="B138" s="187" t="s">
        <v>223</v>
      </c>
    </row>
    <row r="140" spans="1:2">
      <c r="A140" s="182" t="s">
        <v>222</v>
      </c>
    </row>
    <row r="159" spans="1:2">
      <c r="A159" s="186" t="s">
        <v>221</v>
      </c>
    </row>
    <row r="160" spans="1:2">
      <c r="A160" s="185">
        <v>2012</v>
      </c>
      <c r="B160" s="183">
        <v>114.4496</v>
      </c>
    </row>
    <row r="161" spans="1:2">
      <c r="A161" s="184">
        <v>2013</v>
      </c>
      <c r="B161" s="183">
        <v>116.09833</v>
      </c>
    </row>
  </sheetData>
  <mergeCells count="5">
    <mergeCell ref="A3:G5"/>
    <mergeCell ref="A7:G10"/>
    <mergeCell ref="A12:J17"/>
    <mergeCell ref="A92:K94"/>
    <mergeCell ref="A105:F115"/>
  </mergeCells>
  <hyperlinks>
    <hyperlink ref="B20" r:id="rId1"/>
    <hyperlink ref="B56" r:id="rId2"/>
    <hyperlink ref="B103" r:id="rId3"/>
    <hyperlink ref="B138" r:id="rId4"/>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sheetPr codeName="Sheet2"/>
  <dimension ref="A1:BD32"/>
  <sheetViews>
    <sheetView workbookViewId="0">
      <selection activeCell="E35" sqref="E35"/>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72" t="s">
        <v>573</v>
      </c>
      <c r="B1" s="72" t="s">
        <v>574</v>
      </c>
      <c r="C1" s="72" t="s">
        <v>581</v>
      </c>
      <c r="D1" s="72" t="s">
        <v>575</v>
      </c>
      <c r="E1" s="72" t="s">
        <v>576</v>
      </c>
      <c r="F1" s="72" t="s">
        <v>577</v>
      </c>
      <c r="G1" s="72" t="s">
        <v>578</v>
      </c>
      <c r="H1" s="72" t="s">
        <v>582</v>
      </c>
      <c r="I1" s="72" t="s">
        <v>65</v>
      </c>
      <c r="J1" s="72" t="s">
        <v>66</v>
      </c>
      <c r="K1" s="66">
        <v>2016</v>
      </c>
      <c r="L1" s="397">
        <v>2017</v>
      </c>
      <c r="M1" s="397">
        <v>2018</v>
      </c>
      <c r="N1" s="397">
        <v>2019</v>
      </c>
      <c r="O1" s="397">
        <v>2020</v>
      </c>
      <c r="P1" s="397">
        <v>2021</v>
      </c>
      <c r="Q1" s="397">
        <v>2022</v>
      </c>
      <c r="R1" s="397">
        <v>2023</v>
      </c>
      <c r="S1" s="397">
        <v>2024</v>
      </c>
      <c r="T1" s="397">
        <v>2025</v>
      </c>
      <c r="U1" s="397">
        <v>2026</v>
      </c>
      <c r="V1" s="397">
        <v>2027</v>
      </c>
      <c r="W1" s="397">
        <v>2028</v>
      </c>
      <c r="X1" s="397">
        <v>2029</v>
      </c>
      <c r="Y1" s="397">
        <v>2030</v>
      </c>
      <c r="Z1" s="397">
        <v>2031</v>
      </c>
      <c r="AA1" s="397">
        <v>2032</v>
      </c>
      <c r="AB1" s="397">
        <v>2033</v>
      </c>
      <c r="AC1" s="397">
        <v>2034</v>
      </c>
      <c r="AD1" s="397">
        <v>2035</v>
      </c>
      <c r="AE1" s="68" t="s">
        <v>59</v>
      </c>
      <c r="AF1" s="46" t="s">
        <v>568</v>
      </c>
      <c r="AG1" s="47"/>
      <c r="AH1" s="47"/>
      <c r="AI1" s="47"/>
      <c r="AJ1" s="47"/>
      <c r="AK1" s="47"/>
      <c r="AL1" s="47"/>
      <c r="AM1" s="47"/>
      <c r="AN1" s="47"/>
      <c r="AO1" s="47"/>
      <c r="AP1" s="47"/>
      <c r="AQ1" s="41"/>
      <c r="AR1" s="45"/>
      <c r="AS1" s="46" t="s">
        <v>569</v>
      </c>
      <c r="AT1" s="47"/>
      <c r="AU1" s="47"/>
      <c r="AV1" s="47"/>
      <c r="AW1" s="47"/>
      <c r="AX1" s="47"/>
      <c r="AY1" s="47"/>
      <c r="AZ1" s="47"/>
      <c r="BA1" s="47"/>
      <c r="BB1" s="47"/>
      <c r="BC1" s="47"/>
      <c r="BD1" s="41"/>
    </row>
    <row r="2" spans="1:56" ht="15">
      <c r="A2" s="72"/>
      <c r="B2" s="72"/>
      <c r="C2" s="72"/>
      <c r="D2" s="72"/>
      <c r="E2" s="72"/>
      <c r="F2" s="72" t="s">
        <v>570</v>
      </c>
      <c r="G2" s="72" t="s">
        <v>46</v>
      </c>
      <c r="H2" s="72" t="s">
        <v>64</v>
      </c>
      <c r="I2" s="72">
        <v>1</v>
      </c>
      <c r="J2" s="72"/>
      <c r="K2" s="69" t="str">
        <f>CONCATENATE("aMW_",K$1)</f>
        <v>aMW_2016</v>
      </c>
      <c r="L2" s="69" t="str">
        <f t="shared" ref="L2:AD2" si="0">CONCATENATE("aMW_",L$1)</f>
        <v>aMW_2017</v>
      </c>
      <c r="M2" s="69" t="str">
        <f t="shared" si="0"/>
        <v>aMW_2018</v>
      </c>
      <c r="N2" s="69" t="str">
        <f t="shared" si="0"/>
        <v>aMW_2019</v>
      </c>
      <c r="O2" s="69" t="str">
        <f t="shared" si="0"/>
        <v>aMW_2020</v>
      </c>
      <c r="P2" s="69" t="str">
        <f t="shared" si="0"/>
        <v>aMW_2021</v>
      </c>
      <c r="Q2" s="69" t="str">
        <f t="shared" si="0"/>
        <v>aMW_2022</v>
      </c>
      <c r="R2" s="69" t="str">
        <f t="shared" si="0"/>
        <v>aMW_2023</v>
      </c>
      <c r="S2" s="69" t="str">
        <f t="shared" si="0"/>
        <v>aMW_2024</v>
      </c>
      <c r="T2" s="69" t="str">
        <f t="shared" si="0"/>
        <v>aMW_2025</v>
      </c>
      <c r="U2" s="69" t="str">
        <f t="shared" si="0"/>
        <v>aMW_2026</v>
      </c>
      <c r="V2" s="69" t="str">
        <f t="shared" si="0"/>
        <v>aMW_2027</v>
      </c>
      <c r="W2" s="69" t="str">
        <f t="shared" si="0"/>
        <v>aMW_2028</v>
      </c>
      <c r="X2" s="69" t="str">
        <f t="shared" si="0"/>
        <v>aMW_2029</v>
      </c>
      <c r="Y2" s="69" t="str">
        <f t="shared" si="0"/>
        <v>aMW_2030</v>
      </c>
      <c r="Z2" s="69" t="str">
        <f t="shared" si="0"/>
        <v>aMW_2031</v>
      </c>
      <c r="AA2" s="69" t="str">
        <f t="shared" si="0"/>
        <v>aMW_2032</v>
      </c>
      <c r="AB2" s="69" t="str">
        <f t="shared" si="0"/>
        <v>aMW_2033</v>
      </c>
      <c r="AC2" s="69" t="str">
        <f t="shared" si="0"/>
        <v>aMW_2034</v>
      </c>
      <c r="AD2" s="69" t="str">
        <f t="shared" si="0"/>
        <v>aMW_2035</v>
      </c>
      <c r="AE2" s="71" t="s">
        <v>59</v>
      </c>
      <c r="AF2" s="39" t="s">
        <v>33</v>
      </c>
      <c r="AG2" s="39" t="s">
        <v>34</v>
      </c>
      <c r="AH2" s="39" t="s">
        <v>35</v>
      </c>
      <c r="AI2" s="39" t="s">
        <v>36</v>
      </c>
      <c r="AJ2" s="39" t="s">
        <v>37</v>
      </c>
      <c r="AK2" s="39" t="s">
        <v>38</v>
      </c>
      <c r="AL2" s="39" t="s">
        <v>39</v>
      </c>
      <c r="AM2" s="39" t="s">
        <v>40</v>
      </c>
      <c r="AN2" s="39" t="s">
        <v>41</v>
      </c>
      <c r="AO2" s="39" t="s">
        <v>42</v>
      </c>
      <c r="AP2" s="39" t="s">
        <v>43</v>
      </c>
      <c r="AQ2" s="39" t="s">
        <v>44</v>
      </c>
      <c r="AR2" s="39"/>
      <c r="AS2" s="39" t="s">
        <v>33</v>
      </c>
      <c r="AT2" s="39" t="s">
        <v>34</v>
      </c>
      <c r="AU2" s="39" t="s">
        <v>35</v>
      </c>
      <c r="AV2" s="39" t="s">
        <v>36</v>
      </c>
      <c r="AW2" s="39" t="s">
        <v>37</v>
      </c>
      <c r="AX2" s="39" t="s">
        <v>38</v>
      </c>
      <c r="AY2" s="39" t="s">
        <v>39</v>
      </c>
      <c r="AZ2" s="39" t="s">
        <v>40</v>
      </c>
      <c r="BA2" s="39" t="s">
        <v>41</v>
      </c>
      <c r="BB2" s="39" t="s">
        <v>42</v>
      </c>
      <c r="BC2" s="39" t="s">
        <v>43</v>
      </c>
      <c r="BD2" s="39" t="s">
        <v>44</v>
      </c>
    </row>
    <row r="3" spans="1:56" ht="15">
      <c r="A3" s="63" t="str">
        <f>VLOOKUP(CONCATENATE($C3," - ",$B3),[2]ACHIEV!$B$12:$C$100,2,FALSE)</f>
        <v>LO50Fast</v>
      </c>
      <c r="B3" s="63" t="str">
        <f>'SC-New'!$C$7</f>
        <v>New</v>
      </c>
      <c r="C3" s="63" t="str">
        <f>'SC-New'!$C$8</f>
        <v>Monitor</v>
      </c>
      <c r="D3" s="63" t="s">
        <v>166</v>
      </c>
      <c r="E3" s="63" t="str">
        <f>'SC-New'!$A$9</f>
        <v>Electronics</v>
      </c>
      <c r="F3" s="403">
        <f t="shared" ref="F3:F26" si="1">VLOOKUP($J3,MeasureOutput,14,FALSE)</f>
        <v>6.5680040394164047E-3</v>
      </c>
      <c r="G3" s="65">
        <f>'SC-New'!A52</f>
        <v>31.923177973133928</v>
      </c>
      <c r="H3" s="65">
        <f>'SC-New'!B52</f>
        <v>49.286628448437469</v>
      </c>
      <c r="I3" s="9" t="str">
        <f>'SC-New'!C52</f>
        <v>Single Family</v>
      </c>
      <c r="J3" s="9" t="str">
        <f>'SC-New'!D52</f>
        <v>ENERGY STAR Monitors</v>
      </c>
      <c r="K3" s="36">
        <f ca="1">'SC-New'!E52</f>
        <v>3.8475157648999427E-2</v>
      </c>
      <c r="L3" s="36">
        <f ca="1">'SC-New'!F52</f>
        <v>5.338297693336002E-2</v>
      </c>
      <c r="M3" s="36">
        <f ca="1">'SC-New'!G52</f>
        <v>6.0648758065325471E-2</v>
      </c>
      <c r="N3" s="36">
        <f ca="1">'SC-New'!H52</f>
        <v>6.4547144735168871E-2</v>
      </c>
      <c r="O3" s="36">
        <f ca="1">'SC-New'!I52</f>
        <v>6.626699111272677E-2</v>
      </c>
      <c r="P3" s="36">
        <f ca="1">'SC-New'!J52</f>
        <v>6.4391663910439489E-2</v>
      </c>
      <c r="Q3" s="36">
        <f ca="1">'SC-New'!K52</f>
        <v>6.2735663062133337E-2</v>
      </c>
      <c r="R3" s="36">
        <f ca="1">'SC-New'!L52</f>
        <v>6.2070495807202544E-2</v>
      </c>
      <c r="S3" s="36">
        <f ca="1">'SC-New'!M52</f>
        <v>6.0864059679608035E-2</v>
      </c>
      <c r="T3" s="36">
        <f ca="1">'SC-New'!N52</f>
        <v>6.1294529345094315E-2</v>
      </c>
      <c r="U3" s="36">
        <f ca="1">'SC-New'!O52</f>
        <v>6.1043687472479673E-2</v>
      </c>
      <c r="V3" s="36">
        <f ca="1">'SC-New'!P52</f>
        <v>5.9589515223530697E-2</v>
      </c>
      <c r="W3" s="36">
        <f ca="1">'SC-New'!Q52</f>
        <v>5.7363278354120611E-2</v>
      </c>
      <c r="X3" s="36">
        <f ca="1">'SC-New'!R52</f>
        <v>5.6781952927475961E-2</v>
      </c>
      <c r="Y3" s="36">
        <f ca="1">'SC-New'!S52</f>
        <v>5.680470881212258E-2</v>
      </c>
      <c r="Z3" s="36">
        <f ca="1">'SC-New'!T52</f>
        <v>5.5932811838837693E-2</v>
      </c>
      <c r="AA3" s="36">
        <f ca="1">'SC-New'!U52</f>
        <v>5.3481177804554296E-2</v>
      </c>
      <c r="AB3" s="36">
        <f ca="1">'SC-New'!V52</f>
        <v>5.2797478659992972E-2</v>
      </c>
      <c r="AC3" s="36">
        <f ca="1">'SC-New'!W52</f>
        <v>5.2346671571175972E-2</v>
      </c>
      <c r="AD3" s="36">
        <f ca="1">'SC-New'!X52</f>
        <v>5.2120615393052933E-2</v>
      </c>
      <c r="AE3" s="36">
        <f ca="1">'SC-New'!Y52</f>
        <v>1.1529393383574018</v>
      </c>
      <c r="AF3" s="404">
        <f t="shared" ref="AF3:AF26" si="2">VLOOKUP($J3,MeasureOutput,15,FALSE)</f>
        <v>2.3985249402326483</v>
      </c>
      <c r="AG3" s="404">
        <f t="shared" ref="AG3:AG26" si="3">VLOOKUP($J3,MeasureOutput,16,FALSE)</f>
        <v>1.9986503596346596</v>
      </c>
      <c r="AH3" s="404">
        <f t="shared" ref="AH3:AH26" si="4">VLOOKUP($J3,MeasureOutput,17,FALSE)</f>
        <v>2.1279992687755698</v>
      </c>
      <c r="AI3" s="404">
        <f t="shared" ref="AI3:AI26" si="5">VLOOKUP($J3,MeasureOutput,18,FALSE)</f>
        <v>1.4484143731435781</v>
      </c>
      <c r="AJ3" s="404">
        <f t="shared" ref="AJ3:AJ26" si="6">VLOOKUP($J3,MeasureOutput,19,FALSE)</f>
        <v>1.8148349868441274</v>
      </c>
      <c r="AK3" s="404">
        <f t="shared" ref="AK3:AK26" si="7">VLOOKUP($J3,MeasureOutput,20,FALSE)</f>
        <v>1.4118423652458438</v>
      </c>
      <c r="AL3" s="404">
        <f t="shared" ref="AL3:AL26" si="8">VLOOKUP($J3,MeasureOutput,21,FALSE)</f>
        <v>1.2537841312280011</v>
      </c>
      <c r="AM3" s="404">
        <f t="shared" ref="AM3:AM26" si="9">VLOOKUP($J3,MeasureOutput,22,FALSE)</f>
        <v>1.519776986115438</v>
      </c>
      <c r="AN3" s="404">
        <f t="shared" ref="AN3:AN26" si="10">VLOOKUP($J3,MeasureOutput,23,FALSE)</f>
        <v>1.1071870245466546</v>
      </c>
      <c r="AO3" s="404">
        <f t="shared" ref="AO3:AO26" si="11">VLOOKUP($J3,MeasureOutput,24,FALSE)</f>
        <v>1.4058079444603557</v>
      </c>
      <c r="AP3" s="404">
        <f t="shared" ref="AP3:AP26" si="12">VLOOKUP($J3,MeasureOutput,25,FALSE)</f>
        <v>1.3896846074698526</v>
      </c>
      <c r="AQ3" s="404">
        <f t="shared" ref="AQ3:AQ26" si="13">VLOOKUP($J3,MeasureOutput,26,FALSE)</f>
        <v>1.8849045667862157</v>
      </c>
      <c r="AR3" s="404"/>
      <c r="AS3" s="404">
        <f t="shared" ref="AS3:AS26" si="14">VLOOKUP($J3,MeasureOutput,28,FALSE)</f>
        <v>1.6878097579957494</v>
      </c>
      <c r="AT3" s="404">
        <f t="shared" ref="AT3:AT26" si="15">VLOOKUP($J3,MeasureOutput,29,FALSE)</f>
        <v>1.3654615402915222</v>
      </c>
      <c r="AU3" s="404">
        <f t="shared" ref="AU3:AU26" si="16">VLOOKUP($J3,MeasureOutput,30,FALSE)</f>
        <v>1.1795851735799314</v>
      </c>
      <c r="AV3" s="404">
        <f t="shared" ref="AV3:AV26" si="17">VLOOKUP($J3,MeasureOutput,31,FALSE)</f>
        <v>0.9624523592640275</v>
      </c>
      <c r="AW3" s="404">
        <f t="shared" ref="AW3:AW26" si="18">VLOOKUP($J3,MeasureOutput,32,FALSE)</f>
        <v>1.0814495861570319</v>
      </c>
      <c r="AX3" s="404">
        <f t="shared" ref="AX3:AX26" si="19">VLOOKUP($J3,MeasureOutput,33,FALSE)</f>
        <v>0.73088363207029627</v>
      </c>
      <c r="AY3" s="404">
        <f t="shared" ref="AY3:AY26" si="20">VLOOKUP($J3,MeasureOutput,34,FALSE)</f>
        <v>0.78294028286687412</v>
      </c>
      <c r="AZ3" s="404">
        <f t="shared" ref="AZ3:AZ26" si="21">VLOOKUP($J3,MeasureOutput,35,FALSE)</f>
        <v>0.78370765322851277</v>
      </c>
      <c r="BA3" s="404">
        <f t="shared" ref="BA3:BA26" si="22">VLOOKUP($J3,MeasureOutput,36,FALSE)</f>
        <v>0.67847787319628061</v>
      </c>
      <c r="BB3" s="404">
        <f t="shared" ref="BB3:BB26" si="23">VLOOKUP($J3,MeasureOutput,37,FALSE)</f>
        <v>0.73565330182574018</v>
      </c>
      <c r="BC3" s="404">
        <f t="shared" ref="BC3:BC26" si="24">VLOOKUP($J3,MeasureOutput,38,FALSE)</f>
        <v>0.93370729927689988</v>
      </c>
      <c r="BD3" s="404">
        <f t="shared" ref="BD3:BD26" si="25">VLOOKUP($J3,MeasureOutput,39,FALSE)</f>
        <v>1.239637958898117</v>
      </c>
    </row>
    <row r="4" spans="1:56" ht="15">
      <c r="A4" s="63" t="str">
        <f>VLOOKUP(CONCATENATE($C4," - ",$B4),[2]ACHIEV!$B$12:$C$100,2,FALSE)</f>
        <v>LO50Fast</v>
      </c>
      <c r="B4" s="63" t="str">
        <f>'SC-New'!$C$7</f>
        <v>New</v>
      </c>
      <c r="C4" s="63" t="str">
        <f>'SC-New'!$C$8</f>
        <v>Monitor</v>
      </c>
      <c r="D4" s="63" t="s">
        <v>166</v>
      </c>
      <c r="E4" s="63" t="str">
        <f>'SC-New'!$A$9</f>
        <v>Electronics</v>
      </c>
      <c r="F4" s="403">
        <f t="shared" si="1"/>
        <v>6.5680040394164047E-3</v>
      </c>
      <c r="G4" s="65">
        <f>'SC-New'!A53</f>
        <v>31.923177973133928</v>
      </c>
      <c r="H4" s="65">
        <f>'SC-New'!B53</f>
        <v>49.286628448437469</v>
      </c>
      <c r="I4" s="9" t="str">
        <f>'SC-New'!C53</f>
        <v>Multifamily - Low Rise</v>
      </c>
      <c r="J4" s="9" t="str">
        <f>'SC-New'!D53</f>
        <v>ENERGY STAR Monitors</v>
      </c>
      <c r="K4" s="36">
        <f ca="1">'SC-New'!E53</f>
        <v>6.2950244826128652E-3</v>
      </c>
      <c r="L4" s="36">
        <f ca="1">'SC-New'!F53</f>
        <v>9.0277874304033976E-3</v>
      </c>
      <c r="M4" s="36">
        <f ca="1">'SC-New'!G53</f>
        <v>1.0724226068112561E-2</v>
      </c>
      <c r="N4" s="36">
        <f ca="1">'SC-New'!H53</f>
        <v>1.142202637262555E-2</v>
      </c>
      <c r="O4" s="36">
        <f ca="1">'SC-New'!I53</f>
        <v>1.1358349084264176E-2</v>
      </c>
      <c r="P4" s="36">
        <f ca="1">'SC-New'!J53</f>
        <v>1.1167661016756515E-2</v>
      </c>
      <c r="Q4" s="36">
        <f ca="1">'SC-New'!K53</f>
        <v>1.109053379630257E-2</v>
      </c>
      <c r="R4" s="36">
        <f ca="1">'SC-New'!L53</f>
        <v>1.1230690241070311E-2</v>
      </c>
      <c r="S4" s="36">
        <f ca="1">'SC-New'!M53</f>
        <v>1.1397852421419333E-2</v>
      </c>
      <c r="T4" s="36">
        <f ca="1">'SC-New'!N53</f>
        <v>1.1584570199404785E-2</v>
      </c>
      <c r="U4" s="36">
        <f ca="1">'SC-New'!O53</f>
        <v>1.1504982984441383E-2</v>
      </c>
      <c r="V4" s="36">
        <f ca="1">'SC-New'!P53</f>
        <v>1.1380101136076902E-2</v>
      </c>
      <c r="W4" s="36">
        <f ca="1">'SC-New'!Q53</f>
        <v>1.1271057549040304E-2</v>
      </c>
      <c r="X4" s="36">
        <f ca="1">'SC-New'!R53</f>
        <v>1.1023954117339703E-2</v>
      </c>
      <c r="Y4" s="36">
        <f ca="1">'SC-New'!S53</f>
        <v>1.0769773497778976E-2</v>
      </c>
      <c r="Z4" s="36">
        <f ca="1">'SC-New'!T53</f>
        <v>1.0431993782685361E-2</v>
      </c>
      <c r="AA4" s="36">
        <f ca="1">'SC-New'!U53</f>
        <v>1.014012934506414E-2</v>
      </c>
      <c r="AB4" s="36">
        <f ca="1">'SC-New'!V53</f>
        <v>9.9005298713313646E-3</v>
      </c>
      <c r="AC4" s="36">
        <f ca="1">'SC-New'!W53</f>
        <v>9.6026134774243928E-3</v>
      </c>
      <c r="AD4" s="36">
        <f ca="1">'SC-New'!X53</f>
        <v>9.4607467286213984E-3</v>
      </c>
      <c r="AE4" s="36">
        <f ca="1">'SC-New'!Y53</f>
        <v>0.21078460360277598</v>
      </c>
      <c r="AF4" s="404">
        <f t="shared" si="2"/>
        <v>2.3985249402326483</v>
      </c>
      <c r="AG4" s="404">
        <f t="shared" si="3"/>
        <v>1.9986503596346596</v>
      </c>
      <c r="AH4" s="404">
        <f t="shared" si="4"/>
        <v>2.1279992687755698</v>
      </c>
      <c r="AI4" s="404">
        <f t="shared" si="5"/>
        <v>1.4484143731435781</v>
      </c>
      <c r="AJ4" s="404">
        <f t="shared" si="6"/>
        <v>1.8148349868441274</v>
      </c>
      <c r="AK4" s="404">
        <f t="shared" si="7"/>
        <v>1.4118423652458438</v>
      </c>
      <c r="AL4" s="404">
        <f t="shared" si="8"/>
        <v>1.2537841312280011</v>
      </c>
      <c r="AM4" s="404">
        <f t="shared" si="9"/>
        <v>1.519776986115438</v>
      </c>
      <c r="AN4" s="404">
        <f t="shared" si="10"/>
        <v>1.1071870245466546</v>
      </c>
      <c r="AO4" s="404">
        <f t="shared" si="11"/>
        <v>1.4058079444603557</v>
      </c>
      <c r="AP4" s="404">
        <f t="shared" si="12"/>
        <v>1.3896846074698526</v>
      </c>
      <c r="AQ4" s="404">
        <f t="shared" si="13"/>
        <v>1.8849045667862157</v>
      </c>
      <c r="AR4" s="404"/>
      <c r="AS4" s="404">
        <f t="shared" si="14"/>
        <v>1.6878097579957494</v>
      </c>
      <c r="AT4" s="404">
        <f t="shared" si="15"/>
        <v>1.3654615402915222</v>
      </c>
      <c r="AU4" s="404">
        <f t="shared" si="16"/>
        <v>1.1795851735799314</v>
      </c>
      <c r="AV4" s="404">
        <f t="shared" si="17"/>
        <v>0.9624523592640275</v>
      </c>
      <c r="AW4" s="404">
        <f t="shared" si="18"/>
        <v>1.0814495861570319</v>
      </c>
      <c r="AX4" s="404">
        <f t="shared" si="19"/>
        <v>0.73088363207029627</v>
      </c>
      <c r="AY4" s="404">
        <f t="shared" si="20"/>
        <v>0.78294028286687412</v>
      </c>
      <c r="AZ4" s="404">
        <f t="shared" si="21"/>
        <v>0.78370765322851277</v>
      </c>
      <c r="BA4" s="404">
        <f t="shared" si="22"/>
        <v>0.67847787319628061</v>
      </c>
      <c r="BB4" s="404">
        <f t="shared" si="23"/>
        <v>0.73565330182574018</v>
      </c>
      <c r="BC4" s="404">
        <f t="shared" si="24"/>
        <v>0.93370729927689988</v>
      </c>
      <c r="BD4" s="404">
        <f t="shared" si="25"/>
        <v>1.239637958898117</v>
      </c>
    </row>
    <row r="5" spans="1:56" ht="15">
      <c r="A5" s="63" t="str">
        <f>VLOOKUP(CONCATENATE($C5," - ",$B5),[2]ACHIEV!$B$12:$C$100,2,FALSE)</f>
        <v>LO50Fast</v>
      </c>
      <c r="B5" s="63" t="str">
        <f>'SC-New'!$C$7</f>
        <v>New</v>
      </c>
      <c r="C5" s="63" t="str">
        <f>'SC-New'!$C$8</f>
        <v>Monitor</v>
      </c>
      <c r="D5" s="63" t="s">
        <v>166</v>
      </c>
      <c r="E5" s="63" t="str">
        <f>'SC-New'!$A$9</f>
        <v>Electronics</v>
      </c>
      <c r="F5" s="403">
        <f t="shared" si="1"/>
        <v>6.5680040394164047E-3</v>
      </c>
      <c r="G5" s="65">
        <f>'SC-New'!A54</f>
        <v>31.923177973133928</v>
      </c>
      <c r="H5" s="65">
        <f>'SC-New'!B54</f>
        <v>49.286628448437469</v>
      </c>
      <c r="I5" s="9" t="str">
        <f>'SC-New'!C54</f>
        <v>Multifamily - High Rise</v>
      </c>
      <c r="J5" s="9" t="str">
        <f>'SC-New'!D54</f>
        <v>ENERGY STAR Monitors</v>
      </c>
      <c r="K5" s="36">
        <f ca="1">'SC-New'!E54</f>
        <v>1.4131791371048508E-3</v>
      </c>
      <c r="L5" s="36">
        <f ca="1">'SC-New'!F54</f>
        <v>2.0551906718324939E-3</v>
      </c>
      <c r="M5" s="36">
        <f ca="1">'SC-New'!G54</f>
        <v>2.4781328997643712E-3</v>
      </c>
      <c r="N5" s="36">
        <f ca="1">'SC-New'!H54</f>
        <v>2.5785162117653972E-3</v>
      </c>
      <c r="O5" s="36">
        <f ca="1">'SC-New'!I54</f>
        <v>2.5144756951371132E-3</v>
      </c>
      <c r="P5" s="36">
        <f ca="1">'SC-New'!J54</f>
        <v>2.5092876463242994E-3</v>
      </c>
      <c r="Q5" s="36">
        <f ca="1">'SC-New'!K54</f>
        <v>2.4992727427208565E-3</v>
      </c>
      <c r="R5" s="36">
        <f ca="1">'SC-New'!L54</f>
        <v>2.5623172772001632E-3</v>
      </c>
      <c r="S5" s="36">
        <f ca="1">'SC-New'!M54</f>
        <v>2.5821738080938263E-3</v>
      </c>
      <c r="T5" s="36">
        <f ca="1">'SC-New'!N54</f>
        <v>2.6241999769220357E-3</v>
      </c>
      <c r="U5" s="36">
        <f ca="1">'SC-New'!O54</f>
        <v>2.5747987721602022E-3</v>
      </c>
      <c r="V5" s="36">
        <f ca="1">'SC-New'!P54</f>
        <v>2.5419231977242352E-3</v>
      </c>
      <c r="W5" s="36">
        <f ca="1">'SC-New'!Q54</f>
        <v>2.4958490938274775E-3</v>
      </c>
      <c r="X5" s="36">
        <f ca="1">'SC-New'!R54</f>
        <v>2.4602556829764299E-3</v>
      </c>
      <c r="Y5" s="36">
        <f ca="1">'SC-New'!S54</f>
        <v>2.4149792167099384E-3</v>
      </c>
      <c r="Z5" s="36">
        <f ca="1">'SC-New'!T54</f>
        <v>2.3375798923191654E-3</v>
      </c>
      <c r="AA5" s="36">
        <f ca="1">'SC-New'!U54</f>
        <v>2.2749057221611363E-3</v>
      </c>
      <c r="AB5" s="36">
        <f ca="1">'SC-New'!V54</f>
        <v>2.197858651581557E-3</v>
      </c>
      <c r="AC5" s="36">
        <f ca="1">'SC-New'!W54</f>
        <v>2.1652765823619957E-3</v>
      </c>
      <c r="AD5" s="36">
        <f ca="1">'SC-New'!X54</f>
        <v>2.1316328240098699E-3</v>
      </c>
      <c r="AE5" s="36">
        <f ca="1">'SC-New'!Y54</f>
        <v>4.7411805702697409E-2</v>
      </c>
      <c r="AF5" s="404">
        <f t="shared" si="2"/>
        <v>2.3985249402326483</v>
      </c>
      <c r="AG5" s="404">
        <f t="shared" si="3"/>
        <v>1.9986503596346596</v>
      </c>
      <c r="AH5" s="404">
        <f t="shared" si="4"/>
        <v>2.1279992687755698</v>
      </c>
      <c r="AI5" s="404">
        <f t="shared" si="5"/>
        <v>1.4484143731435781</v>
      </c>
      <c r="AJ5" s="404">
        <f t="shared" si="6"/>
        <v>1.8148349868441274</v>
      </c>
      <c r="AK5" s="404">
        <f t="shared" si="7"/>
        <v>1.4118423652458438</v>
      </c>
      <c r="AL5" s="404">
        <f t="shared" si="8"/>
        <v>1.2537841312280011</v>
      </c>
      <c r="AM5" s="404">
        <f t="shared" si="9"/>
        <v>1.519776986115438</v>
      </c>
      <c r="AN5" s="404">
        <f t="shared" si="10"/>
        <v>1.1071870245466546</v>
      </c>
      <c r="AO5" s="404">
        <f t="shared" si="11"/>
        <v>1.4058079444603557</v>
      </c>
      <c r="AP5" s="404">
        <f t="shared" si="12"/>
        <v>1.3896846074698526</v>
      </c>
      <c r="AQ5" s="404">
        <f t="shared" si="13"/>
        <v>1.8849045667862157</v>
      </c>
      <c r="AR5" s="404"/>
      <c r="AS5" s="404">
        <f t="shared" si="14"/>
        <v>1.6878097579957494</v>
      </c>
      <c r="AT5" s="404">
        <f t="shared" si="15"/>
        <v>1.3654615402915222</v>
      </c>
      <c r="AU5" s="404">
        <f t="shared" si="16"/>
        <v>1.1795851735799314</v>
      </c>
      <c r="AV5" s="404">
        <f t="shared" si="17"/>
        <v>0.9624523592640275</v>
      </c>
      <c r="AW5" s="404">
        <f t="shared" si="18"/>
        <v>1.0814495861570319</v>
      </c>
      <c r="AX5" s="404">
        <f t="shared" si="19"/>
        <v>0.73088363207029627</v>
      </c>
      <c r="AY5" s="404">
        <f t="shared" si="20"/>
        <v>0.78294028286687412</v>
      </c>
      <c r="AZ5" s="404">
        <f t="shared" si="21"/>
        <v>0.78370765322851277</v>
      </c>
      <c r="BA5" s="404">
        <f t="shared" si="22"/>
        <v>0.67847787319628061</v>
      </c>
      <c r="BB5" s="404">
        <f t="shared" si="23"/>
        <v>0.73565330182574018</v>
      </c>
      <c r="BC5" s="404">
        <f t="shared" si="24"/>
        <v>0.93370729927689988</v>
      </c>
      <c r="BD5" s="404">
        <f t="shared" si="25"/>
        <v>1.239637958898117</v>
      </c>
    </row>
    <row r="6" spans="1:56" ht="15">
      <c r="A6" s="63" t="str">
        <f>VLOOKUP(CONCATENATE($C6," - ",$B6),[2]ACHIEV!$B$12:$C$100,2,FALSE)</f>
        <v>LO50Fast</v>
      </c>
      <c r="B6" s="63" t="str">
        <f>'SC-New'!$C$7</f>
        <v>New</v>
      </c>
      <c r="C6" s="63" t="str">
        <f>'SC-NR'!$C$8</f>
        <v>Monitor</v>
      </c>
      <c r="D6" s="63" t="s">
        <v>166</v>
      </c>
      <c r="E6" s="63" t="str">
        <f>'SC-New'!$A$9</f>
        <v>Electronics</v>
      </c>
      <c r="F6" s="403">
        <f t="shared" si="1"/>
        <v>6.5680040394164047E-3</v>
      </c>
      <c r="G6" s="65">
        <f>'SC-New'!A55</f>
        <v>31.923177973133928</v>
      </c>
      <c r="H6" s="65">
        <f>'SC-New'!B55</f>
        <v>49.286628448437469</v>
      </c>
      <c r="I6" s="9" t="str">
        <f>'SC-New'!C55</f>
        <v>Manufactured</v>
      </c>
      <c r="J6" s="9" t="str">
        <f>'SC-New'!D55</f>
        <v>ENERGY STAR Monitors</v>
      </c>
      <c r="K6" s="36">
        <f ca="1">'SC-New'!E55</f>
        <v>8.0996592453395487E-4</v>
      </c>
      <c r="L6" s="36">
        <f ca="1">'SC-New'!F55</f>
        <v>1.1825325927396853E-3</v>
      </c>
      <c r="M6" s="36">
        <f ca="1">'SC-New'!G55</f>
        <v>1.4681402416414147E-3</v>
      </c>
      <c r="N6" s="36">
        <f ca="1">'SC-New'!H55</f>
        <v>1.674757890616662E-3</v>
      </c>
      <c r="O6" s="36">
        <f ca="1">'SC-New'!I55</f>
        <v>1.7129381463210434E-3</v>
      </c>
      <c r="P6" s="36">
        <f ca="1">'SC-New'!J55</f>
        <v>1.7193387527470918E-3</v>
      </c>
      <c r="Q6" s="36">
        <f ca="1">'SC-New'!K55</f>
        <v>1.7288357243332667E-3</v>
      </c>
      <c r="R6" s="36">
        <f ca="1">'SC-New'!L55</f>
        <v>1.7284097080257456E-3</v>
      </c>
      <c r="S6" s="36">
        <f ca="1">'SC-New'!M55</f>
        <v>1.7218754042589671E-3</v>
      </c>
      <c r="T6" s="36">
        <f ca="1">'SC-New'!N55</f>
        <v>1.7048514537430501E-3</v>
      </c>
      <c r="U6" s="36">
        <f ca="1">'SC-New'!O55</f>
        <v>1.6769987110017261E-3</v>
      </c>
      <c r="V6" s="36">
        <f ca="1">'SC-New'!P55</f>
        <v>1.6565960005250739E-3</v>
      </c>
      <c r="W6" s="36">
        <f ca="1">'SC-New'!Q55</f>
        <v>1.6404309124120676E-3</v>
      </c>
      <c r="X6" s="36">
        <f ca="1">'SC-New'!R55</f>
        <v>1.623927294372022E-3</v>
      </c>
      <c r="Y6" s="36">
        <f ca="1">'SC-New'!S55</f>
        <v>1.6064210349942963E-3</v>
      </c>
      <c r="Z6" s="36">
        <f ca="1">'SC-New'!T55</f>
        <v>1.5877583407590558E-3</v>
      </c>
      <c r="AA6" s="36">
        <f ca="1">'SC-New'!U55</f>
        <v>1.5690367855195667E-3</v>
      </c>
      <c r="AB6" s="36">
        <f ca="1">'SC-New'!V55</f>
        <v>1.5518043715211556E-3</v>
      </c>
      <c r="AC6" s="36">
        <f ca="1">'SC-New'!W55</f>
        <v>1.5351231680498308E-3</v>
      </c>
      <c r="AD6" s="36">
        <f ca="1">'SC-New'!X55</f>
        <v>1.518366226034617E-3</v>
      </c>
      <c r="AE6" s="36">
        <f ca="1">'SC-New'!Y55</f>
        <v>3.1418108684150285E-2</v>
      </c>
      <c r="AF6" s="404">
        <f t="shared" si="2"/>
        <v>2.3985249402326483</v>
      </c>
      <c r="AG6" s="404">
        <f t="shared" si="3"/>
        <v>1.9986503596346596</v>
      </c>
      <c r="AH6" s="404">
        <f t="shared" si="4"/>
        <v>2.1279992687755698</v>
      </c>
      <c r="AI6" s="404">
        <f t="shared" si="5"/>
        <v>1.4484143731435781</v>
      </c>
      <c r="AJ6" s="404">
        <f t="shared" si="6"/>
        <v>1.8148349868441274</v>
      </c>
      <c r="AK6" s="404">
        <f t="shared" si="7"/>
        <v>1.4118423652458438</v>
      </c>
      <c r="AL6" s="404">
        <f t="shared" si="8"/>
        <v>1.2537841312280011</v>
      </c>
      <c r="AM6" s="404">
        <f t="shared" si="9"/>
        <v>1.519776986115438</v>
      </c>
      <c r="AN6" s="404">
        <f t="shared" si="10"/>
        <v>1.1071870245466546</v>
      </c>
      <c r="AO6" s="404">
        <f t="shared" si="11"/>
        <v>1.4058079444603557</v>
      </c>
      <c r="AP6" s="404">
        <f t="shared" si="12"/>
        <v>1.3896846074698526</v>
      </c>
      <c r="AQ6" s="404">
        <f t="shared" si="13"/>
        <v>1.8849045667862157</v>
      </c>
      <c r="AR6" s="404"/>
      <c r="AS6" s="404">
        <f t="shared" si="14"/>
        <v>1.6878097579957494</v>
      </c>
      <c r="AT6" s="404">
        <f t="shared" si="15"/>
        <v>1.3654615402915222</v>
      </c>
      <c r="AU6" s="404">
        <f t="shared" si="16"/>
        <v>1.1795851735799314</v>
      </c>
      <c r="AV6" s="404">
        <f t="shared" si="17"/>
        <v>0.9624523592640275</v>
      </c>
      <c r="AW6" s="404">
        <f t="shared" si="18"/>
        <v>1.0814495861570319</v>
      </c>
      <c r="AX6" s="404">
        <f t="shared" si="19"/>
        <v>0.73088363207029627</v>
      </c>
      <c r="AY6" s="404">
        <f t="shared" si="20"/>
        <v>0.78294028286687412</v>
      </c>
      <c r="AZ6" s="404">
        <f t="shared" si="21"/>
        <v>0.78370765322851277</v>
      </c>
      <c r="BA6" s="404">
        <f t="shared" si="22"/>
        <v>0.67847787319628061</v>
      </c>
      <c r="BB6" s="404">
        <f t="shared" si="23"/>
        <v>0.73565330182574018</v>
      </c>
      <c r="BC6" s="404">
        <f t="shared" si="24"/>
        <v>0.93370729927689988</v>
      </c>
      <c r="BD6" s="404">
        <f t="shared" si="25"/>
        <v>1.239637958898117</v>
      </c>
    </row>
    <row r="7" spans="1:56" ht="15">
      <c r="A7" s="63" t="str">
        <f>VLOOKUP(CONCATENATE($C7," - ",$B7),[2]ACHIEV!$B$12:$C$100,2,FALSE)</f>
        <v>LO50Fast</v>
      </c>
      <c r="B7" s="63" t="str">
        <f>'SC-New (2)'!$C$7</f>
        <v>New</v>
      </c>
      <c r="C7" s="63" t="str">
        <f>'SC-New (2)'!$C$8</f>
        <v>Computer</v>
      </c>
      <c r="D7" s="63" t="s">
        <v>166</v>
      </c>
      <c r="E7" s="63" t="str">
        <f>'SC-New (2)'!$A$9</f>
        <v>Electronics</v>
      </c>
      <c r="F7" s="403">
        <f t="shared" si="1"/>
        <v>9.9264974994726762E-3</v>
      </c>
      <c r="G7" s="65">
        <f>'SC-New (2)'!A60</f>
        <v>68.243112182874043</v>
      </c>
      <c r="H7" s="65">
        <f>'SC-New (2)'!B60</f>
        <v>40.942640426147406</v>
      </c>
      <c r="I7" s="9" t="str">
        <f>'SC-New (2)'!C60</f>
        <v>Single Family</v>
      </c>
      <c r="J7" s="9" t="str">
        <f>'SC-New (2)'!D60</f>
        <v>ENERGY STAR Desktops</v>
      </c>
      <c r="K7" s="36">
        <f ca="1">'SC-New (2)'!E60</f>
        <v>0.13311879305402699</v>
      </c>
      <c r="L7" s="36">
        <f ca="1">'SC-New (2)'!F60</f>
        <v>0.18496167366060595</v>
      </c>
      <c r="M7" s="36">
        <f ca="1">'SC-New (2)'!G60</f>
        <v>0.21043888725947241</v>
      </c>
      <c r="N7" s="36">
        <f ca="1">'SC-New (2)'!H60</f>
        <v>0.22427772770452065</v>
      </c>
      <c r="O7" s="36">
        <f ca="1">'SC-New (2)'!I60</f>
        <v>0.23054643559847643</v>
      </c>
      <c r="P7" s="36">
        <f ca="1">'SC-New (2)'!J60</f>
        <v>0.22451043516026542</v>
      </c>
      <c r="Q7" s="36">
        <f ca="1">'SC-New (2)'!K60</f>
        <v>0.21919258636461353</v>
      </c>
      <c r="R7" s="36">
        <f ca="1">'SC-New (2)'!L60</f>
        <v>0.21729421923576669</v>
      </c>
      <c r="S7" s="36">
        <f ca="1">'SC-New (2)'!M60</f>
        <v>0.21347194086231999</v>
      </c>
      <c r="T7" s="36">
        <f ca="1">'SC-New (2)'!N60</f>
        <v>0.21537227613014501</v>
      </c>
      <c r="U7" s="36">
        <f ca="1">'SC-New (2)'!O60</f>
        <v>0.21487160089848559</v>
      </c>
      <c r="V7" s="36">
        <f ca="1">'SC-New (2)'!P60</f>
        <v>0.21010365076101825</v>
      </c>
      <c r="W7" s="36">
        <f ca="1">'SC-New (2)'!Q60</f>
        <v>0.20257300688055463</v>
      </c>
      <c r="X7" s="36">
        <f ca="1">'SC-New (2)'!R60</f>
        <v>0.20081365251213712</v>
      </c>
      <c r="Y7" s="36">
        <f ca="1">'SC-New (2)'!S60</f>
        <v>0.20116419093816731</v>
      </c>
      <c r="Z7" s="36">
        <f ca="1">'SC-New (2)'!T60</f>
        <v>0.19788730977345514</v>
      </c>
      <c r="AA7" s="36">
        <f ca="1">'SC-New (2)'!U60</f>
        <v>0.18900222685118856</v>
      </c>
      <c r="AB7" s="36">
        <f ca="1">'SC-New (2)'!V60</f>
        <v>0.1863440202214286</v>
      </c>
      <c r="AC7" s="36">
        <f ca="1">'SC-New (2)'!W60</f>
        <v>0.18447655292025805</v>
      </c>
      <c r="AD7" s="36">
        <f ca="1">'SC-New (2)'!X60</f>
        <v>0.18572894160520495</v>
      </c>
      <c r="AE7" s="36">
        <f ca="1">'SC-New (2)'!Y60</f>
        <v>4.0461501283921111</v>
      </c>
      <c r="AF7" s="404">
        <f t="shared" si="2"/>
        <v>3.1598767626640925</v>
      </c>
      <c r="AG7" s="404">
        <f t="shared" si="3"/>
        <v>2.8127261832766339</v>
      </c>
      <c r="AH7" s="404">
        <f t="shared" si="4"/>
        <v>3.2742343488808552</v>
      </c>
      <c r="AI7" s="404">
        <f t="shared" si="5"/>
        <v>3.6988773154737404</v>
      </c>
      <c r="AJ7" s="404">
        <f t="shared" si="6"/>
        <v>3.9368363329781544</v>
      </c>
      <c r="AK7" s="404">
        <f t="shared" si="7"/>
        <v>3.4494410997694311</v>
      </c>
      <c r="AL7" s="404">
        <f t="shared" si="8"/>
        <v>3.4650295415446108</v>
      </c>
      <c r="AM7" s="404">
        <f t="shared" si="9"/>
        <v>3.4535010801942221</v>
      </c>
      <c r="AN7" s="404">
        <f t="shared" si="10"/>
        <v>3.194669919735571</v>
      </c>
      <c r="AO7" s="404">
        <f t="shared" si="11"/>
        <v>3.3944170546579295</v>
      </c>
      <c r="AP7" s="404">
        <f t="shared" si="12"/>
        <v>3.3719273378323549</v>
      </c>
      <c r="AQ7" s="404">
        <f t="shared" si="13"/>
        <v>3.75936450132297</v>
      </c>
      <c r="AR7" s="404"/>
      <c r="AS7" s="404">
        <f t="shared" si="14"/>
        <v>2.0599232374814878</v>
      </c>
      <c r="AT7" s="404">
        <f t="shared" si="15"/>
        <v>1.84723883420545</v>
      </c>
      <c r="AU7" s="404">
        <f t="shared" si="16"/>
        <v>1.8815472154761894</v>
      </c>
      <c r="AV7" s="404">
        <f t="shared" si="17"/>
        <v>2.5816529101948102</v>
      </c>
      <c r="AW7" s="404">
        <f t="shared" si="18"/>
        <v>2.8027837054323852</v>
      </c>
      <c r="AX7" s="404">
        <f t="shared" si="19"/>
        <v>2.2485983032821681</v>
      </c>
      <c r="AY7" s="404">
        <f t="shared" si="20"/>
        <v>2.6449213050718057</v>
      </c>
      <c r="AZ7" s="404">
        <f t="shared" si="21"/>
        <v>1.8775024247019763</v>
      </c>
      <c r="BA7" s="404">
        <f t="shared" si="22"/>
        <v>2.2673141410859179</v>
      </c>
      <c r="BB7" s="404">
        <f t="shared" si="23"/>
        <v>1.9448282299410675</v>
      </c>
      <c r="BC7" s="404">
        <f t="shared" si="24"/>
        <v>2.4618079867507596</v>
      </c>
      <c r="BD7" s="404">
        <f t="shared" si="25"/>
        <v>2.6540924109194575</v>
      </c>
    </row>
    <row r="8" spans="1:56" ht="15">
      <c r="A8" s="63" t="str">
        <f>VLOOKUP(CONCATENATE($C8," - ",$B8),[2]ACHIEV!$B$12:$C$100,2,FALSE)</f>
        <v>LO50Fast</v>
      </c>
      <c r="B8" s="63" t="str">
        <f>'SC-New (2)'!$C$7</f>
        <v>New</v>
      </c>
      <c r="C8" s="63" t="str">
        <f>'SC-New (2)'!$C$8</f>
        <v>Computer</v>
      </c>
      <c r="D8" s="63" t="s">
        <v>166</v>
      </c>
      <c r="E8" s="63" t="str">
        <f>'SC-New (2)'!$A$9</f>
        <v>Electronics</v>
      </c>
      <c r="F8" s="403">
        <f t="shared" si="1"/>
        <v>9.9264974994726762E-3</v>
      </c>
      <c r="G8" s="65">
        <f>'SC-New (2)'!A61</f>
        <v>68.243112182874043</v>
      </c>
      <c r="H8" s="65">
        <f>'SC-New (2)'!B61</f>
        <v>40.942640426147406</v>
      </c>
      <c r="I8" s="9" t="str">
        <f>'SC-New (2)'!C61</f>
        <v>Multifamily - Low Rise</v>
      </c>
      <c r="J8" s="9" t="str">
        <f>'SC-New (2)'!D61</f>
        <v>ENERGY STAR Desktops</v>
      </c>
      <c r="K8" s="36">
        <f ca="1">'SC-New (2)'!E61</f>
        <v>2.2771071176354459E-2</v>
      </c>
      <c r="L8" s="36">
        <f ca="1">'SC-New (2)'!F61</f>
        <v>3.2702982067997925E-2</v>
      </c>
      <c r="M8" s="36">
        <f ca="1">'SC-New (2)'!G61</f>
        <v>3.8904256416927983E-2</v>
      </c>
      <c r="N8" s="36">
        <f ca="1">'SC-New (2)'!H61</f>
        <v>4.1493430696706531E-2</v>
      </c>
      <c r="O8" s="36">
        <f ca="1">'SC-New (2)'!I61</f>
        <v>4.1314589921510429E-2</v>
      </c>
      <c r="P8" s="36">
        <f ca="1">'SC-New (2)'!J61</f>
        <v>4.0709538669025963E-2</v>
      </c>
      <c r="Q8" s="36">
        <f ca="1">'SC-New (2)'!K61</f>
        <v>4.0512672402456804E-2</v>
      </c>
      <c r="R8" s="36">
        <f ca="1">'SC-New (2)'!L61</f>
        <v>4.1105173075101198E-2</v>
      </c>
      <c r="S8" s="36">
        <f ca="1">'SC-New (2)'!M61</f>
        <v>4.1795544289886161E-2</v>
      </c>
      <c r="T8" s="36">
        <f ca="1">'SC-New (2)'!N61</f>
        <v>4.2557399552370867E-2</v>
      </c>
      <c r="U8" s="36">
        <f ca="1">'SC-New (2)'!O61</f>
        <v>4.2340044872695611E-2</v>
      </c>
      <c r="V8" s="36">
        <f ca="1">'SC-New (2)'!P61</f>
        <v>4.1950480737418687E-2</v>
      </c>
      <c r="W8" s="36">
        <f ca="1">'SC-New (2)'!Q61</f>
        <v>4.1613989392167865E-2</v>
      </c>
      <c r="X8" s="36">
        <f ca="1">'SC-New (2)'!R61</f>
        <v>4.0761239414742093E-2</v>
      </c>
      <c r="Y8" s="36">
        <f ca="1">'SC-New (2)'!S61</f>
        <v>3.9874934299311778E-2</v>
      </c>
      <c r="Z8" s="36">
        <f ca="1">'SC-New (2)'!T61</f>
        <v>3.8587414952181612E-2</v>
      </c>
      <c r="AA8" s="36">
        <f ca="1">'SC-New (2)'!U61</f>
        <v>3.7465930811008429E-2</v>
      </c>
      <c r="AB8" s="36">
        <f ca="1">'SC-New (2)'!V61</f>
        <v>3.6533206345636456E-2</v>
      </c>
      <c r="AC8" s="36">
        <f ca="1">'SC-New (2)'!W61</f>
        <v>3.5380879494101639E-2</v>
      </c>
      <c r="AD8" s="36">
        <f ca="1">'SC-New (2)'!X61</f>
        <v>3.5247030896516318E-2</v>
      </c>
      <c r="AE8" s="36">
        <f ca="1">'SC-New (2)'!Y61</f>
        <v>0.77362180948411874</v>
      </c>
      <c r="AF8" s="404">
        <f t="shared" si="2"/>
        <v>3.1598767626640925</v>
      </c>
      <c r="AG8" s="404">
        <f t="shared" si="3"/>
        <v>2.8127261832766339</v>
      </c>
      <c r="AH8" s="404">
        <f t="shared" si="4"/>
        <v>3.2742343488808552</v>
      </c>
      <c r="AI8" s="404">
        <f t="shared" si="5"/>
        <v>3.6988773154737404</v>
      </c>
      <c r="AJ8" s="404">
        <f t="shared" si="6"/>
        <v>3.9368363329781544</v>
      </c>
      <c r="AK8" s="404">
        <f t="shared" si="7"/>
        <v>3.4494410997694311</v>
      </c>
      <c r="AL8" s="404">
        <f t="shared" si="8"/>
        <v>3.4650295415446108</v>
      </c>
      <c r="AM8" s="404">
        <f t="shared" si="9"/>
        <v>3.4535010801942221</v>
      </c>
      <c r="AN8" s="404">
        <f t="shared" si="10"/>
        <v>3.194669919735571</v>
      </c>
      <c r="AO8" s="404">
        <f t="shared" si="11"/>
        <v>3.3944170546579295</v>
      </c>
      <c r="AP8" s="404">
        <f t="shared" si="12"/>
        <v>3.3719273378323549</v>
      </c>
      <c r="AQ8" s="404">
        <f t="shared" si="13"/>
        <v>3.75936450132297</v>
      </c>
      <c r="AR8" s="404"/>
      <c r="AS8" s="404">
        <f t="shared" si="14"/>
        <v>2.0599232374814878</v>
      </c>
      <c r="AT8" s="404">
        <f t="shared" si="15"/>
        <v>1.84723883420545</v>
      </c>
      <c r="AU8" s="404">
        <f t="shared" si="16"/>
        <v>1.8815472154761894</v>
      </c>
      <c r="AV8" s="404">
        <f t="shared" si="17"/>
        <v>2.5816529101948102</v>
      </c>
      <c r="AW8" s="404">
        <f t="shared" si="18"/>
        <v>2.8027837054323852</v>
      </c>
      <c r="AX8" s="404">
        <f t="shared" si="19"/>
        <v>2.2485983032821681</v>
      </c>
      <c r="AY8" s="404">
        <f t="shared" si="20"/>
        <v>2.6449213050718057</v>
      </c>
      <c r="AZ8" s="404">
        <f t="shared" si="21"/>
        <v>1.8775024247019763</v>
      </c>
      <c r="BA8" s="404">
        <f t="shared" si="22"/>
        <v>2.2673141410859179</v>
      </c>
      <c r="BB8" s="404">
        <f t="shared" si="23"/>
        <v>1.9448282299410675</v>
      </c>
      <c r="BC8" s="404">
        <f t="shared" si="24"/>
        <v>2.4618079867507596</v>
      </c>
      <c r="BD8" s="404">
        <f t="shared" si="25"/>
        <v>2.6540924109194575</v>
      </c>
    </row>
    <row r="9" spans="1:56" ht="15">
      <c r="A9" s="63" t="str">
        <f>VLOOKUP(CONCATENATE($C9," - ",$B9),[2]ACHIEV!$B$12:$C$100,2,FALSE)</f>
        <v>LO50Fast</v>
      </c>
      <c r="B9" s="63" t="str">
        <f>'SC-New (2)'!$C$7</f>
        <v>New</v>
      </c>
      <c r="C9" s="63" t="str">
        <f>'SC-New (2)'!$C$8</f>
        <v>Computer</v>
      </c>
      <c r="D9" s="63" t="s">
        <v>166</v>
      </c>
      <c r="E9" s="63" t="str">
        <f>'SC-New (2)'!$A$9</f>
        <v>Electronics</v>
      </c>
      <c r="F9" s="403">
        <f t="shared" si="1"/>
        <v>9.9264974994726762E-3</v>
      </c>
      <c r="G9" s="65">
        <f>'SC-New (2)'!A62</f>
        <v>68.243112182874043</v>
      </c>
      <c r="H9" s="65">
        <f>'SC-New (2)'!B62</f>
        <v>40.942640426147406</v>
      </c>
      <c r="I9" s="9" t="str">
        <f>'SC-New (2)'!C62</f>
        <v>Multifamily - High Rise</v>
      </c>
      <c r="J9" s="9" t="str">
        <f>'SC-New (2)'!D62</f>
        <v>ENERGY STAR Desktops</v>
      </c>
      <c r="K9" s="36">
        <f ca="1">'SC-New (2)'!E62</f>
        <v>5.1119106533795396E-3</v>
      </c>
      <c r="L9" s="36">
        <f ca="1">'SC-New (2)'!F62</f>
        <v>7.4448877097952884E-3</v>
      </c>
      <c r="M9" s="36">
        <f ca="1">'SC-New (2)'!G62</f>
        <v>8.9899184477585641E-3</v>
      </c>
      <c r="N9" s="36">
        <f ca="1">'SC-New (2)'!H62</f>
        <v>9.3671193046482096E-3</v>
      </c>
      <c r="O9" s="36">
        <f ca="1">'SC-New (2)'!I62</f>
        <v>9.1460943347934278E-3</v>
      </c>
      <c r="P9" s="36">
        <f ca="1">'SC-New (2)'!J62</f>
        <v>9.1471206295100048E-3</v>
      </c>
      <c r="Q9" s="36">
        <f ca="1">'SC-New (2)'!K62</f>
        <v>9.129607260562677E-3</v>
      </c>
      <c r="R9" s="36">
        <f ca="1">'SC-New (2)'!L62</f>
        <v>9.378274432987754E-3</v>
      </c>
      <c r="S9" s="36">
        <f ca="1">'SC-New (2)'!M62</f>
        <v>9.4687451433881787E-3</v>
      </c>
      <c r="T9" s="36">
        <f ca="1">'SC-New (2)'!N62</f>
        <v>9.6403340823927614E-3</v>
      </c>
      <c r="U9" s="36">
        <f ca="1">'SC-New (2)'!O62</f>
        <v>9.4756416153637443E-3</v>
      </c>
      <c r="V9" s="36">
        <f ca="1">'SC-New (2)'!P62</f>
        <v>9.3702945929080607E-3</v>
      </c>
      <c r="W9" s="36">
        <f ca="1">'SC-New (2)'!Q62</f>
        <v>9.2149505282077097E-3</v>
      </c>
      <c r="X9" s="36">
        <f ca="1">'SC-New (2)'!R62</f>
        <v>9.0968331188484991E-3</v>
      </c>
      <c r="Y9" s="36">
        <f ca="1">'SC-New (2)'!S62</f>
        <v>8.9414264487894142E-3</v>
      </c>
      <c r="Z9" s="36">
        <f ca="1">'SC-New (2)'!T62</f>
        <v>8.6465892491719275E-3</v>
      </c>
      <c r="AA9" s="36">
        <f ca="1">'SC-New (2)'!U62</f>
        <v>8.4053622481200362E-3</v>
      </c>
      <c r="AB9" s="36">
        <f ca="1">'SC-New (2)'!V62</f>
        <v>8.1101541715740237E-3</v>
      </c>
      <c r="AC9" s="36">
        <f ca="1">'SC-New (2)'!W62</f>
        <v>7.9779728729119006E-3</v>
      </c>
      <c r="AD9" s="36">
        <f ca="1">'SC-New (2)'!X62</f>
        <v>7.9416276709536847E-3</v>
      </c>
      <c r="AE9" s="36">
        <f ca="1">'SC-New (2)'!Y62</f>
        <v>0.17400486451606537</v>
      </c>
      <c r="AF9" s="404">
        <f t="shared" si="2"/>
        <v>3.1598767626640925</v>
      </c>
      <c r="AG9" s="404">
        <f t="shared" si="3"/>
        <v>2.8127261832766339</v>
      </c>
      <c r="AH9" s="404">
        <f t="shared" si="4"/>
        <v>3.2742343488808552</v>
      </c>
      <c r="AI9" s="404">
        <f t="shared" si="5"/>
        <v>3.6988773154737404</v>
      </c>
      <c r="AJ9" s="404">
        <f t="shared" si="6"/>
        <v>3.9368363329781544</v>
      </c>
      <c r="AK9" s="404">
        <f t="shared" si="7"/>
        <v>3.4494410997694311</v>
      </c>
      <c r="AL9" s="404">
        <f t="shared" si="8"/>
        <v>3.4650295415446108</v>
      </c>
      <c r="AM9" s="404">
        <f t="shared" si="9"/>
        <v>3.4535010801942221</v>
      </c>
      <c r="AN9" s="404">
        <f t="shared" si="10"/>
        <v>3.194669919735571</v>
      </c>
      <c r="AO9" s="404">
        <f t="shared" si="11"/>
        <v>3.3944170546579295</v>
      </c>
      <c r="AP9" s="404">
        <f t="shared" si="12"/>
        <v>3.3719273378323549</v>
      </c>
      <c r="AQ9" s="404">
        <f t="shared" si="13"/>
        <v>3.75936450132297</v>
      </c>
      <c r="AR9" s="404"/>
      <c r="AS9" s="404">
        <f t="shared" si="14"/>
        <v>2.0599232374814878</v>
      </c>
      <c r="AT9" s="404">
        <f t="shared" si="15"/>
        <v>1.84723883420545</v>
      </c>
      <c r="AU9" s="404">
        <f t="shared" si="16"/>
        <v>1.8815472154761894</v>
      </c>
      <c r="AV9" s="404">
        <f t="shared" si="17"/>
        <v>2.5816529101948102</v>
      </c>
      <c r="AW9" s="404">
        <f t="shared" si="18"/>
        <v>2.8027837054323852</v>
      </c>
      <c r="AX9" s="404">
        <f t="shared" si="19"/>
        <v>2.2485983032821681</v>
      </c>
      <c r="AY9" s="404">
        <f t="shared" si="20"/>
        <v>2.6449213050718057</v>
      </c>
      <c r="AZ9" s="404">
        <f t="shared" si="21"/>
        <v>1.8775024247019763</v>
      </c>
      <c r="BA9" s="404">
        <f t="shared" si="22"/>
        <v>2.2673141410859179</v>
      </c>
      <c r="BB9" s="404">
        <f t="shared" si="23"/>
        <v>1.9448282299410675</v>
      </c>
      <c r="BC9" s="404">
        <f t="shared" si="24"/>
        <v>2.4618079867507596</v>
      </c>
      <c r="BD9" s="404">
        <f t="shared" si="25"/>
        <v>2.6540924109194575</v>
      </c>
    </row>
    <row r="10" spans="1:56" ht="15">
      <c r="A10" s="63" t="str">
        <f>VLOOKUP(CONCATENATE($C10," - ",$B10),[2]ACHIEV!$B$12:$C$100,2,FALSE)</f>
        <v>LO50Fast</v>
      </c>
      <c r="B10" s="63" t="str">
        <f>'SC-New (2)'!$C$7</f>
        <v>New</v>
      </c>
      <c r="C10" s="63" t="str">
        <f>'SC-New (2)'!$C$8</f>
        <v>Computer</v>
      </c>
      <c r="D10" s="63" t="s">
        <v>166</v>
      </c>
      <c r="E10" s="63" t="str">
        <f>'SC-New (2)'!$A$9</f>
        <v>Electronics</v>
      </c>
      <c r="F10" s="403">
        <f t="shared" si="1"/>
        <v>9.9264974994726762E-3</v>
      </c>
      <c r="G10" s="65">
        <f>'SC-New (2)'!A63</f>
        <v>68.243112182874043</v>
      </c>
      <c r="H10" s="65">
        <f>'SC-New (2)'!B63</f>
        <v>40.942640426147406</v>
      </c>
      <c r="I10" s="9" t="str">
        <f>'SC-New (2)'!C63</f>
        <v>Manufactured</v>
      </c>
      <c r="J10" s="9" t="str">
        <f>'SC-New (2)'!D63</f>
        <v>ENERGY STAR Desktops</v>
      </c>
      <c r="K10" s="36">
        <f ca="1">'SC-New (2)'!E63</f>
        <v>2.9087145927780651E-3</v>
      </c>
      <c r="L10" s="36">
        <f ca="1">'SC-New (2)'!F63</f>
        <v>4.2527267139649168E-3</v>
      </c>
      <c r="M10" s="36">
        <f ca="1">'SC-New (2)'!G63</f>
        <v>5.2874591546099095E-3</v>
      </c>
      <c r="N10" s="36">
        <f ca="1">'SC-New (2)'!H63</f>
        <v>6.039994485677414E-3</v>
      </c>
      <c r="O10" s="36">
        <f ca="1">'SC-New (2)'!I63</f>
        <v>6.1855488271433329E-3</v>
      </c>
      <c r="P10" s="36">
        <f ca="1">'SC-New (2)'!J63</f>
        <v>6.2221966693052346E-3</v>
      </c>
      <c r="Q10" s="36">
        <f ca="1">'SC-New (2)'!K63</f>
        <v>6.2696095432485423E-3</v>
      </c>
      <c r="R10" s="36">
        <f ca="1">'SC-New (2)'!L63</f>
        <v>6.2803674385327824E-3</v>
      </c>
      <c r="S10" s="36">
        <f ca="1">'SC-New (2)'!M63</f>
        <v>6.2684043365520909E-3</v>
      </c>
      <c r="T10" s="36">
        <f ca="1">'SC-New (2)'!N63</f>
        <v>6.2177037465379597E-3</v>
      </c>
      <c r="U10" s="36">
        <f ca="1">'SC-New (2)'!O63</f>
        <v>6.1269789198972989E-3</v>
      </c>
      <c r="V10" s="36">
        <f ca="1">'SC-New (2)'!P63</f>
        <v>6.0625558566595097E-3</v>
      </c>
      <c r="W10" s="36">
        <f ca="1">'SC-New (2)'!Q63</f>
        <v>6.0128580813334914E-3</v>
      </c>
      <c r="X10" s="36">
        <f ca="1">'SC-New (2)'!R63</f>
        <v>5.961079164650605E-3</v>
      </c>
      <c r="Y10" s="36">
        <f ca="1">'SC-New (2)'!S63</f>
        <v>5.9047445942348158E-3</v>
      </c>
      <c r="Z10" s="36">
        <f ca="1">'SC-New (2)'!T63</f>
        <v>5.8305710596528318E-3</v>
      </c>
      <c r="AA10" s="36">
        <f ca="1">'SC-New (2)'!U63</f>
        <v>5.7553863393039134E-3</v>
      </c>
      <c r="AB10" s="36">
        <f ca="1">'SC-New (2)'!V63</f>
        <v>5.6847928831104053E-3</v>
      </c>
      <c r="AC10" s="36">
        <f ca="1">'SC-New (2)'!W63</f>
        <v>5.6152710744563038E-3</v>
      </c>
      <c r="AD10" s="36">
        <f ca="1">'SC-New (2)'!X63</f>
        <v>5.6159338286016856E-3</v>
      </c>
      <c r="AE10" s="36">
        <f ca="1">'SC-New (2)'!Y63</f>
        <v>0.11450289731025114</v>
      </c>
      <c r="AF10" s="404">
        <f t="shared" si="2"/>
        <v>3.1598767626640925</v>
      </c>
      <c r="AG10" s="404">
        <f t="shared" si="3"/>
        <v>2.8127261832766339</v>
      </c>
      <c r="AH10" s="404">
        <f t="shared" si="4"/>
        <v>3.2742343488808552</v>
      </c>
      <c r="AI10" s="404">
        <f t="shared" si="5"/>
        <v>3.6988773154737404</v>
      </c>
      <c r="AJ10" s="404">
        <f t="shared" si="6"/>
        <v>3.9368363329781544</v>
      </c>
      <c r="AK10" s="404">
        <f t="shared" si="7"/>
        <v>3.4494410997694311</v>
      </c>
      <c r="AL10" s="404">
        <f t="shared" si="8"/>
        <v>3.4650295415446108</v>
      </c>
      <c r="AM10" s="404">
        <f t="shared" si="9"/>
        <v>3.4535010801942221</v>
      </c>
      <c r="AN10" s="404">
        <f t="shared" si="10"/>
        <v>3.194669919735571</v>
      </c>
      <c r="AO10" s="404">
        <f t="shared" si="11"/>
        <v>3.3944170546579295</v>
      </c>
      <c r="AP10" s="404">
        <f t="shared" si="12"/>
        <v>3.3719273378323549</v>
      </c>
      <c r="AQ10" s="404">
        <f t="shared" si="13"/>
        <v>3.75936450132297</v>
      </c>
      <c r="AR10" s="404"/>
      <c r="AS10" s="404">
        <f t="shared" si="14"/>
        <v>2.0599232374814878</v>
      </c>
      <c r="AT10" s="404">
        <f t="shared" si="15"/>
        <v>1.84723883420545</v>
      </c>
      <c r="AU10" s="404">
        <f t="shared" si="16"/>
        <v>1.8815472154761894</v>
      </c>
      <c r="AV10" s="404">
        <f t="shared" si="17"/>
        <v>2.5816529101948102</v>
      </c>
      <c r="AW10" s="404">
        <f t="shared" si="18"/>
        <v>2.8027837054323852</v>
      </c>
      <c r="AX10" s="404">
        <f t="shared" si="19"/>
        <v>2.2485983032821681</v>
      </c>
      <c r="AY10" s="404">
        <f t="shared" si="20"/>
        <v>2.6449213050718057</v>
      </c>
      <c r="AZ10" s="404">
        <f t="shared" si="21"/>
        <v>1.8775024247019763</v>
      </c>
      <c r="BA10" s="404">
        <f t="shared" si="22"/>
        <v>2.2673141410859179</v>
      </c>
      <c r="BB10" s="404">
        <f t="shared" si="23"/>
        <v>1.9448282299410675</v>
      </c>
      <c r="BC10" s="404">
        <f t="shared" si="24"/>
        <v>2.4618079867507596</v>
      </c>
      <c r="BD10" s="404">
        <f t="shared" si="25"/>
        <v>2.6540924109194575</v>
      </c>
    </row>
    <row r="11" spans="1:56" ht="15">
      <c r="A11" s="63" t="str">
        <f>VLOOKUP(CONCATENATE($C11," - ",$B11),[2]ACHIEV!$B$12:$C$100,2,FALSE)</f>
        <v>LO50Fast</v>
      </c>
      <c r="B11" s="63" t="str">
        <f>'SC-New (2)'!$C$7</f>
        <v>New</v>
      </c>
      <c r="C11" s="63" t="str">
        <f>'SC-New (2)'!$C$8</f>
        <v>Computer</v>
      </c>
      <c r="D11" s="63" t="s">
        <v>166</v>
      </c>
      <c r="E11" s="63" t="str">
        <f>'SC-New (2)'!$A$9</f>
        <v>Electronics</v>
      </c>
      <c r="F11" s="403">
        <f t="shared" si="1"/>
        <v>2.8683254077609358E-3</v>
      </c>
      <c r="G11" s="65">
        <f>'SC-New (2)'!A64</f>
        <v>19.719286947809731</v>
      </c>
      <c r="H11" s="65">
        <f>'SC-New (2)'!B64</f>
        <v>825.16686960542836</v>
      </c>
      <c r="I11" s="9" t="str">
        <f>'SC-New (2)'!C64</f>
        <v>Single Family</v>
      </c>
      <c r="J11" s="9" t="str">
        <f>'SC-New (2)'!D64</f>
        <v>ENERGY STAR Laptops</v>
      </c>
      <c r="K11" s="36">
        <f ca="1">'SC-New (2)'!E64</f>
        <v>1.347714670027087E-2</v>
      </c>
      <c r="L11" s="36">
        <f ca="1">'SC-New (2)'!F64</f>
        <v>2.0774028808482628E-2</v>
      </c>
      <c r="M11" s="36">
        <f ca="1">'SC-New (2)'!G64</f>
        <v>2.601154846515763E-2</v>
      </c>
      <c r="N11" s="36">
        <f ca="1">'SC-New (2)'!H64</f>
        <v>3.03045325223339E-2</v>
      </c>
      <c r="O11" s="36">
        <f ca="1">'SC-New (2)'!I64</f>
        <v>3.3859235057643815E-2</v>
      </c>
      <c r="P11" s="36">
        <f ca="1">'SC-New (2)'!J64</f>
        <v>3.3315049087328096E-2</v>
      </c>
      <c r="Q11" s="36">
        <f ca="1">'SC-New (2)'!K64</f>
        <v>3.2866253300369075E-2</v>
      </c>
      <c r="R11" s="36">
        <f ca="1">'SC-New (2)'!L64</f>
        <v>3.2925228701053529E-2</v>
      </c>
      <c r="S11" s="36">
        <f ca="1">'SC-New (2)'!M64</f>
        <v>3.268995171194343E-2</v>
      </c>
      <c r="T11" s="36">
        <f ca="1">'SC-New (2)'!N64</f>
        <v>3.3334457776747366E-2</v>
      </c>
      <c r="U11" s="36">
        <f ca="1">'SC-New (2)'!O64</f>
        <v>3.3616362610843407E-2</v>
      </c>
      <c r="V11" s="36">
        <f ca="1">'SC-New (2)'!P64</f>
        <v>3.3228606592225457E-2</v>
      </c>
      <c r="W11" s="36">
        <f ca="1">'SC-New (2)'!Q64</f>
        <v>3.238966296451562E-2</v>
      </c>
      <c r="X11" s="36">
        <f ca="1">'SC-New (2)'!R64</f>
        <v>3.2464198954037966E-2</v>
      </c>
      <c r="Y11" s="36">
        <f ca="1">'SC-New (2)'!S64</f>
        <v>3.2884392248808812E-2</v>
      </c>
      <c r="Z11" s="36">
        <f ca="1">'SC-New (2)'!T64</f>
        <v>3.2789468074190489E-2</v>
      </c>
      <c r="AA11" s="36">
        <f ca="1">'SC-New (2)'!U64</f>
        <v>3.174860805332886E-2</v>
      </c>
      <c r="AB11" s="36">
        <f ca="1">'SC-New (2)'!V64</f>
        <v>3.1738050579174143E-2</v>
      </c>
      <c r="AC11" s="36">
        <f ca="1">'SC-New (2)'!W64</f>
        <v>3.1862535905457012E-2</v>
      </c>
      <c r="AD11" s="36">
        <f ca="1">'SC-New (2)'!X64</f>
        <v>3.2078846752608185E-2</v>
      </c>
      <c r="AE11" s="36">
        <f ca="1">'SC-New (2)'!Y64</f>
        <v>0.61435816486652028</v>
      </c>
      <c r="AF11" s="404">
        <f t="shared" si="2"/>
        <v>0.91306674929644316</v>
      </c>
      <c r="AG11" s="404">
        <f t="shared" si="3"/>
        <v>0.81275535273095034</v>
      </c>
      <c r="AH11" s="404">
        <f t="shared" si="4"/>
        <v>0.94611111062662823</v>
      </c>
      <c r="AI11" s="404">
        <f t="shared" si="5"/>
        <v>1.0688144317497186</v>
      </c>
      <c r="AJ11" s="404">
        <f t="shared" si="6"/>
        <v>1.1375742230003585</v>
      </c>
      <c r="AK11" s="404">
        <f t="shared" si="7"/>
        <v>0.99673823013294338</v>
      </c>
      <c r="AL11" s="404">
        <f t="shared" si="8"/>
        <v>1.0012426108184296</v>
      </c>
      <c r="AM11" s="404">
        <f t="shared" si="9"/>
        <v>0.99791138763467646</v>
      </c>
      <c r="AN11" s="404">
        <f t="shared" si="10"/>
        <v>0.92312045620057936</v>
      </c>
      <c r="AO11" s="404">
        <f t="shared" si="11"/>
        <v>0.9808386777843443</v>
      </c>
      <c r="AP11" s="404">
        <f t="shared" si="12"/>
        <v>0.97434012920892066</v>
      </c>
      <c r="AQ11" s="404">
        <f t="shared" si="13"/>
        <v>1.0862925938128754</v>
      </c>
      <c r="AR11" s="404"/>
      <c r="AS11" s="404">
        <f t="shared" si="14"/>
        <v>0.5952280913201452</v>
      </c>
      <c r="AT11" s="404">
        <f t="shared" si="15"/>
        <v>0.53377156269224402</v>
      </c>
      <c r="AU11" s="404">
        <f t="shared" si="16"/>
        <v>0.54368519050540154</v>
      </c>
      <c r="AV11" s="404">
        <f t="shared" si="17"/>
        <v>0.7459852416952818</v>
      </c>
      <c r="AW11" s="404">
        <f t="shared" si="18"/>
        <v>0.8098824096996069</v>
      </c>
      <c r="AX11" s="404">
        <f t="shared" si="19"/>
        <v>0.64974696719512592</v>
      </c>
      <c r="AY11" s="404">
        <f t="shared" si="20"/>
        <v>0.7642670520260233</v>
      </c>
      <c r="AZ11" s="404">
        <f t="shared" si="21"/>
        <v>0.54251642215106821</v>
      </c>
      <c r="BA11" s="404">
        <f t="shared" si="22"/>
        <v>0.65515502911252232</v>
      </c>
      <c r="BB11" s="404">
        <f t="shared" si="23"/>
        <v>0.56197064734736812</v>
      </c>
      <c r="BC11" s="404">
        <f t="shared" si="24"/>
        <v>0.71135527891898587</v>
      </c>
      <c r="BD11" s="404">
        <f t="shared" si="25"/>
        <v>0.76691710214908848</v>
      </c>
    </row>
    <row r="12" spans="1:56" ht="15">
      <c r="A12" s="63" t="str">
        <f>VLOOKUP(CONCATENATE($C12," - ",$B12),[2]ACHIEV!$B$12:$C$100,2,FALSE)</f>
        <v>LO50Fast</v>
      </c>
      <c r="B12" s="63" t="str">
        <f>'SC-New (2)'!$C$7</f>
        <v>New</v>
      </c>
      <c r="C12" s="63" t="str">
        <f>'SC-New (2)'!$C$8</f>
        <v>Computer</v>
      </c>
      <c r="D12" s="63" t="s">
        <v>166</v>
      </c>
      <c r="E12" s="63" t="str">
        <f>'SC-New (2)'!$A$9</f>
        <v>Electronics</v>
      </c>
      <c r="F12" s="403">
        <f t="shared" si="1"/>
        <v>2.8683254077609358E-3</v>
      </c>
      <c r="G12" s="65">
        <f>'SC-New (2)'!A65</f>
        <v>19.719286947809731</v>
      </c>
      <c r="H12" s="65">
        <f>'SC-New (2)'!B65</f>
        <v>825.16686960542836</v>
      </c>
      <c r="I12" s="9" t="str">
        <f>'SC-New (2)'!C65</f>
        <v>Multifamily - Low Rise</v>
      </c>
      <c r="J12" s="9" t="str">
        <f>'SC-New (2)'!D65</f>
        <v>ENERGY STAR Laptops</v>
      </c>
      <c r="K12" s="36">
        <f ca="1">'SC-New (2)'!E65</f>
        <v>1.9270363292926307E-3</v>
      </c>
      <c r="L12" s="36">
        <f ca="1">'SC-New (2)'!F65</f>
        <v>3.0702532254066627E-3</v>
      </c>
      <c r="M12" s="36">
        <f ca="1">'SC-New (2)'!G65</f>
        <v>4.019621734416565E-3</v>
      </c>
      <c r="N12" s="36">
        <f ca="1">'SC-New (2)'!H65</f>
        <v>4.6865002300099361E-3</v>
      </c>
      <c r="O12" s="36">
        <f ca="1">'SC-New (2)'!I65</f>
        <v>5.071892426756386E-3</v>
      </c>
      <c r="P12" s="36">
        <f ca="1">'SC-New (2)'!J65</f>
        <v>5.0494952009890286E-3</v>
      </c>
      <c r="Q12" s="36">
        <f ca="1">'SC-New (2)'!K65</f>
        <v>5.0776537914511448E-3</v>
      </c>
      <c r="R12" s="36">
        <f ca="1">'SC-New (2)'!L65</f>
        <v>5.2062493645269351E-3</v>
      </c>
      <c r="S12" s="36">
        <f ca="1">'SC-New (2)'!M65</f>
        <v>5.3499697046451291E-3</v>
      </c>
      <c r="T12" s="36">
        <f ca="1">'SC-New (2)'!N65</f>
        <v>5.5058774064320158E-3</v>
      </c>
      <c r="U12" s="36">
        <f ca="1">'SC-New (2)'!O65</f>
        <v>5.5369534350486731E-3</v>
      </c>
      <c r="V12" s="36">
        <f ca="1">'SC-New (2)'!P65</f>
        <v>5.545788850597937E-3</v>
      </c>
      <c r="W12" s="36">
        <f ca="1">'SC-New (2)'!Q65</f>
        <v>5.5617576845751557E-3</v>
      </c>
      <c r="X12" s="36">
        <f ca="1">'SC-New (2)'!R65</f>
        <v>5.5081618619598699E-3</v>
      </c>
      <c r="Y12" s="36">
        <f ca="1">'SC-New (2)'!S65</f>
        <v>5.4486258004947941E-3</v>
      </c>
      <c r="Z12" s="36">
        <f ca="1">'SC-New (2)'!T65</f>
        <v>5.3445355394136501E-3</v>
      </c>
      <c r="AA12" s="36">
        <f ca="1">'SC-New (2)'!U65</f>
        <v>5.2606832344717844E-3</v>
      </c>
      <c r="AB12" s="36">
        <f ca="1">'SC-New (2)'!V65</f>
        <v>5.2011626360419132E-3</v>
      </c>
      <c r="AC12" s="36">
        <f ca="1">'SC-New (2)'!W65</f>
        <v>5.1080559359758092E-3</v>
      </c>
      <c r="AD12" s="36">
        <f ca="1">'SC-New (2)'!X65</f>
        <v>5.0887317661644955E-3</v>
      </c>
      <c r="AE12" s="36">
        <f ca="1">'SC-New (2)'!Y65</f>
        <v>9.8569006158670522E-2</v>
      </c>
      <c r="AF12" s="404">
        <f t="shared" si="2"/>
        <v>0.91306674929644316</v>
      </c>
      <c r="AG12" s="404">
        <f t="shared" si="3"/>
        <v>0.81275535273095034</v>
      </c>
      <c r="AH12" s="404">
        <f t="shared" si="4"/>
        <v>0.94611111062662823</v>
      </c>
      <c r="AI12" s="404">
        <f t="shared" si="5"/>
        <v>1.0688144317497186</v>
      </c>
      <c r="AJ12" s="404">
        <f t="shared" si="6"/>
        <v>1.1375742230003585</v>
      </c>
      <c r="AK12" s="404">
        <f t="shared" si="7"/>
        <v>0.99673823013294338</v>
      </c>
      <c r="AL12" s="404">
        <f t="shared" si="8"/>
        <v>1.0012426108184296</v>
      </c>
      <c r="AM12" s="404">
        <f t="shared" si="9"/>
        <v>0.99791138763467646</v>
      </c>
      <c r="AN12" s="404">
        <f t="shared" si="10"/>
        <v>0.92312045620057936</v>
      </c>
      <c r="AO12" s="404">
        <f t="shared" si="11"/>
        <v>0.9808386777843443</v>
      </c>
      <c r="AP12" s="404">
        <f t="shared" si="12"/>
        <v>0.97434012920892066</v>
      </c>
      <c r="AQ12" s="404">
        <f t="shared" si="13"/>
        <v>1.0862925938128754</v>
      </c>
      <c r="AR12" s="404"/>
      <c r="AS12" s="404">
        <f t="shared" si="14"/>
        <v>0.5952280913201452</v>
      </c>
      <c r="AT12" s="404">
        <f t="shared" si="15"/>
        <v>0.53377156269224402</v>
      </c>
      <c r="AU12" s="404">
        <f t="shared" si="16"/>
        <v>0.54368519050540154</v>
      </c>
      <c r="AV12" s="404">
        <f t="shared" si="17"/>
        <v>0.7459852416952818</v>
      </c>
      <c r="AW12" s="404">
        <f t="shared" si="18"/>
        <v>0.8098824096996069</v>
      </c>
      <c r="AX12" s="404">
        <f t="shared" si="19"/>
        <v>0.64974696719512592</v>
      </c>
      <c r="AY12" s="404">
        <f t="shared" si="20"/>
        <v>0.7642670520260233</v>
      </c>
      <c r="AZ12" s="404">
        <f t="shared" si="21"/>
        <v>0.54251642215106821</v>
      </c>
      <c r="BA12" s="404">
        <f t="shared" si="22"/>
        <v>0.65515502911252232</v>
      </c>
      <c r="BB12" s="404">
        <f t="shared" si="23"/>
        <v>0.56197064734736812</v>
      </c>
      <c r="BC12" s="404">
        <f t="shared" si="24"/>
        <v>0.71135527891898587</v>
      </c>
      <c r="BD12" s="404">
        <f t="shared" si="25"/>
        <v>0.76691710214908848</v>
      </c>
    </row>
    <row r="13" spans="1:56" ht="15">
      <c r="A13" s="63" t="str">
        <f>VLOOKUP(CONCATENATE($C13," - ",$B13),[2]ACHIEV!$B$12:$C$100,2,FALSE)</f>
        <v>LO50Fast</v>
      </c>
      <c r="B13" s="63" t="str">
        <f>'SC-New (2)'!$C$7</f>
        <v>New</v>
      </c>
      <c r="C13" s="63" t="str">
        <f>'SC-New (2)'!$C$8</f>
        <v>Computer</v>
      </c>
      <c r="D13" s="63" t="s">
        <v>166</v>
      </c>
      <c r="E13" s="63" t="str">
        <f>'SC-New (2)'!$A$9</f>
        <v>Electronics</v>
      </c>
      <c r="F13" s="403">
        <f t="shared" si="1"/>
        <v>2.8683254077609358E-3</v>
      </c>
      <c r="G13" s="65">
        <f>'SC-New (2)'!A66</f>
        <v>19.719286947809731</v>
      </c>
      <c r="H13" s="65">
        <f>'SC-New (2)'!B66</f>
        <v>825.16686960542836</v>
      </c>
      <c r="I13" s="9" t="str">
        <f>'SC-New (2)'!C66</f>
        <v>Multifamily - High Rise</v>
      </c>
      <c r="J13" s="9" t="str">
        <f>'SC-New (2)'!D66</f>
        <v>ENERGY STAR Laptops</v>
      </c>
      <c r="K13" s="36">
        <f ca="1">'SC-New (2)'!E66</f>
        <v>4.3260316850572835E-4</v>
      </c>
      <c r="L13" s="36">
        <f ca="1">'SC-New (2)'!F66</f>
        <v>6.9894820161239043E-4</v>
      </c>
      <c r="M13" s="36">
        <f ca="1">'SC-New (2)'!G66</f>
        <v>9.2884622175992161E-4</v>
      </c>
      <c r="N13" s="36">
        <f ca="1">'SC-New (2)'!H66</f>
        <v>1.0579748658683156E-3</v>
      </c>
      <c r="O13" s="36">
        <f ca="1">'SC-New (2)'!I66</f>
        <v>1.1227996375896827E-3</v>
      </c>
      <c r="P13" s="36">
        <f ca="1">'SC-New (2)'!J66</f>
        <v>1.1345827840766255E-3</v>
      </c>
      <c r="Q13" s="36">
        <f ca="1">'SC-New (2)'!K66</f>
        <v>1.1442588743724733E-3</v>
      </c>
      <c r="R13" s="36">
        <f ca="1">'SC-New (2)'!L66</f>
        <v>1.1878221560555123E-3</v>
      </c>
      <c r="S13" s="36">
        <f ca="1">'SC-New (2)'!M66</f>
        <v>1.2120311032865468E-3</v>
      </c>
      <c r="T13" s="36">
        <f ca="1">'SC-New (2)'!N66</f>
        <v>1.2472213568731981E-3</v>
      </c>
      <c r="U13" s="36">
        <f ca="1">'SC-New (2)'!O66</f>
        <v>1.2391622764980344E-3</v>
      </c>
      <c r="V13" s="36">
        <f ca="1">'SC-New (2)'!P66</f>
        <v>1.2387384927824126E-3</v>
      </c>
      <c r="W13" s="36">
        <f ca="1">'SC-New (2)'!Q66</f>
        <v>1.2315887676677567E-3</v>
      </c>
      <c r="X13" s="36">
        <f ca="1">'SC-New (2)'!R66</f>
        <v>1.2292763902496217E-3</v>
      </c>
      <c r="Y13" s="36">
        <f ca="1">'SC-New (2)'!S66</f>
        <v>1.2217822473739202E-3</v>
      </c>
      <c r="Z13" s="36">
        <f ca="1">'SC-New (2)'!T66</f>
        <v>1.197592624283806E-3</v>
      </c>
      <c r="AA13" s="36">
        <f ca="1">'SC-New (2)'!U66</f>
        <v>1.1802175283298936E-3</v>
      </c>
      <c r="AB13" s="36">
        <f ca="1">'SC-New (2)'!V66</f>
        <v>1.1546271206159416E-3</v>
      </c>
      <c r="AC13" s="36">
        <f ca="1">'SC-New (2)'!W66</f>
        <v>1.1518066332219178E-3</v>
      </c>
      <c r="AD13" s="36">
        <f ca="1">'SC-New (2)'!X66</f>
        <v>1.1465593548257483E-3</v>
      </c>
      <c r="AE13" s="36">
        <f ca="1">'SC-New (2)'!Y66</f>
        <v>2.2158439805849448E-2</v>
      </c>
      <c r="AF13" s="404">
        <f t="shared" si="2"/>
        <v>0.91306674929644316</v>
      </c>
      <c r="AG13" s="404">
        <f t="shared" si="3"/>
        <v>0.81275535273095034</v>
      </c>
      <c r="AH13" s="404">
        <f t="shared" si="4"/>
        <v>0.94611111062662823</v>
      </c>
      <c r="AI13" s="404">
        <f t="shared" si="5"/>
        <v>1.0688144317497186</v>
      </c>
      <c r="AJ13" s="404">
        <f t="shared" si="6"/>
        <v>1.1375742230003585</v>
      </c>
      <c r="AK13" s="404">
        <f t="shared" si="7"/>
        <v>0.99673823013294338</v>
      </c>
      <c r="AL13" s="404">
        <f t="shared" si="8"/>
        <v>1.0012426108184296</v>
      </c>
      <c r="AM13" s="404">
        <f t="shared" si="9"/>
        <v>0.99791138763467646</v>
      </c>
      <c r="AN13" s="404">
        <f t="shared" si="10"/>
        <v>0.92312045620057936</v>
      </c>
      <c r="AO13" s="404">
        <f t="shared" si="11"/>
        <v>0.9808386777843443</v>
      </c>
      <c r="AP13" s="404">
        <f t="shared" si="12"/>
        <v>0.97434012920892066</v>
      </c>
      <c r="AQ13" s="404">
        <f t="shared" si="13"/>
        <v>1.0862925938128754</v>
      </c>
      <c r="AR13" s="404"/>
      <c r="AS13" s="404">
        <f t="shared" si="14"/>
        <v>0.5952280913201452</v>
      </c>
      <c r="AT13" s="404">
        <f t="shared" si="15"/>
        <v>0.53377156269224402</v>
      </c>
      <c r="AU13" s="404">
        <f t="shared" si="16"/>
        <v>0.54368519050540154</v>
      </c>
      <c r="AV13" s="404">
        <f t="shared" si="17"/>
        <v>0.7459852416952818</v>
      </c>
      <c r="AW13" s="404">
        <f t="shared" si="18"/>
        <v>0.8098824096996069</v>
      </c>
      <c r="AX13" s="404">
        <f t="shared" si="19"/>
        <v>0.64974696719512592</v>
      </c>
      <c r="AY13" s="404">
        <f t="shared" si="20"/>
        <v>0.7642670520260233</v>
      </c>
      <c r="AZ13" s="404">
        <f t="shared" si="21"/>
        <v>0.54251642215106821</v>
      </c>
      <c r="BA13" s="404">
        <f t="shared" si="22"/>
        <v>0.65515502911252232</v>
      </c>
      <c r="BB13" s="404">
        <f t="shared" si="23"/>
        <v>0.56197064734736812</v>
      </c>
      <c r="BC13" s="404">
        <f t="shared" si="24"/>
        <v>0.71135527891898587</v>
      </c>
      <c r="BD13" s="404">
        <f t="shared" si="25"/>
        <v>0.76691710214908848</v>
      </c>
    </row>
    <row r="14" spans="1:56" ht="15">
      <c r="A14" s="63" t="str">
        <f>VLOOKUP(CONCATENATE($C14," - ",$B14),[2]ACHIEV!$B$12:$C$100,2,FALSE)</f>
        <v>LO50Fast</v>
      </c>
      <c r="B14" s="63" t="str">
        <f>'SC-New (2)'!$C$7</f>
        <v>New</v>
      </c>
      <c r="C14" s="63" t="str">
        <f>'SC-New (2)'!$C$8</f>
        <v>Computer</v>
      </c>
      <c r="D14" s="63" t="s">
        <v>166</v>
      </c>
      <c r="E14" s="63" t="str">
        <f>'SC-New (2)'!$A$9</f>
        <v>Electronics</v>
      </c>
      <c r="F14" s="403">
        <f t="shared" si="1"/>
        <v>2.8683254077609358E-3</v>
      </c>
      <c r="G14" s="65">
        <f>'SC-New (2)'!A67</f>
        <v>19.719286947809731</v>
      </c>
      <c r="H14" s="65">
        <f>'SC-New (2)'!B67</f>
        <v>825.16686960542836</v>
      </c>
      <c r="I14" s="9" t="str">
        <f>'SC-New (2)'!C67</f>
        <v>Manufactured</v>
      </c>
      <c r="J14" s="9" t="str">
        <f>'SC-New (2)'!D67</f>
        <v>ENERGY STAR Laptops</v>
      </c>
      <c r="K14" s="36">
        <f ca="1">'SC-New (2)'!E67</f>
        <v>2.4615437053516413E-4</v>
      </c>
      <c r="L14" s="36">
        <f ca="1">'SC-New (2)'!F67</f>
        <v>3.9925863284195618E-4</v>
      </c>
      <c r="M14" s="36">
        <f ca="1">'SC-New (2)'!G67</f>
        <v>5.4630489553482355E-4</v>
      </c>
      <c r="N14" s="36">
        <f ca="1">'SC-New (2)'!H67</f>
        <v>6.8219077263796158E-4</v>
      </c>
      <c r="O14" s="36">
        <f ca="1">'SC-New (2)'!I67</f>
        <v>7.5935494727943724E-4</v>
      </c>
      <c r="P14" s="36">
        <f ca="1">'SC-New (2)'!J67</f>
        <v>7.7178354873306306E-4</v>
      </c>
      <c r="Q14" s="36">
        <f ca="1">'SC-New (2)'!K67</f>
        <v>7.8580120195338428E-4</v>
      </c>
      <c r="R14" s="36">
        <f ca="1">'SC-New (2)'!L67</f>
        <v>7.9545119360323866E-4</v>
      </c>
      <c r="S14" s="36">
        <f ca="1">'SC-New (2)'!M67</f>
        <v>8.0237675730269044E-4</v>
      </c>
      <c r="T14" s="36">
        <f ca="1">'SC-New (2)'!N67</f>
        <v>8.0441744415851832E-4</v>
      </c>
      <c r="U14" s="36">
        <f ca="1">'SC-New (2)'!O67</f>
        <v>8.012461271356304E-4</v>
      </c>
      <c r="V14" s="36">
        <f ca="1">'SC-New (2)'!P67</f>
        <v>8.0146053358573185E-4</v>
      </c>
      <c r="W14" s="36">
        <f ca="1">'SC-New (2)'!Q67</f>
        <v>8.0362541848512327E-4</v>
      </c>
      <c r="X14" s="36">
        <f ca="1">'SC-New (2)'!R67</f>
        <v>8.0553460548053897E-4</v>
      </c>
      <c r="Y14" s="36">
        <f ca="1">'SC-New (2)'!S67</f>
        <v>8.0684129784347437E-4</v>
      </c>
      <c r="Z14" s="36">
        <f ca="1">'SC-New (2)'!T67</f>
        <v>8.0756107352636928E-4</v>
      </c>
      <c r="AA14" s="36">
        <f ca="1">'SC-New (2)'!U67</f>
        <v>8.0812791161691429E-4</v>
      </c>
      <c r="AB14" s="36">
        <f ca="1">'SC-New (2)'!V67</f>
        <v>8.0933307790002917E-4</v>
      </c>
      <c r="AC14" s="36">
        <f ca="1">'SC-New (2)'!W67</f>
        <v>8.1069547038172267E-4</v>
      </c>
      <c r="AD14" s="36">
        <f ca="1">'SC-New (2)'!X67</f>
        <v>8.1079115441487363E-4</v>
      </c>
      <c r="AE14" s="36">
        <f ca="1">'SC-New (2)'!Y67</f>
        <v>1.4658310434950646E-2</v>
      </c>
      <c r="AF14" s="404">
        <f t="shared" si="2"/>
        <v>0.91306674929644316</v>
      </c>
      <c r="AG14" s="404">
        <f t="shared" si="3"/>
        <v>0.81275535273095034</v>
      </c>
      <c r="AH14" s="404">
        <f t="shared" si="4"/>
        <v>0.94611111062662823</v>
      </c>
      <c r="AI14" s="404">
        <f t="shared" si="5"/>
        <v>1.0688144317497186</v>
      </c>
      <c r="AJ14" s="404">
        <f t="shared" si="6"/>
        <v>1.1375742230003585</v>
      </c>
      <c r="AK14" s="404">
        <f t="shared" si="7"/>
        <v>0.99673823013294338</v>
      </c>
      <c r="AL14" s="404">
        <f t="shared" si="8"/>
        <v>1.0012426108184296</v>
      </c>
      <c r="AM14" s="404">
        <f t="shared" si="9"/>
        <v>0.99791138763467646</v>
      </c>
      <c r="AN14" s="404">
        <f t="shared" si="10"/>
        <v>0.92312045620057936</v>
      </c>
      <c r="AO14" s="404">
        <f t="shared" si="11"/>
        <v>0.9808386777843443</v>
      </c>
      <c r="AP14" s="404">
        <f t="shared" si="12"/>
        <v>0.97434012920892066</v>
      </c>
      <c r="AQ14" s="404">
        <f t="shared" si="13"/>
        <v>1.0862925938128754</v>
      </c>
      <c r="AR14" s="404"/>
      <c r="AS14" s="404">
        <f t="shared" si="14"/>
        <v>0.5952280913201452</v>
      </c>
      <c r="AT14" s="404">
        <f t="shared" si="15"/>
        <v>0.53377156269224402</v>
      </c>
      <c r="AU14" s="404">
        <f t="shared" si="16"/>
        <v>0.54368519050540154</v>
      </c>
      <c r="AV14" s="404">
        <f t="shared" si="17"/>
        <v>0.7459852416952818</v>
      </c>
      <c r="AW14" s="404">
        <f t="shared" si="18"/>
        <v>0.8098824096996069</v>
      </c>
      <c r="AX14" s="404">
        <f t="shared" si="19"/>
        <v>0.64974696719512592</v>
      </c>
      <c r="AY14" s="404">
        <f t="shared" si="20"/>
        <v>0.7642670520260233</v>
      </c>
      <c r="AZ14" s="404">
        <f t="shared" si="21"/>
        <v>0.54251642215106821</v>
      </c>
      <c r="BA14" s="404">
        <f t="shared" si="22"/>
        <v>0.65515502911252232</v>
      </c>
      <c r="BB14" s="404">
        <f t="shared" si="23"/>
        <v>0.56197064734736812</v>
      </c>
      <c r="BC14" s="404">
        <f t="shared" si="24"/>
        <v>0.71135527891898587</v>
      </c>
      <c r="BD14" s="404">
        <f t="shared" si="25"/>
        <v>0.76691710214908848</v>
      </c>
    </row>
    <row r="15" spans="1:56" ht="15">
      <c r="A15" s="63" t="str">
        <f>VLOOKUP(CONCATENATE($C15," - ",$B15),[2]ACHIEV!$B$12:$C$100,2,FALSE)</f>
        <v>LO50Fast</v>
      </c>
      <c r="B15" s="63" t="str">
        <f>'SC-NR'!$C$7</f>
        <v>NR</v>
      </c>
      <c r="C15" s="63" t="str">
        <f>'SC-NR'!$C$8</f>
        <v>Monitor</v>
      </c>
      <c r="D15" s="63" t="s">
        <v>166</v>
      </c>
      <c r="E15" s="63" t="str">
        <f>'SC-NR'!$A$9</f>
        <v>Electronics</v>
      </c>
      <c r="F15" s="403">
        <f t="shared" si="1"/>
        <v>6.5680040394164047E-3</v>
      </c>
      <c r="G15" s="65">
        <f>'SC-NR'!A77</f>
        <v>31.923177973133928</v>
      </c>
      <c r="H15" s="65">
        <f>'SC-NR'!B77</f>
        <v>49.286628448437469</v>
      </c>
      <c r="I15" t="str">
        <f>'SC-NR'!D77</f>
        <v>Single Family</v>
      </c>
      <c r="J15" s="9" t="str">
        <f>'SC-NR'!E77</f>
        <v>ENERGY STAR Monitors</v>
      </c>
      <c r="K15" s="48">
        <f ca="1">'SC-NR'!F77</f>
        <v>0.51600687469454165</v>
      </c>
      <c r="L15" s="48">
        <f ca="1">'SC-NR'!G77</f>
        <v>0.74676666660525159</v>
      </c>
      <c r="M15" s="48">
        <f ca="1">'SC-NR'!H77</f>
        <v>0.89306474928203627</v>
      </c>
      <c r="N15" s="48">
        <f ca="1">'SC-NR'!I77</f>
        <v>0.98019689599363402</v>
      </c>
      <c r="O15" s="48">
        <f ca="1">'SC-NR'!J77</f>
        <v>1.0317572615837565</v>
      </c>
      <c r="P15" s="48">
        <f ca="1">'SC-NR'!K77</f>
        <v>1.1159688401603571</v>
      </c>
      <c r="Q15" s="48">
        <f ca="1">'SC-NR'!L77</f>
        <v>1.1075289537795732</v>
      </c>
      <c r="R15" s="48">
        <f ca="1">'SC-NR'!M77</f>
        <v>1.0922958949838195</v>
      </c>
      <c r="S15" s="48">
        <f ca="1">'SC-NR'!N77</f>
        <v>1.0762761101081664</v>
      </c>
      <c r="T15" s="48">
        <f ca="1">'SC-NR'!O77</f>
        <v>1.060258203445289</v>
      </c>
      <c r="U15" s="48">
        <f ca="1">'SC-NR'!P77</f>
        <v>1.0438483092786519</v>
      </c>
      <c r="V15" s="48">
        <f ca="1">'SC-NR'!Q77</f>
        <v>1.0288061938764828</v>
      </c>
      <c r="W15" s="48">
        <f ca="1">'SC-NR'!R77</f>
        <v>1.0150306373584641</v>
      </c>
      <c r="X15" s="48">
        <f ca="1">'SC-NR'!S77</f>
        <v>1.0012965317955791</v>
      </c>
      <c r="Y15" s="48">
        <f ca="1">'SC-NR'!T77</f>
        <v>0.98886083099607003</v>
      </c>
      <c r="Z15" s="48">
        <f ca="1">'SC-NR'!U77</f>
        <v>0.97619853361655962</v>
      </c>
      <c r="AA15" s="48">
        <f ca="1">'SC-NR'!V77</f>
        <v>0.96295193193829787</v>
      </c>
      <c r="AB15" s="48">
        <f ca="1">'SC-NR'!W77</f>
        <v>0.94939206815598454</v>
      </c>
      <c r="AC15" s="48">
        <f ca="1">'SC-NR'!X77</f>
        <v>0.93708158909091543</v>
      </c>
      <c r="AD15" s="48">
        <f ca="1">'SC-NR'!Y77</f>
        <v>0.92533414641650846</v>
      </c>
      <c r="AE15" s="48">
        <f ca="1">'SC-NR'!Z77</f>
        <v>5.0377592338932056</v>
      </c>
      <c r="AF15" s="404">
        <f t="shared" si="2"/>
        <v>2.3985249402326483</v>
      </c>
      <c r="AG15" s="404">
        <f t="shared" si="3"/>
        <v>1.9986503596346596</v>
      </c>
      <c r="AH15" s="404">
        <f t="shared" si="4"/>
        <v>2.1279992687755698</v>
      </c>
      <c r="AI15" s="404">
        <f t="shared" si="5"/>
        <v>1.4484143731435781</v>
      </c>
      <c r="AJ15" s="404">
        <f t="shared" si="6"/>
        <v>1.8148349868441274</v>
      </c>
      <c r="AK15" s="404">
        <f t="shared" si="7"/>
        <v>1.4118423652458438</v>
      </c>
      <c r="AL15" s="404">
        <f t="shared" si="8"/>
        <v>1.2537841312280011</v>
      </c>
      <c r="AM15" s="404">
        <f t="shared" si="9"/>
        <v>1.519776986115438</v>
      </c>
      <c r="AN15" s="404">
        <f t="shared" si="10"/>
        <v>1.1071870245466546</v>
      </c>
      <c r="AO15" s="404">
        <f t="shared" si="11"/>
        <v>1.4058079444603557</v>
      </c>
      <c r="AP15" s="404">
        <f t="shared" si="12"/>
        <v>1.3896846074698526</v>
      </c>
      <c r="AQ15" s="404">
        <f t="shared" si="13"/>
        <v>1.8849045667862157</v>
      </c>
      <c r="AR15" s="404"/>
      <c r="AS15" s="404">
        <f t="shared" si="14"/>
        <v>1.6878097579957494</v>
      </c>
      <c r="AT15" s="404">
        <f t="shared" si="15"/>
        <v>1.3654615402915222</v>
      </c>
      <c r="AU15" s="404">
        <f t="shared" si="16"/>
        <v>1.1795851735799314</v>
      </c>
      <c r="AV15" s="404">
        <f t="shared" si="17"/>
        <v>0.9624523592640275</v>
      </c>
      <c r="AW15" s="404">
        <f t="shared" si="18"/>
        <v>1.0814495861570319</v>
      </c>
      <c r="AX15" s="404">
        <f t="shared" si="19"/>
        <v>0.73088363207029627</v>
      </c>
      <c r="AY15" s="404">
        <f t="shared" si="20"/>
        <v>0.78294028286687412</v>
      </c>
      <c r="AZ15" s="404">
        <f t="shared" si="21"/>
        <v>0.78370765322851277</v>
      </c>
      <c r="BA15" s="404">
        <f t="shared" si="22"/>
        <v>0.67847787319628061</v>
      </c>
      <c r="BB15" s="404">
        <f t="shared" si="23"/>
        <v>0.73565330182574018</v>
      </c>
      <c r="BC15" s="404">
        <f t="shared" si="24"/>
        <v>0.93370729927689988</v>
      </c>
      <c r="BD15" s="404">
        <f t="shared" si="25"/>
        <v>1.239637958898117</v>
      </c>
    </row>
    <row r="16" spans="1:56" ht="15">
      <c r="A16" s="63" t="str">
        <f>VLOOKUP(CONCATENATE($C16," - ",$B16),[2]ACHIEV!$B$12:$C$100,2,FALSE)</f>
        <v>LO50Fast</v>
      </c>
      <c r="B16" s="63" t="str">
        <f>'SC-NR'!$C$7</f>
        <v>NR</v>
      </c>
      <c r="C16" s="63" t="str">
        <f>'SC-NR'!$C$8</f>
        <v>Monitor</v>
      </c>
      <c r="D16" s="63" t="s">
        <v>166</v>
      </c>
      <c r="E16" s="63" t="str">
        <f>'SC-NR'!$A$9</f>
        <v>Electronics</v>
      </c>
      <c r="F16" s="403">
        <f t="shared" si="1"/>
        <v>6.5680040394164047E-3</v>
      </c>
      <c r="G16" s="65">
        <f>'SC-NR'!A78</f>
        <v>31.923177973133928</v>
      </c>
      <c r="H16" s="65">
        <f>'SC-NR'!B78</f>
        <v>49.286628448437469</v>
      </c>
      <c r="I16" t="str">
        <f>'SC-NR'!D78</f>
        <v>Multifamily - Low Rise</v>
      </c>
      <c r="J16" s="9" t="str">
        <f>'SC-NR'!E78</f>
        <v>ENERGY STAR Monitors</v>
      </c>
      <c r="K16" s="48">
        <f ca="1">'SC-NR'!F78</f>
        <v>5.0091383506318567E-2</v>
      </c>
      <c r="L16" s="48">
        <f ca="1">'SC-NR'!G78</f>
        <v>7.2492394873648947E-2</v>
      </c>
      <c r="M16" s="48">
        <f ca="1">'SC-NR'!H78</f>
        <v>8.6694282135018993E-2</v>
      </c>
      <c r="N16" s="48">
        <f ca="1">'SC-NR'!I78</f>
        <v>9.5152633902475137E-2</v>
      </c>
      <c r="O16" s="48">
        <f ca="1">'SC-NR'!J78</f>
        <v>0.1001578537909696</v>
      </c>
      <c r="P16" s="48">
        <f ca="1">'SC-NR'!K78</f>
        <v>0.11273328766316444</v>
      </c>
      <c r="Q16" s="48">
        <f ca="1">'SC-NR'!L78</f>
        <v>0.11167521115797963</v>
      </c>
      <c r="R16" s="48">
        <f ca="1">'SC-NR'!M78</f>
        <v>0.11010551929295948</v>
      </c>
      <c r="S16" s="48">
        <f ca="1">'SC-NR'!N78</f>
        <v>0.10823120778696099</v>
      </c>
      <c r="T16" s="48">
        <f ca="1">'SC-NR'!O78</f>
        <v>0.10620093287605026</v>
      </c>
      <c r="U16" s="48">
        <f ca="1">'SC-NR'!P78</f>
        <v>0.10447201249513739</v>
      </c>
      <c r="V16" s="48">
        <f ca="1">'SC-NR'!Q78</f>
        <v>0.10301917296170152</v>
      </c>
      <c r="W16" s="48">
        <f ca="1">'SC-NR'!R78</f>
        <v>0.1018030569446657</v>
      </c>
      <c r="X16" s="48">
        <f ca="1">'SC-NR'!S78</f>
        <v>0.10065776357919652</v>
      </c>
      <c r="Y16" s="48">
        <f ca="1">'SC-NR'!T78</f>
        <v>9.9558323468166912E-2</v>
      </c>
      <c r="Z16" s="48">
        <f ca="1">'SC-NR'!U78</f>
        <v>9.8312907543085248E-2</v>
      </c>
      <c r="AA16" s="48">
        <f ca="1">'SC-NR'!V78</f>
        <v>9.705663529202288E-2</v>
      </c>
      <c r="AB16" s="48">
        <f ca="1">'SC-NR'!W78</f>
        <v>9.5828519958787536E-2</v>
      </c>
      <c r="AC16" s="48">
        <f ca="1">'SC-NR'!X78</f>
        <v>9.4529884217173579E-2</v>
      </c>
      <c r="AD16" s="48">
        <f ca="1">'SC-NR'!Y78</f>
        <v>9.3241651004743298E-2</v>
      </c>
      <c r="AE16" s="48">
        <f ca="1">'SC-NR'!Z78</f>
        <v>0.53902403513351893</v>
      </c>
      <c r="AF16" s="404">
        <f t="shared" si="2"/>
        <v>2.3985249402326483</v>
      </c>
      <c r="AG16" s="404">
        <f t="shared" si="3"/>
        <v>1.9986503596346596</v>
      </c>
      <c r="AH16" s="404">
        <f t="shared" si="4"/>
        <v>2.1279992687755698</v>
      </c>
      <c r="AI16" s="404">
        <f t="shared" si="5"/>
        <v>1.4484143731435781</v>
      </c>
      <c r="AJ16" s="404">
        <f t="shared" si="6"/>
        <v>1.8148349868441274</v>
      </c>
      <c r="AK16" s="404">
        <f t="shared" si="7"/>
        <v>1.4118423652458438</v>
      </c>
      <c r="AL16" s="404">
        <f t="shared" si="8"/>
        <v>1.2537841312280011</v>
      </c>
      <c r="AM16" s="404">
        <f t="shared" si="9"/>
        <v>1.519776986115438</v>
      </c>
      <c r="AN16" s="404">
        <f t="shared" si="10"/>
        <v>1.1071870245466546</v>
      </c>
      <c r="AO16" s="404">
        <f t="shared" si="11"/>
        <v>1.4058079444603557</v>
      </c>
      <c r="AP16" s="404">
        <f t="shared" si="12"/>
        <v>1.3896846074698526</v>
      </c>
      <c r="AQ16" s="404">
        <f t="shared" si="13"/>
        <v>1.8849045667862157</v>
      </c>
      <c r="AR16" s="404"/>
      <c r="AS16" s="404">
        <f t="shared" si="14"/>
        <v>1.6878097579957494</v>
      </c>
      <c r="AT16" s="404">
        <f t="shared" si="15"/>
        <v>1.3654615402915222</v>
      </c>
      <c r="AU16" s="404">
        <f t="shared" si="16"/>
        <v>1.1795851735799314</v>
      </c>
      <c r="AV16" s="404">
        <f t="shared" si="17"/>
        <v>0.9624523592640275</v>
      </c>
      <c r="AW16" s="404">
        <f t="shared" si="18"/>
        <v>1.0814495861570319</v>
      </c>
      <c r="AX16" s="404">
        <f t="shared" si="19"/>
        <v>0.73088363207029627</v>
      </c>
      <c r="AY16" s="404">
        <f t="shared" si="20"/>
        <v>0.78294028286687412</v>
      </c>
      <c r="AZ16" s="404">
        <f t="shared" si="21"/>
        <v>0.78370765322851277</v>
      </c>
      <c r="BA16" s="404">
        <f t="shared" si="22"/>
        <v>0.67847787319628061</v>
      </c>
      <c r="BB16" s="404">
        <f t="shared" si="23"/>
        <v>0.73565330182574018</v>
      </c>
      <c r="BC16" s="404">
        <f t="shared" si="24"/>
        <v>0.93370729927689988</v>
      </c>
      <c r="BD16" s="404">
        <f t="shared" si="25"/>
        <v>1.239637958898117</v>
      </c>
    </row>
    <row r="17" spans="1:56" ht="15">
      <c r="A17" s="63" t="str">
        <f>VLOOKUP(CONCATENATE($C17," - ",$B17),[2]ACHIEV!$B$12:$C$100,2,FALSE)</f>
        <v>LO50Fast</v>
      </c>
      <c r="B17" s="63" t="str">
        <f>'SC-NR'!$C$7</f>
        <v>NR</v>
      </c>
      <c r="C17" s="63" t="str">
        <f>'SC-NR'!$C$8</f>
        <v>Monitor</v>
      </c>
      <c r="D17" s="63" t="s">
        <v>166</v>
      </c>
      <c r="E17" s="63" t="str">
        <f>'SC-NR'!$A$9</f>
        <v>Electronics</v>
      </c>
      <c r="F17" s="403">
        <f t="shared" si="1"/>
        <v>6.5680040394164047E-3</v>
      </c>
      <c r="G17" s="65">
        <f>'SC-NR'!A79</f>
        <v>31.923177973133928</v>
      </c>
      <c r="H17" s="65">
        <f>'SC-NR'!B79</f>
        <v>49.286628448437469</v>
      </c>
      <c r="I17" t="str">
        <f>'SC-NR'!D79</f>
        <v>Multifamily - High Rise</v>
      </c>
      <c r="J17" s="9" t="str">
        <f>'SC-NR'!E79</f>
        <v>ENERGY STAR Monitors</v>
      </c>
      <c r="K17" s="48">
        <f ca="1">'SC-NR'!F79</f>
        <v>1.1420652511522147E-2</v>
      </c>
      <c r="L17" s="48">
        <f ca="1">'SC-NR'!G79</f>
        <v>1.6528001297380041E-2</v>
      </c>
      <c r="M17" s="48">
        <f ca="1">'SC-NR'!H79</f>
        <v>1.9765979729328535E-2</v>
      </c>
      <c r="N17" s="48">
        <f ca="1">'SC-NR'!I79</f>
        <v>2.1694453043389635E-2</v>
      </c>
      <c r="O17" s="48">
        <f ca="1">'SC-NR'!J79</f>
        <v>2.2835624899484305E-2</v>
      </c>
      <c r="P17" s="48">
        <f ca="1">'SC-NR'!K79</f>
        <v>2.5664851895747208E-2</v>
      </c>
      <c r="Q17" s="48">
        <f ca="1">'SC-NR'!L79</f>
        <v>2.5458172561729726E-2</v>
      </c>
      <c r="R17" s="48">
        <f ca="1">'SC-NR'!M79</f>
        <v>2.5131471864540171E-2</v>
      </c>
      <c r="S17" s="48">
        <f ca="1">'SC-NR'!N79</f>
        <v>2.4657646368163574E-2</v>
      </c>
      <c r="T17" s="48">
        <f ca="1">'SC-NR'!O79</f>
        <v>2.4163411795754316E-2</v>
      </c>
      <c r="U17" s="48">
        <f ca="1">'SC-NR'!P79</f>
        <v>2.3795669974048028E-2</v>
      </c>
      <c r="V17" s="48">
        <f ca="1">'SC-NR'!Q79</f>
        <v>2.3469532814133134E-2</v>
      </c>
      <c r="W17" s="48">
        <f ca="1">'SC-NR'!R79</f>
        <v>2.3211831100925111E-2</v>
      </c>
      <c r="X17" s="48">
        <f ca="1">'SC-NR'!S79</f>
        <v>2.2939215067025547E-2</v>
      </c>
      <c r="Y17" s="48">
        <f ca="1">'SC-NR'!T79</f>
        <v>2.2688153781980681E-2</v>
      </c>
      <c r="Z17" s="48">
        <f ca="1">'SC-NR'!U79</f>
        <v>2.2384267149076088E-2</v>
      </c>
      <c r="AA17" s="48">
        <f ca="1">'SC-NR'!V79</f>
        <v>2.209485962706512E-2</v>
      </c>
      <c r="AB17" s="48">
        <f ca="1">'SC-NR'!W79</f>
        <v>2.180103318550718E-2</v>
      </c>
      <c r="AC17" s="48">
        <f ca="1">'SC-NR'!X79</f>
        <v>2.1518103487101391E-2</v>
      </c>
      <c r="AD17" s="48">
        <f ca="1">'SC-NR'!Y79</f>
        <v>2.1232446602728387E-2</v>
      </c>
      <c r="AE17" s="48">
        <f ca="1">'SC-NR'!Z79</f>
        <v>0.12259694928116437</v>
      </c>
      <c r="AF17" s="404">
        <f t="shared" si="2"/>
        <v>2.3985249402326483</v>
      </c>
      <c r="AG17" s="404">
        <f t="shared" si="3"/>
        <v>1.9986503596346596</v>
      </c>
      <c r="AH17" s="404">
        <f t="shared" si="4"/>
        <v>2.1279992687755698</v>
      </c>
      <c r="AI17" s="404">
        <f t="shared" si="5"/>
        <v>1.4484143731435781</v>
      </c>
      <c r="AJ17" s="404">
        <f t="shared" si="6"/>
        <v>1.8148349868441274</v>
      </c>
      <c r="AK17" s="404">
        <f t="shared" si="7"/>
        <v>1.4118423652458438</v>
      </c>
      <c r="AL17" s="404">
        <f t="shared" si="8"/>
        <v>1.2537841312280011</v>
      </c>
      <c r="AM17" s="404">
        <f t="shared" si="9"/>
        <v>1.519776986115438</v>
      </c>
      <c r="AN17" s="404">
        <f t="shared" si="10"/>
        <v>1.1071870245466546</v>
      </c>
      <c r="AO17" s="404">
        <f t="shared" si="11"/>
        <v>1.4058079444603557</v>
      </c>
      <c r="AP17" s="404">
        <f t="shared" si="12"/>
        <v>1.3896846074698526</v>
      </c>
      <c r="AQ17" s="404">
        <f t="shared" si="13"/>
        <v>1.8849045667862157</v>
      </c>
      <c r="AR17" s="404"/>
      <c r="AS17" s="404">
        <f t="shared" si="14"/>
        <v>1.6878097579957494</v>
      </c>
      <c r="AT17" s="404">
        <f t="shared" si="15"/>
        <v>1.3654615402915222</v>
      </c>
      <c r="AU17" s="404">
        <f t="shared" si="16"/>
        <v>1.1795851735799314</v>
      </c>
      <c r="AV17" s="404">
        <f t="shared" si="17"/>
        <v>0.9624523592640275</v>
      </c>
      <c r="AW17" s="404">
        <f t="shared" si="18"/>
        <v>1.0814495861570319</v>
      </c>
      <c r="AX17" s="404">
        <f t="shared" si="19"/>
        <v>0.73088363207029627</v>
      </c>
      <c r="AY17" s="404">
        <f t="shared" si="20"/>
        <v>0.78294028286687412</v>
      </c>
      <c r="AZ17" s="404">
        <f t="shared" si="21"/>
        <v>0.78370765322851277</v>
      </c>
      <c r="BA17" s="404">
        <f t="shared" si="22"/>
        <v>0.67847787319628061</v>
      </c>
      <c r="BB17" s="404">
        <f t="shared" si="23"/>
        <v>0.73565330182574018</v>
      </c>
      <c r="BC17" s="404">
        <f t="shared" si="24"/>
        <v>0.93370729927689988</v>
      </c>
      <c r="BD17" s="404">
        <f t="shared" si="25"/>
        <v>1.239637958898117</v>
      </c>
    </row>
    <row r="18" spans="1:56" ht="15">
      <c r="A18" s="63" t="str">
        <f>VLOOKUP(CONCATENATE($C18," - ",$B18),[2]ACHIEV!$B$12:$C$100,2,FALSE)</f>
        <v>LO50Fast</v>
      </c>
      <c r="B18" s="63" t="str">
        <f>'SC-NR'!$C$7</f>
        <v>NR</v>
      </c>
      <c r="C18" s="63" t="str">
        <f>'SC-NR'!$C$8</f>
        <v>Monitor</v>
      </c>
      <c r="D18" s="63" t="s">
        <v>166</v>
      </c>
      <c r="E18" s="63" t="str">
        <f>'SC-NR'!$A$9</f>
        <v>Electronics</v>
      </c>
      <c r="F18" s="403">
        <f t="shared" si="1"/>
        <v>6.5680040394164047E-3</v>
      </c>
      <c r="G18" s="65">
        <f>'SC-NR'!A80</f>
        <v>31.923177973133928</v>
      </c>
      <c r="H18" s="65">
        <f>'SC-NR'!B80</f>
        <v>49.286628448437469</v>
      </c>
      <c r="I18" t="str">
        <f>'SC-NR'!D80</f>
        <v>Manufactured</v>
      </c>
      <c r="J18" s="9" t="str">
        <f>'SC-NR'!E80</f>
        <v>ENERGY STAR Monitors</v>
      </c>
      <c r="K18" s="48">
        <f ca="1">'SC-NR'!F80</f>
        <v>4.9562658227388021E-2</v>
      </c>
      <c r="L18" s="48">
        <f ca="1">'SC-NR'!G80</f>
        <v>7.1122179782729847E-2</v>
      </c>
      <c r="M18" s="48">
        <f ca="1">'SC-NR'!H80</f>
        <v>8.4338158278277522E-2</v>
      </c>
      <c r="N18" s="48">
        <f ca="1">'SC-NR'!I80</f>
        <v>9.1785804638194329E-2</v>
      </c>
      <c r="O18" s="48">
        <f ca="1">'SC-NR'!J80</f>
        <v>9.5798952821571706E-2</v>
      </c>
      <c r="P18" s="48">
        <f ca="1">'SC-NR'!K80</f>
        <v>9.8047227068400911E-2</v>
      </c>
      <c r="Q18" s="48">
        <f ca="1">'SC-NR'!L80</f>
        <v>9.7112516605081467E-2</v>
      </c>
      <c r="R18" s="48">
        <f ca="1">'SC-NR'!M80</f>
        <v>9.5490041086005686E-2</v>
      </c>
      <c r="S18" s="48">
        <f ca="1">'SC-NR'!N80</f>
        <v>9.3606176889143008E-2</v>
      </c>
      <c r="T18" s="48">
        <f ca="1">'SC-NR'!O80</f>
        <v>9.157894922439086E-2</v>
      </c>
      <c r="U18" s="48">
        <f ca="1">'SC-NR'!P80</f>
        <v>8.9587175867232818E-2</v>
      </c>
      <c r="V18" s="48">
        <f ca="1">'SC-NR'!Q80</f>
        <v>8.7657730667482836E-2</v>
      </c>
      <c r="W18" s="48">
        <f ca="1">'SC-NR'!R80</f>
        <v>8.5773723836663068E-2</v>
      </c>
      <c r="X18" s="48">
        <f ca="1">'SC-NR'!S80</f>
        <v>8.3932794427433274E-2</v>
      </c>
      <c r="Y18" s="48">
        <f ca="1">'SC-NR'!T80</f>
        <v>8.2128902901362905E-2</v>
      </c>
      <c r="Z18" s="48">
        <f ca="1">'SC-NR'!U80</f>
        <v>8.035822186429141E-2</v>
      </c>
      <c r="AA18" s="48">
        <f ca="1">'SC-NR'!V80</f>
        <v>7.8631381302692177E-2</v>
      </c>
      <c r="AB18" s="48">
        <f ca="1">'SC-NR'!W80</f>
        <v>7.6946507978935014E-2</v>
      </c>
      <c r="AC18" s="48">
        <f ca="1">'SC-NR'!X80</f>
        <v>7.5300801203484063E-2</v>
      </c>
      <c r="AD18" s="48">
        <f ca="1">'SC-NR'!Y80</f>
        <v>7.3691013426299565E-2</v>
      </c>
      <c r="AE18" s="48">
        <f ca="1">'SC-NR'!Z80</f>
        <v>0.37867828518407975</v>
      </c>
      <c r="AF18" s="404">
        <f t="shared" si="2"/>
        <v>2.3985249402326483</v>
      </c>
      <c r="AG18" s="404">
        <f t="shared" si="3"/>
        <v>1.9986503596346596</v>
      </c>
      <c r="AH18" s="404">
        <f t="shared" si="4"/>
        <v>2.1279992687755698</v>
      </c>
      <c r="AI18" s="404">
        <f t="shared" si="5"/>
        <v>1.4484143731435781</v>
      </c>
      <c r="AJ18" s="404">
        <f t="shared" si="6"/>
        <v>1.8148349868441274</v>
      </c>
      <c r="AK18" s="404">
        <f t="shared" si="7"/>
        <v>1.4118423652458438</v>
      </c>
      <c r="AL18" s="404">
        <f t="shared" si="8"/>
        <v>1.2537841312280011</v>
      </c>
      <c r="AM18" s="404">
        <f t="shared" si="9"/>
        <v>1.519776986115438</v>
      </c>
      <c r="AN18" s="404">
        <f t="shared" si="10"/>
        <v>1.1071870245466546</v>
      </c>
      <c r="AO18" s="404">
        <f t="shared" si="11"/>
        <v>1.4058079444603557</v>
      </c>
      <c r="AP18" s="404">
        <f t="shared" si="12"/>
        <v>1.3896846074698526</v>
      </c>
      <c r="AQ18" s="404">
        <f t="shared" si="13"/>
        <v>1.8849045667862157</v>
      </c>
      <c r="AR18" s="404"/>
      <c r="AS18" s="404">
        <f t="shared" si="14"/>
        <v>1.6878097579957494</v>
      </c>
      <c r="AT18" s="404">
        <f t="shared" si="15"/>
        <v>1.3654615402915222</v>
      </c>
      <c r="AU18" s="404">
        <f t="shared" si="16"/>
        <v>1.1795851735799314</v>
      </c>
      <c r="AV18" s="404">
        <f t="shared" si="17"/>
        <v>0.9624523592640275</v>
      </c>
      <c r="AW18" s="404">
        <f t="shared" si="18"/>
        <v>1.0814495861570319</v>
      </c>
      <c r="AX18" s="404">
        <f t="shared" si="19"/>
        <v>0.73088363207029627</v>
      </c>
      <c r="AY18" s="404">
        <f t="shared" si="20"/>
        <v>0.78294028286687412</v>
      </c>
      <c r="AZ18" s="404">
        <f t="shared" si="21"/>
        <v>0.78370765322851277</v>
      </c>
      <c r="BA18" s="404">
        <f t="shared" si="22"/>
        <v>0.67847787319628061</v>
      </c>
      <c r="BB18" s="404">
        <f t="shared" si="23"/>
        <v>0.73565330182574018</v>
      </c>
      <c r="BC18" s="404">
        <f t="shared" si="24"/>
        <v>0.93370729927689988</v>
      </c>
      <c r="BD18" s="404">
        <f t="shared" si="25"/>
        <v>1.239637958898117</v>
      </c>
    </row>
    <row r="19" spans="1:56" ht="15">
      <c r="A19" s="63" t="str">
        <f>VLOOKUP(CONCATENATE($C19," - ",$B19),[2]ACHIEV!$B$12:$C$100,2,FALSE)</f>
        <v>LO50Fast</v>
      </c>
      <c r="B19" s="63" t="str">
        <f>'SC-NR (2)'!$C$7</f>
        <v>NR</v>
      </c>
      <c r="C19" s="63" t="str">
        <f>'SC-NR (2)'!$C$8</f>
        <v>Computer</v>
      </c>
      <c r="D19" s="63" t="s">
        <v>166</v>
      </c>
      <c r="E19" s="63" t="str">
        <f>'SC-NR (2)'!$A$9</f>
        <v>Electronics</v>
      </c>
      <c r="F19" s="403">
        <f t="shared" si="1"/>
        <v>9.9264974994726762E-3</v>
      </c>
      <c r="G19" s="65">
        <f>'SC-NR (2)'!A85</f>
        <v>68.243112182874043</v>
      </c>
      <c r="H19" s="65">
        <f>'SC-NR (2)'!B85</f>
        <v>40.942640426147406</v>
      </c>
      <c r="I19" t="str">
        <f>'SC-NR (2)'!D85</f>
        <v>Single Family</v>
      </c>
      <c r="J19" s="9" t="str">
        <f>'SC-NR (2)'!E85</f>
        <v>ENERGY STAR Desktops</v>
      </c>
      <c r="K19" s="48">
        <f ca="1">'SC-NR (2)'!F85</f>
        <v>2.2316416801187646</v>
      </c>
      <c r="L19" s="48">
        <f ca="1">'SC-NR (2)'!G85</f>
        <v>3.2342522940806453</v>
      </c>
      <c r="M19" s="48">
        <f ca="1">'SC-NR (2)'!H85</f>
        <v>3.8734418907462174</v>
      </c>
      <c r="N19" s="48">
        <f ca="1">'SC-NR (2)'!I85</f>
        <v>4.2572822825557441</v>
      </c>
      <c r="O19" s="48">
        <f ca="1">'SC-NR (2)'!J85</f>
        <v>4.9366057664709402</v>
      </c>
      <c r="P19" s="48">
        <f ca="1">'SC-NR (2)'!K85</f>
        <v>4.9590983713330852</v>
      </c>
      <c r="Q19" s="48">
        <f ca="1">'SC-NR (2)'!L85</f>
        <v>4.9114543111977689</v>
      </c>
      <c r="R19" s="48">
        <f ca="1">'SC-NR (2)'!M85</f>
        <v>4.8451637353924175</v>
      </c>
      <c r="S19" s="48">
        <f ca="1">'SC-NR (2)'!N85</f>
        <v>4.7727425799690666</v>
      </c>
      <c r="T19" s="48">
        <f ca="1">'SC-NR (2)'!O85</f>
        <v>4.7047757091918472</v>
      </c>
      <c r="U19" s="48">
        <f ca="1">'SC-NR (2)'!P85</f>
        <v>4.6447103071328923</v>
      </c>
      <c r="V19" s="48">
        <f ca="1">'SC-NR (2)'!Q85</f>
        <v>4.5917660346592069</v>
      </c>
      <c r="W19" s="48">
        <f ca="1">'SC-NR (2)'!R85</f>
        <v>4.5383823119471778</v>
      </c>
      <c r="X19" s="48">
        <f ca="1">'SC-NR (2)'!S85</f>
        <v>4.4919579032721906</v>
      </c>
      <c r="Y19" s="48">
        <f ca="1">'SC-NR (2)'!T85</f>
        <v>4.4434038750848632</v>
      </c>
      <c r="Z19" s="48">
        <f ca="1">'SC-NR (2)'!U85</f>
        <v>4.3812769424127129</v>
      </c>
      <c r="AA19" s="48">
        <f ca="1">'SC-NR (2)'!V85</f>
        <v>4.3161854778120068</v>
      </c>
      <c r="AB19" s="48">
        <f ca="1">'SC-NR (2)'!W85</f>
        <v>4.257834214787195</v>
      </c>
      <c r="AC19" s="48">
        <f ca="1">'SC-NR (2)'!X85</f>
        <v>4.2022157096464534</v>
      </c>
      <c r="AD19" s="48">
        <f ca="1">'SC-NR (2)'!Y85</f>
        <v>4.1936044797816194</v>
      </c>
      <c r="AE19" s="48">
        <f ca="1">'SC-NR (2)'!Z85</f>
        <v>19.364273592027573</v>
      </c>
      <c r="AF19" s="404">
        <f t="shared" si="2"/>
        <v>3.1598767626640925</v>
      </c>
      <c r="AG19" s="404">
        <f t="shared" si="3"/>
        <v>2.8127261832766339</v>
      </c>
      <c r="AH19" s="404">
        <f t="shared" si="4"/>
        <v>3.2742343488808552</v>
      </c>
      <c r="AI19" s="404">
        <f t="shared" si="5"/>
        <v>3.6988773154737404</v>
      </c>
      <c r="AJ19" s="404">
        <f t="shared" si="6"/>
        <v>3.9368363329781544</v>
      </c>
      <c r="AK19" s="404">
        <f t="shared" si="7"/>
        <v>3.4494410997694311</v>
      </c>
      <c r="AL19" s="404">
        <f t="shared" si="8"/>
        <v>3.4650295415446108</v>
      </c>
      <c r="AM19" s="404">
        <f t="shared" si="9"/>
        <v>3.4535010801942221</v>
      </c>
      <c r="AN19" s="404">
        <f t="shared" si="10"/>
        <v>3.194669919735571</v>
      </c>
      <c r="AO19" s="404">
        <f t="shared" si="11"/>
        <v>3.3944170546579295</v>
      </c>
      <c r="AP19" s="404">
        <f t="shared" si="12"/>
        <v>3.3719273378323549</v>
      </c>
      <c r="AQ19" s="404">
        <f t="shared" si="13"/>
        <v>3.75936450132297</v>
      </c>
      <c r="AR19" s="404"/>
      <c r="AS19" s="404">
        <f t="shared" si="14"/>
        <v>2.0599232374814878</v>
      </c>
      <c r="AT19" s="404">
        <f t="shared" si="15"/>
        <v>1.84723883420545</v>
      </c>
      <c r="AU19" s="404">
        <f t="shared" si="16"/>
        <v>1.8815472154761894</v>
      </c>
      <c r="AV19" s="404">
        <f t="shared" si="17"/>
        <v>2.5816529101948102</v>
      </c>
      <c r="AW19" s="404">
        <f t="shared" si="18"/>
        <v>2.8027837054323852</v>
      </c>
      <c r="AX19" s="404">
        <f t="shared" si="19"/>
        <v>2.2485983032821681</v>
      </c>
      <c r="AY19" s="404">
        <f t="shared" si="20"/>
        <v>2.6449213050718057</v>
      </c>
      <c r="AZ19" s="404">
        <f t="shared" si="21"/>
        <v>1.8775024247019763</v>
      </c>
      <c r="BA19" s="404">
        <f t="shared" si="22"/>
        <v>2.2673141410859179</v>
      </c>
      <c r="BB19" s="404">
        <f t="shared" si="23"/>
        <v>1.9448282299410675</v>
      </c>
      <c r="BC19" s="404">
        <f t="shared" si="24"/>
        <v>2.4618079867507596</v>
      </c>
      <c r="BD19" s="404">
        <f t="shared" si="25"/>
        <v>2.6540924109194575</v>
      </c>
    </row>
    <row r="20" spans="1:56" ht="15">
      <c r="A20" s="63" t="str">
        <f>VLOOKUP(CONCATENATE($C20," - ",$B20),[2]ACHIEV!$B$12:$C$100,2,FALSE)</f>
        <v>LO50Fast</v>
      </c>
      <c r="B20" s="63" t="str">
        <f>'SC-NR (2)'!$C$7</f>
        <v>NR</v>
      </c>
      <c r="C20" s="63" t="str">
        <f>'SC-NR (2)'!$C$8</f>
        <v>Computer</v>
      </c>
      <c r="D20" s="63" t="s">
        <v>166</v>
      </c>
      <c r="E20" s="63" t="str">
        <f>'SC-NR (2)'!$A$9</f>
        <v>Electronics</v>
      </c>
      <c r="F20" s="403">
        <f t="shared" si="1"/>
        <v>9.9264974994726762E-3</v>
      </c>
      <c r="G20" s="65">
        <f>'SC-NR (2)'!A86</f>
        <v>68.243112182874043</v>
      </c>
      <c r="H20" s="65">
        <f>'SC-NR (2)'!B86</f>
        <v>40.942640426147406</v>
      </c>
      <c r="I20" t="str">
        <f>'SC-NR (2)'!D86</f>
        <v>Multifamily - Low Rise</v>
      </c>
      <c r="J20" s="9" t="str">
        <f>'SC-NR (2)'!E86</f>
        <v>ENERGY STAR Desktops</v>
      </c>
      <c r="K20" s="48">
        <f ca="1">'SC-NR (2)'!F86</f>
        <v>0.22649523887773007</v>
      </c>
      <c r="L20" s="48">
        <f ca="1">'SC-NR (2)'!G86</f>
        <v>0.32825283989784193</v>
      </c>
      <c r="M20" s="48">
        <f ca="1">'SC-NR (2)'!H86</f>
        <v>0.39312587228216173</v>
      </c>
      <c r="N20" s="48">
        <f ca="1">'SC-NR (2)'!I86</f>
        <v>0.43208283403896086</v>
      </c>
      <c r="O20" s="48">
        <f ca="1">'SC-NR (2)'!J86</f>
        <v>0.53231155409416919</v>
      </c>
      <c r="P20" s="48">
        <f ca="1">'SC-NR (2)'!K86</f>
        <v>0.53220489332237642</v>
      </c>
      <c r="Q20" s="48">
        <f ca="1">'SC-NR (2)'!L86</f>
        <v>0.52572174889206591</v>
      </c>
      <c r="R20" s="48">
        <f ca="1">'SC-NR (2)'!M86</f>
        <v>0.51585942893825443</v>
      </c>
      <c r="S20" s="48">
        <f ca="1">'SC-NR (2)'!N86</f>
        <v>0.5046063968979333</v>
      </c>
      <c r="T20" s="48">
        <f ca="1">'SC-NR (2)'!O86</f>
        <v>0.49678444148491896</v>
      </c>
      <c r="U20" s="48">
        <f ca="1">'SC-NR (2)'!P86</f>
        <v>0.49080270848192792</v>
      </c>
      <c r="V20" s="48">
        <f ca="1">'SC-NR (2)'!Q86</f>
        <v>0.48633179971365625</v>
      </c>
      <c r="W20" s="48">
        <f ca="1">'SC-NR (2)'!R86</f>
        <v>0.48228644206987814</v>
      </c>
      <c r="X20" s="48">
        <f ca="1">'SC-NR (2)'!S86</f>
        <v>0.47848035474858602</v>
      </c>
      <c r="Y20" s="48">
        <f ca="1">'SC-NR (2)'!T86</f>
        <v>0.47368729357412714</v>
      </c>
      <c r="Z20" s="48">
        <f ca="1">'SC-NR (2)'!U86</f>
        <v>0.46781684096399934</v>
      </c>
      <c r="AA20" s="48">
        <f ca="1">'SC-NR (2)'!V86</f>
        <v>0.46203666850233566</v>
      </c>
      <c r="AB20" s="48">
        <f ca="1">'SC-NR (2)'!W86</f>
        <v>0.4556887105842643</v>
      </c>
      <c r="AC20" s="48">
        <f ca="1">'SC-NR (2)'!X86</f>
        <v>0.44931170111210833</v>
      </c>
      <c r="AD20" s="48">
        <f ca="1">'SC-NR (2)'!Y86</f>
        <v>0.44771416783503815</v>
      </c>
      <c r="AE20" s="48">
        <f ca="1">'SC-NR (2)'!Z86</f>
        <v>2.2735556639349204</v>
      </c>
      <c r="AF20" s="404">
        <f t="shared" si="2"/>
        <v>3.1598767626640925</v>
      </c>
      <c r="AG20" s="404">
        <f t="shared" si="3"/>
        <v>2.8127261832766339</v>
      </c>
      <c r="AH20" s="404">
        <f t="shared" si="4"/>
        <v>3.2742343488808552</v>
      </c>
      <c r="AI20" s="404">
        <f t="shared" si="5"/>
        <v>3.6988773154737404</v>
      </c>
      <c r="AJ20" s="404">
        <f t="shared" si="6"/>
        <v>3.9368363329781544</v>
      </c>
      <c r="AK20" s="404">
        <f t="shared" si="7"/>
        <v>3.4494410997694311</v>
      </c>
      <c r="AL20" s="404">
        <f t="shared" si="8"/>
        <v>3.4650295415446108</v>
      </c>
      <c r="AM20" s="404">
        <f t="shared" si="9"/>
        <v>3.4535010801942221</v>
      </c>
      <c r="AN20" s="404">
        <f t="shared" si="10"/>
        <v>3.194669919735571</v>
      </c>
      <c r="AO20" s="404">
        <f t="shared" si="11"/>
        <v>3.3944170546579295</v>
      </c>
      <c r="AP20" s="404">
        <f t="shared" si="12"/>
        <v>3.3719273378323549</v>
      </c>
      <c r="AQ20" s="404">
        <f t="shared" si="13"/>
        <v>3.75936450132297</v>
      </c>
      <c r="AR20" s="404"/>
      <c r="AS20" s="404">
        <f t="shared" si="14"/>
        <v>2.0599232374814878</v>
      </c>
      <c r="AT20" s="404">
        <f t="shared" si="15"/>
        <v>1.84723883420545</v>
      </c>
      <c r="AU20" s="404">
        <f t="shared" si="16"/>
        <v>1.8815472154761894</v>
      </c>
      <c r="AV20" s="404">
        <f t="shared" si="17"/>
        <v>2.5816529101948102</v>
      </c>
      <c r="AW20" s="404">
        <f t="shared" si="18"/>
        <v>2.8027837054323852</v>
      </c>
      <c r="AX20" s="404">
        <f t="shared" si="19"/>
        <v>2.2485983032821681</v>
      </c>
      <c r="AY20" s="404">
        <f t="shared" si="20"/>
        <v>2.6449213050718057</v>
      </c>
      <c r="AZ20" s="404">
        <f t="shared" si="21"/>
        <v>1.8775024247019763</v>
      </c>
      <c r="BA20" s="404">
        <f t="shared" si="22"/>
        <v>2.2673141410859179</v>
      </c>
      <c r="BB20" s="404">
        <f t="shared" si="23"/>
        <v>1.9448282299410675</v>
      </c>
      <c r="BC20" s="404">
        <f t="shared" si="24"/>
        <v>2.4618079867507596</v>
      </c>
      <c r="BD20" s="404">
        <f t="shared" si="25"/>
        <v>2.6540924109194575</v>
      </c>
    </row>
    <row r="21" spans="1:56" ht="15">
      <c r="A21" s="63" t="str">
        <f>VLOOKUP(CONCATENATE($C21," - ",$B21),[2]ACHIEV!$B$12:$C$100,2,FALSE)</f>
        <v>LO50Fast</v>
      </c>
      <c r="B21" s="63" t="str">
        <f>'SC-NR (2)'!$C$7</f>
        <v>NR</v>
      </c>
      <c r="C21" s="63" t="str">
        <f>'SC-NR (2)'!$C$8</f>
        <v>Computer</v>
      </c>
      <c r="D21" s="63" t="s">
        <v>166</v>
      </c>
      <c r="E21" s="63" t="str">
        <f>'SC-NR (2)'!$A$9</f>
        <v>Electronics</v>
      </c>
      <c r="F21" s="403">
        <f t="shared" si="1"/>
        <v>9.9264974994726762E-3</v>
      </c>
      <c r="G21" s="65">
        <f>'SC-NR (2)'!A87</f>
        <v>68.243112182874043</v>
      </c>
      <c r="H21" s="65">
        <f>'SC-NR (2)'!B87</f>
        <v>40.942640426147406</v>
      </c>
      <c r="I21" t="str">
        <f>'SC-NR (2)'!D87</f>
        <v>Multifamily - High Rise</v>
      </c>
      <c r="J21" s="9" t="str">
        <f>'SC-NR (2)'!E87</f>
        <v>ENERGY STAR Desktops</v>
      </c>
      <c r="K21" s="48">
        <f ca="1">'SC-NR (2)'!F87</f>
        <v>5.1640087329799259E-2</v>
      </c>
      <c r="L21" s="48">
        <f ca="1">'SC-NR (2)'!G87</f>
        <v>7.4840448755436814E-2</v>
      </c>
      <c r="M21" s="48">
        <f ca="1">'SC-NR (2)'!H87</f>
        <v>8.9631263230277258E-2</v>
      </c>
      <c r="N21" s="48">
        <f ca="1">'SC-NR (2)'!I87</f>
        <v>9.8513308244524825E-2</v>
      </c>
      <c r="O21" s="48">
        <f ca="1">'SC-NR (2)'!J87</f>
        <v>0.12109548687968277</v>
      </c>
      <c r="P21" s="48">
        <f ca="1">'SC-NR (2)'!K87</f>
        <v>0.12131739192141308</v>
      </c>
      <c r="Q21" s="48">
        <f ca="1">'SC-NR (2)'!L87</f>
        <v>0.12004880066245209</v>
      </c>
      <c r="R21" s="48">
        <f ca="1">'SC-NR (2)'!M87</f>
        <v>0.11749405545703448</v>
      </c>
      <c r="S21" s="48">
        <f ca="1">'SC-NR (2)'!N87</f>
        <v>0.11473994149656312</v>
      </c>
      <c r="T21" s="48">
        <f ca="1">'SC-NR (2)'!O87</f>
        <v>0.11312031908981361</v>
      </c>
      <c r="U21" s="48">
        <f ca="1">'SC-NR (2)'!P87</f>
        <v>0.11178744788211507</v>
      </c>
      <c r="V21" s="48">
        <f ca="1">'SC-NR (2)'!Q87</f>
        <v>0.11088874228085059</v>
      </c>
      <c r="W21" s="48">
        <f ca="1">'SC-NR (2)'!R87</f>
        <v>0.10989442039635597</v>
      </c>
      <c r="X21" s="48">
        <f ca="1">'SC-NR (2)'!S87</f>
        <v>0.10902348695394534</v>
      </c>
      <c r="Y21" s="48">
        <f ca="1">'SC-NR (2)'!T87</f>
        <v>0.10780234655046075</v>
      </c>
      <c r="Z21" s="48">
        <f ca="1">'SC-NR (2)'!U87</f>
        <v>0.10644250640735121</v>
      </c>
      <c r="AA21" s="48">
        <f ca="1">'SC-NR (2)'!V87</f>
        <v>0.10503192055612622</v>
      </c>
      <c r="AB21" s="48">
        <f ca="1">'SC-NR (2)'!W87</f>
        <v>0.10366820501129601</v>
      </c>
      <c r="AC21" s="48">
        <f ca="1">'SC-NR (2)'!X87</f>
        <v>0.1022656298639666</v>
      </c>
      <c r="AD21" s="48">
        <f ca="1">'SC-NR (2)'!Y87</f>
        <v>0.10189665011379913</v>
      </c>
      <c r="AE21" s="48">
        <f ca="1">'SC-NR (2)'!Z87</f>
        <v>0.51652292050280879</v>
      </c>
      <c r="AF21" s="404">
        <f t="shared" si="2"/>
        <v>3.1598767626640925</v>
      </c>
      <c r="AG21" s="404">
        <f t="shared" si="3"/>
        <v>2.8127261832766339</v>
      </c>
      <c r="AH21" s="404">
        <f t="shared" si="4"/>
        <v>3.2742343488808552</v>
      </c>
      <c r="AI21" s="404">
        <f t="shared" si="5"/>
        <v>3.6988773154737404</v>
      </c>
      <c r="AJ21" s="404">
        <f t="shared" si="6"/>
        <v>3.9368363329781544</v>
      </c>
      <c r="AK21" s="404">
        <f t="shared" si="7"/>
        <v>3.4494410997694311</v>
      </c>
      <c r="AL21" s="404">
        <f t="shared" si="8"/>
        <v>3.4650295415446108</v>
      </c>
      <c r="AM21" s="404">
        <f t="shared" si="9"/>
        <v>3.4535010801942221</v>
      </c>
      <c r="AN21" s="404">
        <f t="shared" si="10"/>
        <v>3.194669919735571</v>
      </c>
      <c r="AO21" s="404">
        <f t="shared" si="11"/>
        <v>3.3944170546579295</v>
      </c>
      <c r="AP21" s="404">
        <f t="shared" si="12"/>
        <v>3.3719273378323549</v>
      </c>
      <c r="AQ21" s="404">
        <f t="shared" si="13"/>
        <v>3.75936450132297</v>
      </c>
      <c r="AR21" s="404"/>
      <c r="AS21" s="404">
        <f t="shared" si="14"/>
        <v>2.0599232374814878</v>
      </c>
      <c r="AT21" s="404">
        <f t="shared" si="15"/>
        <v>1.84723883420545</v>
      </c>
      <c r="AU21" s="404">
        <f t="shared" si="16"/>
        <v>1.8815472154761894</v>
      </c>
      <c r="AV21" s="404">
        <f t="shared" si="17"/>
        <v>2.5816529101948102</v>
      </c>
      <c r="AW21" s="404">
        <f t="shared" si="18"/>
        <v>2.8027837054323852</v>
      </c>
      <c r="AX21" s="404">
        <f t="shared" si="19"/>
        <v>2.2485983032821681</v>
      </c>
      <c r="AY21" s="404">
        <f t="shared" si="20"/>
        <v>2.6449213050718057</v>
      </c>
      <c r="AZ21" s="404">
        <f t="shared" si="21"/>
        <v>1.8775024247019763</v>
      </c>
      <c r="BA21" s="404">
        <f t="shared" si="22"/>
        <v>2.2673141410859179</v>
      </c>
      <c r="BB21" s="404">
        <f t="shared" si="23"/>
        <v>1.9448282299410675</v>
      </c>
      <c r="BC21" s="404">
        <f t="shared" si="24"/>
        <v>2.4618079867507596</v>
      </c>
      <c r="BD21" s="404">
        <f t="shared" si="25"/>
        <v>2.6540924109194575</v>
      </c>
    </row>
    <row r="22" spans="1:56" ht="15">
      <c r="A22" s="63" t="str">
        <f>VLOOKUP(CONCATENATE($C22," - ",$B22),[2]ACHIEV!$B$12:$C$100,2,FALSE)</f>
        <v>LO50Fast</v>
      </c>
      <c r="B22" s="63" t="str">
        <f>'SC-NR (2)'!$C$7</f>
        <v>NR</v>
      </c>
      <c r="C22" s="63" t="str">
        <f>'SC-NR (2)'!$C$8</f>
        <v>Computer</v>
      </c>
      <c r="D22" s="63" t="s">
        <v>166</v>
      </c>
      <c r="E22" s="63" t="str">
        <f>'SC-NR (2)'!$A$9</f>
        <v>Electronics</v>
      </c>
      <c r="F22" s="403">
        <f t="shared" si="1"/>
        <v>9.9264974994726762E-3</v>
      </c>
      <c r="G22" s="65">
        <f>'SC-NR (2)'!A88</f>
        <v>68.243112182874043</v>
      </c>
      <c r="H22" s="65">
        <f>'SC-NR (2)'!B88</f>
        <v>40.942640426147406</v>
      </c>
      <c r="I22" t="str">
        <f>'SC-NR (2)'!D88</f>
        <v>Manufactured</v>
      </c>
      <c r="J22" s="9" t="str">
        <f>'SC-NR (2)'!E88</f>
        <v>ENERGY STAR Desktops</v>
      </c>
      <c r="K22" s="48">
        <f ca="1">'SC-NR (2)'!F88</f>
        <v>0.22248409296635757</v>
      </c>
      <c r="L22" s="48">
        <f ca="1">'SC-NR (2)'!G88</f>
        <v>0.31971972249902808</v>
      </c>
      <c r="M22" s="48">
        <f ca="1">'SC-NR (2)'!H88</f>
        <v>0.37967640490261761</v>
      </c>
      <c r="N22" s="48">
        <f ca="1">'SC-NR (2)'!I88</f>
        <v>0.41378052089220796</v>
      </c>
      <c r="O22" s="48">
        <f ca="1">'SC-NR (2)'!J88</f>
        <v>0.44224733499794844</v>
      </c>
      <c r="P22" s="48">
        <f ca="1">'SC-NR (2)'!K88</f>
        <v>0.4460567527346756</v>
      </c>
      <c r="Q22" s="48">
        <f ca="1">'SC-NR (2)'!L88</f>
        <v>0.44263115380184792</v>
      </c>
      <c r="R22" s="48">
        <f ca="1">'SC-NR (2)'!M88</f>
        <v>0.43587944452532679</v>
      </c>
      <c r="S22" s="48">
        <f ca="1">'SC-NR (2)'!N88</f>
        <v>0.42739269946789682</v>
      </c>
      <c r="T22" s="48">
        <f ca="1">'SC-NR (2)'!O88</f>
        <v>0.41899319475981056</v>
      </c>
      <c r="U22" s="48">
        <f ca="1">'SC-NR (2)'!P88</f>
        <v>0.41078087511880562</v>
      </c>
      <c r="V22" s="48">
        <f ca="1">'SC-NR (2)'!Q88</f>
        <v>0.40270930155418766</v>
      </c>
      <c r="W22" s="48">
        <f ca="1">'SC-NR (2)'!R88</f>
        <v>0.39477118607414424</v>
      </c>
      <c r="X22" s="48">
        <f ca="1">'SC-NR (2)'!S88</f>
        <v>0.38693086131474902</v>
      </c>
      <c r="Y22" s="48">
        <f ca="1">'SC-NR (2)'!T88</f>
        <v>0.37917546276888847</v>
      </c>
      <c r="Z22" s="48">
        <f ca="1">'SC-NR (2)'!U88</f>
        <v>0.37077281777653309</v>
      </c>
      <c r="AA22" s="48">
        <f ca="1">'SC-NR (2)'!V88</f>
        <v>0.36252486914753096</v>
      </c>
      <c r="AB22" s="48">
        <f ca="1">'SC-NR (2)'!W88</f>
        <v>0.35441058863072394</v>
      </c>
      <c r="AC22" s="48">
        <f ca="1">'SC-NR (2)'!X88</f>
        <v>0.34642491929049329</v>
      </c>
      <c r="AD22" s="48">
        <f ca="1">'SC-NR (2)'!Y88</f>
        <v>0.34283457133872047</v>
      </c>
      <c r="AE22" s="48">
        <f ca="1">'SC-NR (2)'!Z88</f>
        <v>1.4386895244832678</v>
      </c>
      <c r="AF22" s="404">
        <f t="shared" si="2"/>
        <v>3.1598767626640925</v>
      </c>
      <c r="AG22" s="404">
        <f t="shared" si="3"/>
        <v>2.8127261832766339</v>
      </c>
      <c r="AH22" s="404">
        <f t="shared" si="4"/>
        <v>3.2742343488808552</v>
      </c>
      <c r="AI22" s="404">
        <f t="shared" si="5"/>
        <v>3.6988773154737404</v>
      </c>
      <c r="AJ22" s="404">
        <f t="shared" si="6"/>
        <v>3.9368363329781544</v>
      </c>
      <c r="AK22" s="404">
        <f t="shared" si="7"/>
        <v>3.4494410997694311</v>
      </c>
      <c r="AL22" s="404">
        <f t="shared" si="8"/>
        <v>3.4650295415446108</v>
      </c>
      <c r="AM22" s="404">
        <f t="shared" si="9"/>
        <v>3.4535010801942221</v>
      </c>
      <c r="AN22" s="404">
        <f t="shared" si="10"/>
        <v>3.194669919735571</v>
      </c>
      <c r="AO22" s="404">
        <f t="shared" si="11"/>
        <v>3.3944170546579295</v>
      </c>
      <c r="AP22" s="404">
        <f t="shared" si="12"/>
        <v>3.3719273378323549</v>
      </c>
      <c r="AQ22" s="404">
        <f t="shared" si="13"/>
        <v>3.75936450132297</v>
      </c>
      <c r="AR22" s="404"/>
      <c r="AS22" s="404">
        <f t="shared" si="14"/>
        <v>2.0599232374814878</v>
      </c>
      <c r="AT22" s="404">
        <f t="shared" si="15"/>
        <v>1.84723883420545</v>
      </c>
      <c r="AU22" s="404">
        <f t="shared" si="16"/>
        <v>1.8815472154761894</v>
      </c>
      <c r="AV22" s="404">
        <f t="shared" si="17"/>
        <v>2.5816529101948102</v>
      </c>
      <c r="AW22" s="404">
        <f t="shared" si="18"/>
        <v>2.8027837054323852</v>
      </c>
      <c r="AX22" s="404">
        <f t="shared" si="19"/>
        <v>2.2485983032821681</v>
      </c>
      <c r="AY22" s="404">
        <f t="shared" si="20"/>
        <v>2.6449213050718057</v>
      </c>
      <c r="AZ22" s="404">
        <f t="shared" si="21"/>
        <v>1.8775024247019763</v>
      </c>
      <c r="BA22" s="404">
        <f t="shared" si="22"/>
        <v>2.2673141410859179</v>
      </c>
      <c r="BB22" s="404">
        <f t="shared" si="23"/>
        <v>1.9448282299410675</v>
      </c>
      <c r="BC22" s="404">
        <f t="shared" si="24"/>
        <v>2.4618079867507596</v>
      </c>
      <c r="BD22" s="404">
        <f t="shared" si="25"/>
        <v>2.6540924109194575</v>
      </c>
    </row>
    <row r="23" spans="1:56" ht="15">
      <c r="A23" s="63" t="str">
        <f>VLOOKUP(CONCATENATE($C23," - ",$B23),[2]ACHIEV!$B$12:$C$100,2,FALSE)</f>
        <v>LO50Fast</v>
      </c>
      <c r="B23" s="63" t="str">
        <f>'SC-NR (2)'!$C$7</f>
        <v>NR</v>
      </c>
      <c r="C23" s="63" t="str">
        <f>'SC-NR (2)'!$C$8</f>
        <v>Computer</v>
      </c>
      <c r="D23" s="63" t="s">
        <v>166</v>
      </c>
      <c r="E23" s="63" t="str">
        <f>'SC-NR (2)'!$A$9</f>
        <v>Electronics</v>
      </c>
      <c r="F23" s="403">
        <f t="shared" si="1"/>
        <v>2.8683254077609358E-3</v>
      </c>
      <c r="G23" s="65">
        <f>'SC-NR (2)'!A89</f>
        <v>19.719286947809731</v>
      </c>
      <c r="H23" s="65">
        <f>'SC-NR (2)'!B89</f>
        <v>825.16686960542836</v>
      </c>
      <c r="I23" t="str">
        <f>'SC-NR (2)'!D89</f>
        <v>Single Family</v>
      </c>
      <c r="J23" s="9" t="str">
        <f>'SC-NR (2)'!E89</f>
        <v>ENERGY STAR Laptops</v>
      </c>
      <c r="K23" s="48">
        <f ca="1">'SC-NR (2)'!F89</f>
        <v>0.22593475808628277</v>
      </c>
      <c r="L23" s="48">
        <f ca="1">'SC-NR (2)'!G89</f>
        <v>0.36325606814317279</v>
      </c>
      <c r="M23" s="48">
        <f ca="1">'SC-NR (2)'!H89</f>
        <v>0.47878138294794581</v>
      </c>
      <c r="N23" s="48">
        <f ca="1">'SC-NR (2)'!I89</f>
        <v>0.57524637291866931</v>
      </c>
      <c r="O23" s="48">
        <f ca="1">'SC-NR (2)'!J89</f>
        <v>0.69089589711262456</v>
      </c>
      <c r="P23" s="48">
        <f ca="1">'SC-NR (2)'!K89</f>
        <v>0.70618766929060184</v>
      </c>
      <c r="Q23" s="48">
        <f ca="1">'SC-NR (2)'!L89</f>
        <v>0.71063649285938946</v>
      </c>
      <c r="R23" s="48">
        <f ca="1">'SC-NR (2)'!M89</f>
        <v>0.71090750911483525</v>
      </c>
      <c r="S23" s="48">
        <f ca="1">'SC-NR (2)'!N89</f>
        <v>0.7095110686631223</v>
      </c>
      <c r="T23" s="48">
        <f ca="1">'SC-NR (2)'!O89</f>
        <v>0.7079472159332183</v>
      </c>
      <c r="U23" s="48">
        <f ca="1">'SC-NR (2)'!P89</f>
        <v>0.70676516727074945</v>
      </c>
      <c r="V23" s="48">
        <f ca="1">'SC-NR (2)'!Q89</f>
        <v>0.70602069608590357</v>
      </c>
      <c r="W23" s="48">
        <f ca="1">'SC-NR (2)'!R89</f>
        <v>0.70521399752293601</v>
      </c>
      <c r="X23" s="48">
        <f ca="1">'SC-NR (2)'!S89</f>
        <v>0.70488160166752434</v>
      </c>
      <c r="Y23" s="48">
        <f ca="1">'SC-NR (2)'!T89</f>
        <v>0.70438150101386787</v>
      </c>
      <c r="Z23" s="48">
        <f ca="1">'SC-NR (2)'!U89</f>
        <v>0.70363505344107979</v>
      </c>
      <c r="AA23" s="48">
        <f ca="1">'SC-NR (2)'!V89</f>
        <v>0.7026594465971352</v>
      </c>
      <c r="AB23" s="48">
        <f ca="1">'SC-NR (2)'!W89</f>
        <v>0.70214373803663965</v>
      </c>
      <c r="AC23" s="48">
        <f ca="1">'SC-NR (2)'!X89</f>
        <v>0.70180351287250442</v>
      </c>
      <c r="AD23" s="48">
        <f ca="1">'SC-NR (2)'!Y89</f>
        <v>0.70027596881672438</v>
      </c>
      <c r="AE23" s="48">
        <f ca="1">'SC-NR (2)'!Z89</f>
        <v>3.3445706396941111</v>
      </c>
      <c r="AF23" s="404">
        <f t="shared" si="2"/>
        <v>0.91306674929644316</v>
      </c>
      <c r="AG23" s="404">
        <f t="shared" si="3"/>
        <v>0.81275535273095034</v>
      </c>
      <c r="AH23" s="404">
        <f t="shared" si="4"/>
        <v>0.94611111062662823</v>
      </c>
      <c r="AI23" s="404">
        <f t="shared" si="5"/>
        <v>1.0688144317497186</v>
      </c>
      <c r="AJ23" s="404">
        <f t="shared" si="6"/>
        <v>1.1375742230003585</v>
      </c>
      <c r="AK23" s="404">
        <f t="shared" si="7"/>
        <v>0.99673823013294338</v>
      </c>
      <c r="AL23" s="404">
        <f t="shared" si="8"/>
        <v>1.0012426108184296</v>
      </c>
      <c r="AM23" s="404">
        <f t="shared" si="9"/>
        <v>0.99791138763467646</v>
      </c>
      <c r="AN23" s="404">
        <f t="shared" si="10"/>
        <v>0.92312045620057936</v>
      </c>
      <c r="AO23" s="404">
        <f t="shared" si="11"/>
        <v>0.9808386777843443</v>
      </c>
      <c r="AP23" s="404">
        <f t="shared" si="12"/>
        <v>0.97434012920892066</v>
      </c>
      <c r="AQ23" s="404">
        <f t="shared" si="13"/>
        <v>1.0862925938128754</v>
      </c>
      <c r="AR23" s="404"/>
      <c r="AS23" s="404">
        <f t="shared" si="14"/>
        <v>0.5952280913201452</v>
      </c>
      <c r="AT23" s="404">
        <f t="shared" si="15"/>
        <v>0.53377156269224402</v>
      </c>
      <c r="AU23" s="404">
        <f t="shared" si="16"/>
        <v>0.54368519050540154</v>
      </c>
      <c r="AV23" s="404">
        <f t="shared" si="17"/>
        <v>0.7459852416952818</v>
      </c>
      <c r="AW23" s="404">
        <f t="shared" si="18"/>
        <v>0.8098824096996069</v>
      </c>
      <c r="AX23" s="404">
        <f t="shared" si="19"/>
        <v>0.64974696719512592</v>
      </c>
      <c r="AY23" s="404">
        <f t="shared" si="20"/>
        <v>0.7642670520260233</v>
      </c>
      <c r="AZ23" s="404">
        <f t="shared" si="21"/>
        <v>0.54251642215106821</v>
      </c>
      <c r="BA23" s="404">
        <f t="shared" si="22"/>
        <v>0.65515502911252232</v>
      </c>
      <c r="BB23" s="404">
        <f t="shared" si="23"/>
        <v>0.56197064734736812</v>
      </c>
      <c r="BC23" s="404">
        <f t="shared" si="24"/>
        <v>0.71135527891898587</v>
      </c>
      <c r="BD23" s="404">
        <f t="shared" si="25"/>
        <v>0.76691710214908848</v>
      </c>
    </row>
    <row r="24" spans="1:56" ht="15">
      <c r="A24" s="63" t="str">
        <f>VLOOKUP(CONCATENATE($C24," - ",$B24),[2]ACHIEV!$B$12:$C$100,2,FALSE)</f>
        <v>LO50Fast</v>
      </c>
      <c r="B24" s="63" t="str">
        <f>'SC-NR (2)'!$C$7</f>
        <v>NR</v>
      </c>
      <c r="C24" s="63" t="str">
        <f>'SC-NR (2)'!$C$8</f>
        <v>Computer</v>
      </c>
      <c r="D24" s="63" t="s">
        <v>166</v>
      </c>
      <c r="E24" s="63" t="str">
        <f>'SC-NR (2)'!$A$9</f>
        <v>Electronics</v>
      </c>
      <c r="F24" s="403">
        <f t="shared" si="1"/>
        <v>2.8683254077609358E-3</v>
      </c>
      <c r="G24" s="65">
        <f>'SC-NR (2)'!A90</f>
        <v>19.719286947809731</v>
      </c>
      <c r="H24" s="65">
        <f>'SC-NR (2)'!B90</f>
        <v>825.16686960542836</v>
      </c>
      <c r="I24" t="str">
        <f>'SC-NR (2)'!D90</f>
        <v>Multifamily - Low Rise</v>
      </c>
      <c r="J24" s="9" t="str">
        <f>'SC-NR (2)'!E90</f>
        <v>ENERGY STAR Laptops</v>
      </c>
      <c r="K24" s="48">
        <f ca="1">'SC-NR (2)'!F90</f>
        <v>1.9167502062108713E-2</v>
      </c>
      <c r="L24" s="48">
        <f ca="1">'SC-NR (2)'!G90</f>
        <v>3.0817352935879977E-2</v>
      </c>
      <c r="M24" s="48">
        <f ca="1">'SC-NR (2)'!H90</f>
        <v>4.0618108302907061E-2</v>
      </c>
      <c r="N24" s="48">
        <f ca="1">'SC-NR (2)'!I90</f>
        <v>4.8801852898311002E-2</v>
      </c>
      <c r="O24" s="48">
        <f ca="1">'SC-NR (2)'!J90</f>
        <v>6.0469446598171821E-2</v>
      </c>
      <c r="P24" s="48">
        <f ca="1">'SC-NR (2)'!K90</f>
        <v>6.1624951970572404E-2</v>
      </c>
      <c r="Q24" s="48">
        <f ca="1">'SC-NR (2)'!L90</f>
        <v>6.1904602966534189E-2</v>
      </c>
      <c r="R24" s="48">
        <f ca="1">'SC-NR (2)'!M90</f>
        <v>6.1741603182622812E-2</v>
      </c>
      <c r="S24" s="48">
        <f ca="1">'SC-NR (2)'!N90</f>
        <v>6.1391539201133868E-2</v>
      </c>
      <c r="T24" s="48">
        <f ca="1">'SC-NR (2)'!O90</f>
        <v>6.1204046802120556E-2</v>
      </c>
      <c r="U24" s="48">
        <f ca="1">'SC-NR (2)'!P90</f>
        <v>6.1110557054463797E-2</v>
      </c>
      <c r="V24" s="48">
        <f ca="1">'SC-NR (2)'!Q90</f>
        <v>6.1100954700633286E-2</v>
      </c>
      <c r="W24" s="48">
        <f ca="1">'SC-NR (2)'!R90</f>
        <v>6.1113972072434956E-2</v>
      </c>
      <c r="X24" s="48">
        <f ca="1">'SC-NR (2)'!S90</f>
        <v>6.1139512832036273E-2</v>
      </c>
      <c r="Y24" s="48">
        <f ca="1">'SC-NR (2)'!T90</f>
        <v>6.1105084747122361E-2</v>
      </c>
      <c r="Z24" s="48">
        <f ca="1">'SC-NR (2)'!U90</f>
        <v>6.1067568872093067E-2</v>
      </c>
      <c r="AA24" s="48">
        <f ca="1">'SC-NR (2)'!V90</f>
        <v>6.1033823310426484E-2</v>
      </c>
      <c r="AB24" s="48">
        <f ca="1">'SC-NR (2)'!W90</f>
        <v>6.0964807930974502E-2</v>
      </c>
      <c r="AC24" s="48">
        <f ca="1">'SC-NR (2)'!X90</f>
        <v>6.0892497717686525E-2</v>
      </c>
      <c r="AD24" s="48">
        <f ca="1">'SC-NR (2)'!Y90</f>
        <v>6.0719969151114696E-2</v>
      </c>
      <c r="AE24" s="48">
        <f ca="1">'SC-NR (2)'!Z90</f>
        <v>0.32824083716941738</v>
      </c>
      <c r="AF24" s="404">
        <f t="shared" si="2"/>
        <v>0.91306674929644316</v>
      </c>
      <c r="AG24" s="404">
        <f t="shared" si="3"/>
        <v>0.81275535273095034</v>
      </c>
      <c r="AH24" s="404">
        <f t="shared" si="4"/>
        <v>0.94611111062662823</v>
      </c>
      <c r="AI24" s="404">
        <f t="shared" si="5"/>
        <v>1.0688144317497186</v>
      </c>
      <c r="AJ24" s="404">
        <f t="shared" si="6"/>
        <v>1.1375742230003585</v>
      </c>
      <c r="AK24" s="404">
        <f t="shared" si="7"/>
        <v>0.99673823013294338</v>
      </c>
      <c r="AL24" s="404">
        <f t="shared" si="8"/>
        <v>1.0012426108184296</v>
      </c>
      <c r="AM24" s="404">
        <f t="shared" si="9"/>
        <v>0.99791138763467646</v>
      </c>
      <c r="AN24" s="404">
        <f t="shared" si="10"/>
        <v>0.92312045620057936</v>
      </c>
      <c r="AO24" s="404">
        <f t="shared" si="11"/>
        <v>0.9808386777843443</v>
      </c>
      <c r="AP24" s="404">
        <f t="shared" si="12"/>
        <v>0.97434012920892066</v>
      </c>
      <c r="AQ24" s="404">
        <f t="shared" si="13"/>
        <v>1.0862925938128754</v>
      </c>
      <c r="AR24" s="404"/>
      <c r="AS24" s="404">
        <f t="shared" si="14"/>
        <v>0.5952280913201452</v>
      </c>
      <c r="AT24" s="404">
        <f t="shared" si="15"/>
        <v>0.53377156269224402</v>
      </c>
      <c r="AU24" s="404">
        <f t="shared" si="16"/>
        <v>0.54368519050540154</v>
      </c>
      <c r="AV24" s="404">
        <f t="shared" si="17"/>
        <v>0.7459852416952818</v>
      </c>
      <c r="AW24" s="404">
        <f t="shared" si="18"/>
        <v>0.8098824096996069</v>
      </c>
      <c r="AX24" s="404">
        <f t="shared" si="19"/>
        <v>0.64974696719512592</v>
      </c>
      <c r="AY24" s="404">
        <f t="shared" si="20"/>
        <v>0.7642670520260233</v>
      </c>
      <c r="AZ24" s="404">
        <f t="shared" si="21"/>
        <v>0.54251642215106821</v>
      </c>
      <c r="BA24" s="404">
        <f t="shared" si="22"/>
        <v>0.65515502911252232</v>
      </c>
      <c r="BB24" s="404">
        <f t="shared" si="23"/>
        <v>0.56197064734736812</v>
      </c>
      <c r="BC24" s="404">
        <f t="shared" si="24"/>
        <v>0.71135527891898587</v>
      </c>
      <c r="BD24" s="404">
        <f t="shared" si="25"/>
        <v>0.76691710214908848</v>
      </c>
    </row>
    <row r="25" spans="1:56" ht="15">
      <c r="A25" s="63" t="str">
        <f>VLOOKUP(CONCATENATE($C25," - ",$B25),[2]ACHIEV!$B$12:$C$100,2,FALSE)</f>
        <v>LO50Fast</v>
      </c>
      <c r="B25" s="63" t="str">
        <f>'SC-NR (2)'!$C$7</f>
        <v>NR</v>
      </c>
      <c r="C25" s="63" t="str">
        <f>'SC-NR (2)'!$C$8</f>
        <v>Computer</v>
      </c>
      <c r="D25" s="63" t="s">
        <v>166</v>
      </c>
      <c r="E25" s="63" t="str">
        <f>'SC-NR (2)'!$A$9</f>
        <v>Electronics</v>
      </c>
      <c r="F25" s="403">
        <f t="shared" si="1"/>
        <v>2.8683254077609358E-3</v>
      </c>
      <c r="G25" s="65">
        <f>'SC-NR (2)'!A91</f>
        <v>19.719286947809731</v>
      </c>
      <c r="H25" s="65">
        <f>'SC-NR (2)'!B91</f>
        <v>825.16686960542836</v>
      </c>
      <c r="I25" s="405" t="str">
        <f>'SC-NR (2)'!D91</f>
        <v>Multifamily - High Rise</v>
      </c>
      <c r="J25" s="9" t="str">
        <f>'SC-NR (2)'!E91</f>
        <v>ENERGY STAR Laptops</v>
      </c>
      <c r="K25" s="48">
        <f ca="1">'SC-NR (2)'!F91</f>
        <v>4.3701204726680175E-3</v>
      </c>
      <c r="L25" s="48">
        <f ca="1">'SC-NR (2)'!G91</f>
        <v>7.0262439279846671E-3</v>
      </c>
      <c r="M25" s="48">
        <f ca="1">'SC-NR (2)'!H91</f>
        <v>9.2607803604458101E-3</v>
      </c>
      <c r="N25" s="48">
        <f ca="1">'SC-NR (2)'!I91</f>
        <v>1.1126644242112531E-2</v>
      </c>
      <c r="O25" s="48">
        <f ca="1">'SC-NR (2)'!J91</f>
        <v>1.377081468578668E-2</v>
      </c>
      <c r="P25" s="48">
        <f ca="1">'SC-NR (2)'!K91</f>
        <v>1.4048876617363813E-2</v>
      </c>
      <c r="Q25" s="48">
        <f ca="1">'SC-NR (2)'!L91</f>
        <v>1.4125070275270333E-2</v>
      </c>
      <c r="R25" s="48">
        <f ca="1">'SC-NR (2)'!M91</f>
        <v>1.4069738613238247E-2</v>
      </c>
      <c r="S25" s="48">
        <f ca="1">'SC-NR (2)'!N91</f>
        <v>1.397874183787922E-2</v>
      </c>
      <c r="T25" s="48">
        <f ca="1">'SC-NR (2)'!O91</f>
        <v>1.3945711492647186E-2</v>
      </c>
      <c r="U25" s="48">
        <f ca="1">'SC-NR (2)'!P91</f>
        <v>1.3926232278610952E-2</v>
      </c>
      <c r="V25" s="48">
        <f ca="1">'SC-NR (2)'!Q91</f>
        <v>1.3931202084678162E-2</v>
      </c>
      <c r="W25" s="48">
        <f ca="1">'SC-NR (2)'!R91</f>
        <v>1.3929897797462013E-2</v>
      </c>
      <c r="X25" s="48">
        <f ca="1">'SC-NR (2)'!S91</f>
        <v>1.3935533516198612E-2</v>
      </c>
      <c r="Y25" s="48">
        <f ca="1">'SC-NR (2)'!T91</f>
        <v>1.3920068326957125E-2</v>
      </c>
      <c r="Z25" s="48">
        <f ca="1">'SC-NR (2)'!U91</f>
        <v>1.3910245061145545E-2</v>
      </c>
      <c r="AA25" s="48">
        <f ca="1">'SC-NR (2)'!V91</f>
        <v>1.3897048724946159E-2</v>
      </c>
      <c r="AB25" s="48">
        <f ca="1">'SC-NR (2)'!W91</f>
        <v>1.3886274050024679E-2</v>
      </c>
      <c r="AC25" s="48">
        <f ca="1">'SC-NR (2)'!X91</f>
        <v>1.3872835278869183E-2</v>
      </c>
      <c r="AD25" s="48">
        <f ca="1">'SC-NR (2)'!Y91</f>
        <v>1.3833217648921686E-2</v>
      </c>
      <c r="AE25" s="48">
        <f ca="1">'SC-NR (2)'!Z91</f>
        <v>7.4572142011952738E-2</v>
      </c>
      <c r="AF25" s="404">
        <f t="shared" si="2"/>
        <v>0.91306674929644316</v>
      </c>
      <c r="AG25" s="404">
        <f t="shared" si="3"/>
        <v>0.81275535273095034</v>
      </c>
      <c r="AH25" s="404">
        <f t="shared" si="4"/>
        <v>0.94611111062662823</v>
      </c>
      <c r="AI25" s="404">
        <f t="shared" si="5"/>
        <v>1.0688144317497186</v>
      </c>
      <c r="AJ25" s="404">
        <f t="shared" si="6"/>
        <v>1.1375742230003585</v>
      </c>
      <c r="AK25" s="404">
        <f t="shared" si="7"/>
        <v>0.99673823013294338</v>
      </c>
      <c r="AL25" s="404">
        <f t="shared" si="8"/>
        <v>1.0012426108184296</v>
      </c>
      <c r="AM25" s="404">
        <f t="shared" si="9"/>
        <v>0.99791138763467646</v>
      </c>
      <c r="AN25" s="404">
        <f t="shared" si="10"/>
        <v>0.92312045620057936</v>
      </c>
      <c r="AO25" s="404">
        <f t="shared" si="11"/>
        <v>0.9808386777843443</v>
      </c>
      <c r="AP25" s="404">
        <f t="shared" si="12"/>
        <v>0.97434012920892066</v>
      </c>
      <c r="AQ25" s="404">
        <f t="shared" si="13"/>
        <v>1.0862925938128754</v>
      </c>
      <c r="AR25" s="404"/>
      <c r="AS25" s="404">
        <f t="shared" si="14"/>
        <v>0.5952280913201452</v>
      </c>
      <c r="AT25" s="404">
        <f t="shared" si="15"/>
        <v>0.53377156269224402</v>
      </c>
      <c r="AU25" s="404">
        <f t="shared" si="16"/>
        <v>0.54368519050540154</v>
      </c>
      <c r="AV25" s="404">
        <f t="shared" si="17"/>
        <v>0.7459852416952818</v>
      </c>
      <c r="AW25" s="404">
        <f t="shared" si="18"/>
        <v>0.8098824096996069</v>
      </c>
      <c r="AX25" s="404">
        <f t="shared" si="19"/>
        <v>0.64974696719512592</v>
      </c>
      <c r="AY25" s="404">
        <f t="shared" si="20"/>
        <v>0.7642670520260233</v>
      </c>
      <c r="AZ25" s="404">
        <f t="shared" si="21"/>
        <v>0.54251642215106821</v>
      </c>
      <c r="BA25" s="404">
        <f t="shared" si="22"/>
        <v>0.65515502911252232</v>
      </c>
      <c r="BB25" s="404">
        <f t="shared" si="23"/>
        <v>0.56197064734736812</v>
      </c>
      <c r="BC25" s="404">
        <f t="shared" si="24"/>
        <v>0.71135527891898587</v>
      </c>
      <c r="BD25" s="404">
        <f t="shared" si="25"/>
        <v>0.76691710214908848</v>
      </c>
    </row>
    <row r="26" spans="1:56" ht="15">
      <c r="A26" s="63" t="str">
        <f>VLOOKUP(CONCATENATE($C26," - ",$B26),[2]ACHIEV!$B$12:$C$100,2,FALSE)</f>
        <v>LO50Fast</v>
      </c>
      <c r="B26" s="63" t="str">
        <f>'SC-NR (2)'!$C$7</f>
        <v>NR</v>
      </c>
      <c r="C26" s="63" t="str">
        <f>'SC-NR (2)'!$C$8</f>
        <v>Computer</v>
      </c>
      <c r="D26" s="63" t="s">
        <v>166</v>
      </c>
      <c r="E26" s="63" t="str">
        <f>'SC-NR (2)'!$A$9</f>
        <v>Electronics</v>
      </c>
      <c r="F26" s="403">
        <f t="shared" si="1"/>
        <v>2.8683254077609358E-3</v>
      </c>
      <c r="G26" s="65">
        <f>'SC-NR (2)'!A92</f>
        <v>19.719286947809731</v>
      </c>
      <c r="H26" s="65">
        <f>'SC-NR (2)'!B92</f>
        <v>825.16686960542836</v>
      </c>
      <c r="I26" s="405" t="str">
        <f>'SC-NR (2)'!D92</f>
        <v>Manufactured</v>
      </c>
      <c r="J26" s="9" t="str">
        <f>'SC-NR (2)'!E92</f>
        <v>ENERGY STAR Laptops</v>
      </c>
      <c r="K26" s="48">
        <f ca="1">'SC-NR (2)'!F92</f>
        <v>1.8828052774306447E-2</v>
      </c>
      <c r="L26" s="48">
        <f ca="1">'SC-NR (2)'!G92</f>
        <v>3.0016238494328204E-2</v>
      </c>
      <c r="M26" s="48">
        <f ca="1">'SC-NR (2)'!H92</f>
        <v>3.922849759255765E-2</v>
      </c>
      <c r="N26" s="48">
        <f ca="1">'SC-NR (2)'!I92</f>
        <v>4.6734687245055452E-2</v>
      </c>
      <c r="O26" s="48">
        <f ca="1">'SC-NR (2)'!J92</f>
        <v>5.3668319803392685E-2</v>
      </c>
      <c r="P26" s="48">
        <f ca="1">'SC-NR (2)'!K92</f>
        <v>5.4756959692946944E-2</v>
      </c>
      <c r="Q26" s="48">
        <f ca="1">'SC-NR (2)'!L92</f>
        <v>5.4935322374133073E-2</v>
      </c>
      <c r="R26" s="48">
        <f ca="1">'SC-NR (2)'!M92</f>
        <v>5.4683713381932321E-2</v>
      </c>
      <c r="S26" s="48">
        <f ca="1">'SC-NR (2)'!N92</f>
        <v>5.4228633443824593E-2</v>
      </c>
      <c r="T26" s="48">
        <f ca="1">'SC-NR (2)'!O92</f>
        <v>5.3738517194617683E-2</v>
      </c>
      <c r="U26" s="48">
        <f ca="1">'SC-NR (2)'!P92</f>
        <v>5.3243599424069629E-2</v>
      </c>
      <c r="V26" s="48">
        <f ca="1">'SC-NR (2)'!Q92</f>
        <v>5.2749947920564907E-2</v>
      </c>
      <c r="W26" s="48">
        <f ca="1">'SC-NR (2)'!R92</f>
        <v>5.2260073503860062E-2</v>
      </c>
      <c r="X26" s="48">
        <f ca="1">'SC-NR (2)'!S92</f>
        <v>5.1772792847255361E-2</v>
      </c>
      <c r="Y26" s="48">
        <f ca="1">'SC-NR (2)'!T92</f>
        <v>5.1287648894166739E-2</v>
      </c>
      <c r="Z26" s="48">
        <f ca="1">'SC-NR (2)'!U92</f>
        <v>5.0815103341658313E-2</v>
      </c>
      <c r="AA26" s="48">
        <f ca="1">'SC-NR (2)'!V92</f>
        <v>5.0347888112756159E-2</v>
      </c>
      <c r="AB26" s="48">
        <f ca="1">'SC-NR (2)'!W92</f>
        <v>4.9884838102171189E-2</v>
      </c>
      <c r="AC26" s="48">
        <f ca="1">'SC-NR (2)'!X92</f>
        <v>4.9425731941278465E-2</v>
      </c>
      <c r="AD26" s="48">
        <f ca="1">'SC-NR (2)'!Y92</f>
        <v>4.8904159417477021E-2</v>
      </c>
      <c r="AE26" s="48">
        <f ca="1">'SC-NR (2)'!Z92</f>
        <v>0.20770841965045303</v>
      </c>
      <c r="AF26" s="404">
        <f t="shared" si="2"/>
        <v>0.91306674929644316</v>
      </c>
      <c r="AG26" s="404">
        <f t="shared" si="3"/>
        <v>0.81275535273095034</v>
      </c>
      <c r="AH26" s="404">
        <f t="shared" si="4"/>
        <v>0.94611111062662823</v>
      </c>
      <c r="AI26" s="404">
        <f t="shared" si="5"/>
        <v>1.0688144317497186</v>
      </c>
      <c r="AJ26" s="404">
        <f t="shared" si="6"/>
        <v>1.1375742230003585</v>
      </c>
      <c r="AK26" s="404">
        <f t="shared" si="7"/>
        <v>0.99673823013294338</v>
      </c>
      <c r="AL26" s="404">
        <f t="shared" si="8"/>
        <v>1.0012426108184296</v>
      </c>
      <c r="AM26" s="404">
        <f t="shared" si="9"/>
        <v>0.99791138763467646</v>
      </c>
      <c r="AN26" s="404">
        <f t="shared" si="10"/>
        <v>0.92312045620057936</v>
      </c>
      <c r="AO26" s="404">
        <f t="shared" si="11"/>
        <v>0.9808386777843443</v>
      </c>
      <c r="AP26" s="404">
        <f t="shared" si="12"/>
        <v>0.97434012920892066</v>
      </c>
      <c r="AQ26" s="404">
        <f t="shared" si="13"/>
        <v>1.0862925938128754</v>
      </c>
      <c r="AR26" s="404"/>
      <c r="AS26" s="404">
        <f t="shared" si="14"/>
        <v>0.5952280913201452</v>
      </c>
      <c r="AT26" s="404">
        <f t="shared" si="15"/>
        <v>0.53377156269224402</v>
      </c>
      <c r="AU26" s="404">
        <f t="shared" si="16"/>
        <v>0.54368519050540154</v>
      </c>
      <c r="AV26" s="404">
        <f t="shared" si="17"/>
        <v>0.7459852416952818</v>
      </c>
      <c r="AW26" s="404">
        <f t="shared" si="18"/>
        <v>0.8098824096996069</v>
      </c>
      <c r="AX26" s="404">
        <f t="shared" si="19"/>
        <v>0.64974696719512592</v>
      </c>
      <c r="AY26" s="404">
        <f t="shared" si="20"/>
        <v>0.7642670520260233</v>
      </c>
      <c r="AZ26" s="404">
        <f t="shared" si="21"/>
        <v>0.54251642215106821</v>
      </c>
      <c r="BA26" s="404">
        <f t="shared" si="22"/>
        <v>0.65515502911252232</v>
      </c>
      <c r="BB26" s="404">
        <f t="shared" si="23"/>
        <v>0.56197064734736812</v>
      </c>
      <c r="BC26" s="404">
        <f t="shared" si="24"/>
        <v>0.71135527891898587</v>
      </c>
      <c r="BD26" s="404">
        <f t="shared" si="25"/>
        <v>0.76691710214908848</v>
      </c>
    </row>
    <row r="28" spans="1:56">
      <c r="J28" s="9"/>
    </row>
    <row r="29" spans="1:56">
      <c r="J29" s="9"/>
    </row>
    <row r="30" spans="1:56">
      <c r="J30" s="9"/>
    </row>
    <row r="31" spans="1:56">
      <c r="J31" s="9"/>
    </row>
    <row r="32" spans="1:56">
      <c r="J32"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CB157"/>
  <sheetViews>
    <sheetView workbookViewId="0">
      <selection activeCell="C13" sqref="C13"/>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50" t="s">
        <v>53</v>
      </c>
      <c r="B1" s="421" t="s">
        <v>304</v>
      </c>
      <c r="C1" s="421"/>
      <c r="D1" s="421"/>
      <c r="E1" s="421"/>
      <c r="F1" s="421"/>
      <c r="G1" s="421"/>
      <c r="H1" s="421"/>
      <c r="I1" s="421"/>
      <c r="J1" s="421"/>
      <c r="K1" s="421"/>
      <c r="L1" s="421"/>
      <c r="M1" s="421"/>
      <c r="N1" s="421"/>
      <c r="O1" s="421"/>
      <c r="P1" s="421"/>
      <c r="Q1" s="421"/>
      <c r="R1" s="421"/>
      <c r="S1" s="421"/>
      <c r="T1" s="421"/>
    </row>
    <row r="2" spans="1:69">
      <c r="A2" s="51" t="s">
        <v>328</v>
      </c>
      <c r="B2" s="421"/>
      <c r="C2" s="421"/>
      <c r="D2" s="421"/>
      <c r="E2" s="421"/>
      <c r="F2" s="421"/>
      <c r="G2" s="421"/>
      <c r="H2" s="421"/>
      <c r="I2" s="421"/>
      <c r="J2" s="421"/>
      <c r="K2" s="421"/>
      <c r="L2" s="421"/>
      <c r="M2" s="421"/>
      <c r="N2" s="421"/>
      <c r="O2" s="421"/>
      <c r="P2" s="421"/>
      <c r="Q2" s="421"/>
      <c r="R2" s="421"/>
      <c r="S2" s="421"/>
      <c r="T2" s="421"/>
    </row>
    <row r="3" spans="1:69">
      <c r="B3" s="421"/>
      <c r="C3" s="421"/>
      <c r="D3" s="421"/>
      <c r="E3" s="421"/>
      <c r="F3" s="421"/>
      <c r="G3" s="421"/>
      <c r="H3" s="421"/>
      <c r="I3" s="421"/>
      <c r="J3" s="421"/>
      <c r="K3" s="421"/>
      <c r="L3" s="421"/>
      <c r="M3" s="421"/>
      <c r="N3" s="421"/>
      <c r="O3" s="421"/>
      <c r="P3" s="421"/>
      <c r="Q3" s="421"/>
      <c r="R3" s="421"/>
      <c r="S3" s="421"/>
      <c r="T3" s="421"/>
    </row>
    <row r="4" spans="1:69">
      <c r="B4" s="421"/>
      <c r="C4" s="421"/>
      <c r="D4" s="421"/>
      <c r="E4" s="421"/>
      <c r="F4" s="421"/>
      <c r="G4" s="421"/>
      <c r="H4" s="421"/>
      <c r="I4" s="421"/>
      <c r="J4" s="421"/>
      <c r="K4" s="421"/>
      <c r="L4" s="421"/>
      <c r="M4" s="421"/>
      <c r="N4" s="421"/>
      <c r="O4" s="421"/>
      <c r="P4" s="421"/>
      <c r="Q4" s="421"/>
      <c r="R4" s="421"/>
      <c r="S4" s="421"/>
      <c r="T4" s="421"/>
    </row>
    <row r="5" spans="1:69">
      <c r="B5" s="421"/>
      <c r="C5" s="421"/>
      <c r="D5" s="421"/>
      <c r="E5" s="421"/>
      <c r="F5" s="421"/>
      <c r="G5" s="421"/>
      <c r="H5" s="421"/>
      <c r="I5" s="421"/>
      <c r="J5" s="421"/>
      <c r="K5" s="421"/>
      <c r="L5" s="421"/>
      <c r="M5" s="421"/>
      <c r="N5" s="421"/>
      <c r="O5" s="421"/>
      <c r="P5" s="421"/>
      <c r="Q5" s="421"/>
      <c r="R5" s="421"/>
      <c r="S5" s="421"/>
      <c r="T5" s="421"/>
    </row>
    <row r="6" spans="1:69">
      <c r="B6" s="421"/>
      <c r="C6" s="421"/>
      <c r="D6" s="421"/>
      <c r="E6" s="421"/>
      <c r="F6" s="421"/>
      <c r="G6" s="421"/>
      <c r="H6" s="421"/>
      <c r="I6" s="421"/>
      <c r="J6" s="421"/>
      <c r="K6" s="421"/>
      <c r="L6" s="421"/>
      <c r="M6" s="421"/>
      <c r="N6" s="421"/>
      <c r="O6" s="421"/>
      <c r="P6" s="421"/>
      <c r="Q6" s="421"/>
      <c r="R6" s="421"/>
      <c r="S6" s="421"/>
      <c r="T6" s="421"/>
    </row>
    <row r="7" spans="1:69">
      <c r="A7" s="406"/>
      <c r="B7" s="406" t="s">
        <v>47</v>
      </c>
      <c r="C7" s="61" t="s">
        <v>52</v>
      </c>
      <c r="D7" s="61"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406" t="s">
        <v>580</v>
      </c>
      <c r="B8" s="406" t="s">
        <v>54</v>
      </c>
      <c r="C8" s="61" t="str">
        <f>[2]MLIST!$B$37</f>
        <v>Monitor</v>
      </c>
      <c r="D8" s="6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406" t="str">
        <f>INDEX([2]ACHIEV!$A$19:$B$100,MATCH(CONCATENATE($C$8," - ",$C$7),[2]ACHIEV!$B$19:$B$100,0),1)</f>
        <v>Electronics</v>
      </c>
      <c r="B9" s="407" t="s">
        <v>55</v>
      </c>
      <c r="C9" s="61">
        <f>[2]FILES!$H$4</f>
        <v>2035</v>
      </c>
      <c r="D9" s="6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406"/>
      <c r="B10" s="406" t="s">
        <v>606</v>
      </c>
      <c r="C10" s="420">
        <f ca="1">MIN(SUM(E65:X65),Y65)</f>
        <v>1.4425538563470255</v>
      </c>
      <c r="D10" s="62"/>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3" t="str">
        <f>CONCATENATE("# HOMES AVAILABLE FOR MEASURE -",$C$8)</f>
        <v># HOMES AVAILABLE FOR MEASURE -Monitor</v>
      </c>
      <c r="C11" s="9" t="s">
        <v>137</v>
      </c>
      <c r="E11" s="66">
        <v>2016</v>
      </c>
      <c r="F11" s="67">
        <v>2017</v>
      </c>
      <c r="G11" s="67">
        <v>2018</v>
      </c>
      <c r="H11" s="67">
        <v>2019</v>
      </c>
      <c r="I11" s="67">
        <v>2020</v>
      </c>
      <c r="J11" s="67">
        <v>2021</v>
      </c>
      <c r="K11" s="67">
        <v>2022</v>
      </c>
      <c r="L11" s="67">
        <v>2023</v>
      </c>
      <c r="M11" s="67">
        <v>2024</v>
      </c>
      <c r="N11" s="67">
        <v>2025</v>
      </c>
      <c r="O11" s="67">
        <v>2026</v>
      </c>
      <c r="P11" s="67">
        <v>2027</v>
      </c>
      <c r="Q11" s="67">
        <v>2028</v>
      </c>
      <c r="R11" s="67">
        <v>2029</v>
      </c>
      <c r="S11" s="67">
        <v>2030</v>
      </c>
      <c r="T11" s="67">
        <v>2031</v>
      </c>
      <c r="U11" s="67">
        <v>2032</v>
      </c>
      <c r="V11" s="67">
        <v>2033</v>
      </c>
      <c r="W11" s="67">
        <v>2034</v>
      </c>
      <c r="X11" s="67">
        <v>2035</v>
      </c>
      <c r="Y11" s="67"/>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9" t="str">
        <f>CONCATENATE("HOMES_",E11)</f>
        <v>HOMES_2016</v>
      </c>
      <c r="F12" s="70" t="str">
        <f t="shared" ref="F12:X12" si="0">CONCATENATE("HOMES_",F11)</f>
        <v>HOMES_2017</v>
      </c>
      <c r="G12" s="70" t="str">
        <f t="shared" si="0"/>
        <v>HOMES_2018</v>
      </c>
      <c r="H12" s="70" t="str">
        <f t="shared" si="0"/>
        <v>HOMES_2019</v>
      </c>
      <c r="I12" s="70" t="str">
        <f t="shared" si="0"/>
        <v>HOMES_2020</v>
      </c>
      <c r="J12" s="70" t="str">
        <f t="shared" si="0"/>
        <v>HOMES_2021</v>
      </c>
      <c r="K12" s="70" t="str">
        <f t="shared" si="0"/>
        <v>HOMES_2022</v>
      </c>
      <c r="L12" s="70" t="str">
        <f t="shared" si="0"/>
        <v>HOMES_2023</v>
      </c>
      <c r="M12" s="70" t="str">
        <f t="shared" si="0"/>
        <v>HOMES_2024</v>
      </c>
      <c r="N12" s="70" t="str">
        <f t="shared" si="0"/>
        <v>HOMES_2025</v>
      </c>
      <c r="O12" s="70" t="str">
        <f t="shared" si="0"/>
        <v>HOMES_2026</v>
      </c>
      <c r="P12" s="70" t="str">
        <f t="shared" si="0"/>
        <v>HOMES_2027</v>
      </c>
      <c r="Q12" s="70" t="str">
        <f t="shared" si="0"/>
        <v>HOMES_2028</v>
      </c>
      <c r="R12" s="70" t="str">
        <f t="shared" si="0"/>
        <v>HOMES_2029</v>
      </c>
      <c r="S12" s="70" t="str">
        <f t="shared" si="0"/>
        <v>HOMES_2030</v>
      </c>
      <c r="T12" s="70" t="str">
        <f t="shared" si="0"/>
        <v>HOMES_2031</v>
      </c>
      <c r="U12" s="70" t="str">
        <f t="shared" si="0"/>
        <v>HOMES_2032</v>
      </c>
      <c r="V12" s="70" t="str">
        <f t="shared" si="0"/>
        <v>HOMES_2033</v>
      </c>
      <c r="W12" s="70" t="str">
        <f t="shared" si="0"/>
        <v>HOMES_2034</v>
      </c>
      <c r="X12" s="70" t="str">
        <f t="shared" si="0"/>
        <v>HOMES_2035</v>
      </c>
      <c r="Y12" s="71"/>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52</v>
      </c>
      <c r="C13" s="9" t="s">
        <v>48</v>
      </c>
      <c r="E13" s="42">
        <f ca="1">INDEX([1]!tbl_Forecast,MATCH($D$8&amp;$C13&amp;$D$7,[1]!rng_ForecastRowLookup,0),MATCH(E$11,[1]!rng_ForecastColumnLookup,0))</f>
        <v>62685.758999999998</v>
      </c>
      <c r="F13" s="42">
        <f ca="1">INDEX([1]!tbl_Forecast,MATCH($D$8&amp;$C13&amp;$D$7,[1]!rng_ForecastRowLookup,0),MATCH(F$11,[1]!rng_ForecastColumnLookup,0))</f>
        <v>59961.781000000003</v>
      </c>
      <c r="G13" s="42">
        <f ca="1">INDEX([1]!tbl_Forecast,MATCH($D$8&amp;$C13&amp;$D$7,[1]!rng_ForecastRowLookup,0),MATCH(G$11,[1]!rng_ForecastColumnLookup,0))</f>
        <v>56834.012000000002</v>
      </c>
      <c r="H13" s="42">
        <f ca="1">INDEX([1]!tbl_Forecast,MATCH($D$8&amp;$C13&amp;$D$7,[1]!rng_ForecastRowLookup,0),MATCH(H$11,[1]!rng_ForecastColumnLookup,0))</f>
        <v>54985.192999999999</v>
      </c>
      <c r="I13" s="42">
        <f ca="1">INDEX([1]!tbl_Forecast,MATCH($D$8&amp;$C13&amp;$D$7,[1]!rng_ForecastRowLookup,0),MATCH(I$11,[1]!rng_ForecastColumnLookup,0))</f>
        <v>53507.474000000002</v>
      </c>
      <c r="J13" s="42">
        <f ca="1">INDEX([1]!tbl_Forecast,MATCH($D$8&amp;$C13&amp;$D$7,[1]!rng_ForecastRowLookup,0),MATCH(J$11,[1]!rng_ForecastColumnLookup,0))</f>
        <v>50982.05</v>
      </c>
      <c r="K13" s="42">
        <f ca="1">INDEX([1]!tbl_Forecast,MATCH($D$8&amp;$C13&amp;$D$7,[1]!rng_ForecastRowLookup,0),MATCH(K$11,[1]!rng_ForecastColumnLookup,0))</f>
        <v>49561.669000000002</v>
      </c>
      <c r="L13" s="42">
        <f ca="1">INDEX([1]!tbl_Forecast,MATCH($D$8&amp;$C13&amp;$D$7,[1]!rng_ForecastRowLookup,0),MATCH(L$11,[1]!rng_ForecastColumnLookup,0))</f>
        <v>49324.517999999996</v>
      </c>
      <c r="M13" s="42">
        <f ca="1">INDEX([1]!tbl_Forecast,MATCH($D$8&amp;$C13&amp;$D$7,[1]!rng_ForecastRowLookup,0),MATCH(M$11,[1]!rng_ForecastColumnLookup,0))</f>
        <v>48815.77</v>
      </c>
      <c r="N13" s="42">
        <f ca="1">INDEX([1]!tbl_Forecast,MATCH($D$8&amp;$C13&amp;$D$7,[1]!rng_ForecastRowLookup,0),MATCH(N$11,[1]!rng_ForecastColumnLookup,0))</f>
        <v>49683.252</v>
      </c>
      <c r="O13" s="42">
        <f ca="1">INDEX([1]!tbl_Forecast,MATCH($D$8&amp;$C13&amp;$D$7,[1]!rng_ForecastRowLookup,0),MATCH(O$11,[1]!rng_ForecastColumnLookup,0))</f>
        <v>50030.137000000002</v>
      </c>
      <c r="P13" s="42">
        <f ca="1">INDEX([1]!tbl_Forecast,MATCH($D$8&amp;$C13&amp;$D$7,[1]!rng_ForecastRowLookup,0),MATCH(P$11,[1]!rng_ForecastColumnLookup,0))</f>
        <v>49387.762999999999</v>
      </c>
      <c r="Q13" s="42">
        <f ca="1">INDEX([1]!tbl_Forecast,MATCH($D$8&amp;$C13&amp;$D$7,[1]!rng_ForecastRowLookup,0),MATCH(Q$11,[1]!rng_ForecastColumnLookup,0))</f>
        <v>48079.345999999998</v>
      </c>
      <c r="R13" s="42">
        <f ca="1">INDEX([1]!tbl_Forecast,MATCH($D$8&amp;$C13&amp;$D$7,[1]!rng_ForecastRowLookup,0),MATCH(R$11,[1]!rng_ForecastColumnLookup,0))</f>
        <v>48129.050999999999</v>
      </c>
      <c r="S13" s="42">
        <f ca="1">INDEX([1]!tbl_Forecast,MATCH($D$8&amp;$C13&amp;$D$7,[1]!rng_ForecastRowLookup,0),MATCH(S$11,[1]!rng_ForecastColumnLookup,0))</f>
        <v>48690.569000000003</v>
      </c>
      <c r="T13" s="42">
        <f ca="1">INDEX([1]!tbl_Forecast,MATCH($D$8&amp;$C13&amp;$D$7,[1]!rng_ForecastRowLookup,0),MATCH(T$11,[1]!rng_ForecastColumnLookup,0))</f>
        <v>48482.864000000001</v>
      </c>
      <c r="U13" s="42">
        <f ca="1">INDEX([1]!tbl_Forecast,MATCH($D$8&amp;$C13&amp;$D$7,[1]!rng_ForecastRowLookup,0),MATCH(U$11,[1]!rng_ForecastColumnLookup,0))</f>
        <v>46879.000999999997</v>
      </c>
      <c r="V13" s="42">
        <f ca="1">INDEX([1]!tbl_Forecast,MATCH($D$8&amp;$C13&amp;$D$7,[1]!rng_ForecastRowLookup,0),MATCH(V$11,[1]!rng_ForecastColumnLookup,0))</f>
        <v>46798.777999999998</v>
      </c>
      <c r="W13" s="42">
        <f ca="1">INDEX([1]!tbl_Forecast,MATCH($D$8&amp;$C13&amp;$D$7,[1]!rng_ForecastRowLookup,0),MATCH(W$11,[1]!rng_ForecastColumnLookup,0))</f>
        <v>46917.627</v>
      </c>
      <c r="X13" s="42">
        <f ca="1">INDEX([1]!tbl_Forecast,MATCH($D$8&amp;$C13&amp;$D$7,[1]!rng_ForecastRowLookup,0),MATCH(X$11,[1]!rng_ForecastColumnLookup,0))</f>
        <v>47236.144999999997</v>
      </c>
      <c r="Y13" s="42"/>
      <c r="AA13" s="42">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52</v>
      </c>
      <c r="C14" s="9" t="s">
        <v>49</v>
      </c>
      <c r="E14" s="42">
        <f ca="1">INDEX([1]!tbl_Forecast,MATCH($D$8&amp;$C14&amp;$D$7,[1]!rng_ForecastRowLookup,0),MATCH(E$11,[1]!rng_ForecastColumnLookup,0))</f>
        <v>23280.347100904564</v>
      </c>
      <c r="F14" s="42">
        <f ca="1">INDEX([1]!tbl_Forecast,MATCH($D$8&amp;$C14&amp;$D$7,[1]!rng_ForecastRowLookup,0),MATCH(F$11,[1]!rng_ForecastColumnLookup,0))</f>
        <v>23017.418106038647</v>
      </c>
      <c r="G14" s="42">
        <f ca="1">INDEX([1]!tbl_Forecast,MATCH($D$8&amp;$C14&amp;$D$7,[1]!rng_ForecastRowLookup,0),MATCH(G$11,[1]!rng_ForecastColumnLookup,0))</f>
        <v>22811.60852767331</v>
      </c>
      <c r="H14" s="42">
        <f ca="1">INDEX([1]!tbl_Forecast,MATCH($D$8&amp;$C14&amp;$D$7,[1]!rng_ForecastRowLookup,0),MATCH(H$11,[1]!rng_ForecastColumnLookup,0))</f>
        <v>22085.916378202593</v>
      </c>
      <c r="I14" s="42">
        <f ca="1">INDEX([1]!tbl_Forecast,MATCH($D$8&amp;$C14&amp;$D$7,[1]!rng_ForecastRowLookup,0),MATCH(I$11,[1]!rng_ForecastColumnLookup,0))</f>
        <v>20817.853908138593</v>
      </c>
      <c r="J14" s="42">
        <f ca="1">INDEX([1]!tbl_Forecast,MATCH($D$8&amp;$C14&amp;$D$7,[1]!rng_ForecastRowLookup,0),MATCH(J$11,[1]!rng_ForecastColumnLookup,0))</f>
        <v>20070.279329962508</v>
      </c>
      <c r="K14" s="42">
        <f ca="1">INDEX([1]!tbl_Forecast,MATCH($D$8&amp;$C14&amp;$D$7,[1]!rng_ForecastRowLookup,0),MATCH(K$11,[1]!rng_ForecastColumnLookup,0))</f>
        <v>19887.831284331631</v>
      </c>
      <c r="L14" s="42">
        <f ca="1">INDEX([1]!tbl_Forecast,MATCH($D$8&amp;$C14&amp;$D$7,[1]!rng_ForecastRowLookup,0),MATCH(L$11,[1]!rng_ForecastColumnLookup,0))</f>
        <v>20257.583209811291</v>
      </c>
      <c r="M14" s="42">
        <f ca="1">INDEX([1]!tbl_Forecast,MATCH($D$8&amp;$C14&amp;$D$7,[1]!rng_ForecastRowLookup,0),MATCH(M$11,[1]!rng_ForecastColumnLookup,0))</f>
        <v>20750.368029493613</v>
      </c>
      <c r="N14" s="42">
        <f ca="1">INDEX([1]!tbl_Forecast,MATCH($D$8&amp;$C14&amp;$D$7,[1]!rng_ForecastRowLookup,0),MATCH(N$11,[1]!rng_ForecastColumnLookup,0))</f>
        <v>21314.334279744231</v>
      </c>
      <c r="O14" s="42">
        <f ca="1">INDEX([1]!tbl_Forecast,MATCH($D$8&amp;$C14&amp;$D$7,[1]!rng_ForecastRowLookup,0),MATCH(O$11,[1]!rng_ForecastColumnLookup,0))</f>
        <v>21403.286239774712</v>
      </c>
      <c r="P14" s="42">
        <f ca="1">INDEX([1]!tbl_Forecast,MATCH($D$8&amp;$C14&amp;$D$7,[1]!rng_ForecastRowLookup,0),MATCH(P$11,[1]!rng_ForecastColumnLookup,0))</f>
        <v>21409.137516518917</v>
      </c>
      <c r="Q14" s="42">
        <f ca="1">INDEX([1]!tbl_Forecast,MATCH($D$8&amp;$C14&amp;$D$7,[1]!rng_ForecastRowLookup,0),MATCH(Q$11,[1]!rng_ForecastColumnLookup,0))</f>
        <v>21443.358292282628</v>
      </c>
      <c r="R14" s="42">
        <f ca="1">INDEX([1]!tbl_Forecast,MATCH($D$8&amp;$C14&amp;$D$7,[1]!rng_ForecastRowLookup,0),MATCH(R$11,[1]!rng_ForecastColumnLookup,0))</f>
        <v>21209.865626522758</v>
      </c>
      <c r="S14" s="42">
        <f ca="1">INDEX([1]!tbl_Forecast,MATCH($D$8&amp;$C14&amp;$D$7,[1]!rng_ForecastRowLookup,0),MATCH(S$11,[1]!rng_ForecastColumnLookup,0))</f>
        <v>20954.17798283829</v>
      </c>
      <c r="T14" s="42">
        <f ca="1">INDEX([1]!tbl_Forecast,MATCH($D$8&amp;$C14&amp;$D$7,[1]!rng_ForecastRowLookup,0),MATCH(T$11,[1]!rng_ForecastColumnLookup,0))</f>
        <v>20525.44023202754</v>
      </c>
      <c r="U14" s="42">
        <f ca="1">INDEX([1]!tbl_Forecast,MATCH($D$8&amp;$C14&amp;$D$7,[1]!rng_ForecastRowLookup,0),MATCH(U$11,[1]!rng_ForecastColumnLookup,0))</f>
        <v>20175.505597554071</v>
      </c>
      <c r="V14" s="42">
        <f ca="1">INDEX([1]!tbl_Forecast,MATCH($D$8&amp;$C14&amp;$D$7,[1]!rng_ForecastRowLookup,0),MATCH(V$11,[1]!rng_ForecastColumnLookup,0))</f>
        <v>19919.723927484571</v>
      </c>
      <c r="W14" s="42">
        <f ca="1">INDEX([1]!tbl_Forecast,MATCH($D$8&amp;$C14&amp;$D$7,[1]!rng_ForecastRowLookup,0),MATCH(W$11,[1]!rng_ForecastColumnLookup,0))</f>
        <v>19536.194066416414</v>
      </c>
      <c r="X14" s="42">
        <f ca="1">INDEX([1]!tbl_Forecast,MATCH($D$8&amp;$C14&amp;$D$7,[1]!rng_ForecastRowLookup,0),MATCH(X$11,[1]!rng_ForecastColumnLookup,0))</f>
        <v>19462.287131015248</v>
      </c>
      <c r="Y14" s="42"/>
      <c r="AA14" s="42">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52</v>
      </c>
      <c r="C15" s="9" t="s">
        <v>50</v>
      </c>
      <c r="E15" s="42">
        <f ca="1">INDEX([1]!tbl_Forecast,MATCH($D$8&amp;$C15&amp;$D$7,[1]!rng_ForecastRowLookup,0),MATCH(E$11,[1]!rng_ForecastColumnLookup,0))</f>
        <v>5226.2387411561367</v>
      </c>
      <c r="F15" s="42">
        <f ca="1">INDEX([1]!tbl_Forecast,MATCH($D$8&amp;$C15&amp;$D$7,[1]!rng_ForecastRowLookup,0),MATCH(F$11,[1]!rng_ForecastColumnLookup,0))</f>
        <v>5239.95312759432</v>
      </c>
      <c r="G15" s="42">
        <f ca="1">INDEX([1]!tbl_Forecast,MATCH($D$8&amp;$C15&amp;$D$7,[1]!rng_ForecastRowLookup,0),MATCH(G$11,[1]!rng_ForecastColumnLookup,0))</f>
        <v>5271.2612760989568</v>
      </c>
      <c r="H15" s="42">
        <f ca="1">INDEX([1]!tbl_Forecast,MATCH($D$8&amp;$C15&amp;$D$7,[1]!rng_ForecastRowLookup,0),MATCH(H$11,[1]!rng_ForecastColumnLookup,0))</f>
        <v>4985.883552972361</v>
      </c>
      <c r="I15" s="42">
        <f ca="1">INDEX([1]!tbl_Forecast,MATCH($D$8&amp;$C15&amp;$D$7,[1]!rng_ForecastRowLookup,0),MATCH(I$11,[1]!rng_ForecastColumnLookup,0))</f>
        <v>4608.5912035798974</v>
      </c>
      <c r="J15" s="42">
        <f ca="1">INDEX([1]!tbl_Forecast,MATCH($D$8&amp;$C15&amp;$D$7,[1]!rng_ForecastRowLookup,0),MATCH(J$11,[1]!rng_ForecastColumnLookup,0))</f>
        <v>4509.6375960361838</v>
      </c>
      <c r="K15" s="42">
        <f ca="1">INDEX([1]!tbl_Forecast,MATCH($D$8&amp;$C15&amp;$D$7,[1]!rng_ForecastRowLookup,0),MATCH(K$11,[1]!rng_ForecastColumnLookup,0))</f>
        <v>4481.760351096189</v>
      </c>
      <c r="L15" s="42">
        <f ca="1">INDEX([1]!tbl_Forecast,MATCH($D$8&amp;$C15&amp;$D$7,[1]!rng_ForecastRowLookup,0),MATCH(L$11,[1]!rng_ForecastColumnLookup,0))</f>
        <v>4621.8312800578688</v>
      </c>
      <c r="M15" s="42">
        <f ca="1">INDEX([1]!tbl_Forecast,MATCH($D$8&amp;$C15&amp;$D$7,[1]!rng_ForecastRowLookup,0),MATCH(M$11,[1]!rng_ForecastColumnLookup,0))</f>
        <v>4700.9782942419988</v>
      </c>
      <c r="N15" s="42">
        <f ca="1">INDEX([1]!tbl_Forecast,MATCH($D$8&amp;$C15&amp;$D$7,[1]!rng_ForecastRowLookup,0),MATCH(N$11,[1]!rng_ForecastColumnLookup,0))</f>
        <v>4828.2391631488581</v>
      </c>
      <c r="O15" s="42">
        <f ca="1">INDEX([1]!tbl_Forecast,MATCH($D$8&amp;$C15&amp;$D$7,[1]!rng_ForecastRowLookup,0),MATCH(O$11,[1]!rng_ForecastColumnLookup,0))</f>
        <v>4790.0249139778334</v>
      </c>
      <c r="P15" s="42">
        <f ca="1">INDEX([1]!tbl_Forecast,MATCH($D$8&amp;$C15&amp;$D$7,[1]!rng_ForecastRowLookup,0),MATCH(P$11,[1]!rng_ForecastColumnLookup,0))</f>
        <v>4782.0649962402858</v>
      </c>
      <c r="Q15" s="42">
        <f ca="1">INDEX([1]!tbl_Forecast,MATCH($D$8&amp;$C15&amp;$D$7,[1]!rng_ForecastRowLookup,0),MATCH(Q$11,[1]!rng_ForecastColumnLookup,0))</f>
        <v>4748.3908346265653</v>
      </c>
      <c r="R15" s="42">
        <f ca="1">INDEX([1]!tbl_Forecast,MATCH($D$8&amp;$C15&amp;$D$7,[1]!rng_ForecastRowLookup,0),MATCH(R$11,[1]!rng_ForecastColumnLookup,0))</f>
        <v>4733.4823682495089</v>
      </c>
      <c r="S15" s="42">
        <f ca="1">INDEX([1]!tbl_Forecast,MATCH($D$8&amp;$C15&amp;$D$7,[1]!rng_ForecastRowLookup,0),MATCH(S$11,[1]!rng_ForecastColumnLookup,0))</f>
        <v>4698.697177079107</v>
      </c>
      <c r="T15" s="42">
        <f ca="1">INDEX([1]!tbl_Forecast,MATCH($D$8&amp;$C15&amp;$D$7,[1]!rng_ForecastRowLookup,0),MATCH(T$11,[1]!rng_ForecastColumnLookup,0))</f>
        <v>4599.2987885998937</v>
      </c>
      <c r="U15" s="42">
        <f ca="1">INDEX([1]!tbl_Forecast,MATCH($D$8&amp;$C15&amp;$D$7,[1]!rng_ForecastRowLookup,0),MATCH(U$11,[1]!rng_ForecastColumnLookup,0))</f>
        <v>4526.3104216428001</v>
      </c>
      <c r="V15" s="42">
        <f ca="1">INDEX([1]!tbl_Forecast,MATCH($D$8&amp;$C15&amp;$D$7,[1]!rng_ForecastRowLookup,0),MATCH(V$11,[1]!rng_ForecastColumnLookup,0))</f>
        <v>4422.0600452822764</v>
      </c>
      <c r="W15" s="42">
        <f ca="1">INDEX([1]!tbl_Forecast,MATCH($D$8&amp;$C15&amp;$D$7,[1]!rng_ForecastRowLookup,0),MATCH(W$11,[1]!rng_ForecastColumnLookup,0))</f>
        <v>4405.182362066379</v>
      </c>
      <c r="X15" s="42">
        <f ca="1">INDEX([1]!tbl_Forecast,MATCH($D$8&amp;$C15&amp;$D$7,[1]!rng_ForecastRowLookup,0),MATCH(X$11,[1]!rng_ForecastColumnLookup,0))</f>
        <v>4385.1136986120664</v>
      </c>
      <c r="Y15" s="42"/>
      <c r="AA15" s="42">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52</v>
      </c>
      <c r="C16" s="9" t="s">
        <v>51</v>
      </c>
      <c r="E16" s="42">
        <f ca="1">INDEX([1]!tbl_Forecast,MATCH($D$8&amp;$C16&amp;$D$7,[1]!rng_ForecastRowLookup,0),MATCH(E$11,[1]!rng_ForecastColumnLookup,0))</f>
        <v>1869.5754050925925</v>
      </c>
      <c r="F16" s="42">
        <f ca="1">INDEX([1]!tbl_Forecast,MATCH($D$8&amp;$C16&amp;$D$7,[1]!rng_ForecastRowLookup,0),MATCH(F$11,[1]!rng_ForecastColumnLookup,0))</f>
        <v>1881.796305941358</v>
      </c>
      <c r="G16" s="42">
        <f ca="1">INDEX([1]!tbl_Forecast,MATCH($D$8&amp;$C16&amp;$D$7,[1]!rng_ForecastRowLookup,0),MATCH(G$11,[1]!rng_ForecastColumnLookup,0))</f>
        <v>1949.1340235982509</v>
      </c>
      <c r="H16" s="42">
        <f ca="1">INDEX([1]!tbl_Forecast,MATCH($D$8&amp;$C16&amp;$D$7,[1]!rng_ForecastRowLookup,0),MATCH(H$11,[1]!rng_ForecastColumnLookup,0))</f>
        <v>2021.1963608646258</v>
      </c>
      <c r="I16" s="42">
        <f ca="1">INDEX([1]!tbl_Forecast,MATCH($D$8&amp;$C16&amp;$D$7,[1]!rng_ForecastRowLookup,0),MATCH(I$11,[1]!rng_ForecastColumnLookup,0))</f>
        <v>1959.5061710087307</v>
      </c>
      <c r="J16" s="42">
        <f ca="1">INDEX([1]!tbl_Forecast,MATCH($D$8&amp;$C16&amp;$D$7,[1]!rng_ForecastRowLookup,0),MATCH(J$11,[1]!rng_ForecastColumnLookup,0))</f>
        <v>1928.5764356212967</v>
      </c>
      <c r="K16" s="42">
        <f ca="1">INDEX([1]!tbl_Forecast,MATCH($D$8&amp;$C16&amp;$D$7,[1]!rng_ForecastRowLookup,0),MATCH(K$11,[1]!rng_ForecastColumnLookup,0))</f>
        <v>1934.9641170211423</v>
      </c>
      <c r="L16" s="42">
        <f ca="1">INDEX([1]!tbl_Forecast,MATCH($D$8&amp;$C16&amp;$D$7,[1]!rng_ForecastRowLookup,0),MATCH(L$11,[1]!rng_ForecastColumnLookup,0))</f>
        <v>1945.862235675901</v>
      </c>
      <c r="M16" s="42">
        <f ca="1">INDEX([1]!tbl_Forecast,MATCH($D$8&amp;$C16&amp;$D$7,[1]!rng_ForecastRowLookup,0),MATCH(M$11,[1]!rng_ForecastColumnLookup,0))</f>
        <v>1956.539890631658</v>
      </c>
      <c r="N16" s="42">
        <f ca="1">INDEX([1]!tbl_Forecast,MATCH($D$8&amp;$C16&amp;$D$7,[1]!rng_ForecastRowLookup,0),MATCH(N$11,[1]!rng_ForecastColumnLookup,0))</f>
        <v>1957.7742018038925</v>
      </c>
      <c r="O16" s="42">
        <f ca="1">INDEX([1]!tbl_Forecast,MATCH($D$8&amp;$C16&amp;$D$7,[1]!rng_ForecastRowLookup,0),MATCH(O$11,[1]!rng_ForecastColumnLookup,0))</f>
        <v>1947.2038419604366</v>
      </c>
      <c r="P16" s="42">
        <f ca="1">INDEX([1]!tbl_Forecast,MATCH($D$8&amp;$C16&amp;$D$7,[1]!rng_ForecastRowLookup,0),MATCH(P$11,[1]!rng_ForecastColumnLookup,0))</f>
        <v>1945.153453785721</v>
      </c>
      <c r="Q16" s="42">
        <f ca="1">INDEX([1]!tbl_Forecast,MATCH($D$8&amp;$C16&amp;$D$7,[1]!rng_ForecastRowLookup,0),MATCH(Q$11,[1]!rng_ForecastColumnLookup,0))</f>
        <v>1947.9162901464586</v>
      </c>
      <c r="R16" s="42">
        <f ca="1">INDEX([1]!tbl_Forecast,MATCH($D$8&amp;$C16&amp;$D$7,[1]!rng_ForecastRowLookup,0),MATCH(R$11,[1]!rng_ForecastColumnLookup,0))</f>
        <v>1950.0749856673444</v>
      </c>
      <c r="S16" s="42">
        <f ca="1">INDEX([1]!tbl_Forecast,MATCH($D$8&amp;$C16&amp;$D$7,[1]!rng_ForecastRowLookup,0),MATCH(S$11,[1]!rng_ForecastColumnLookup,0))</f>
        <v>1950.7771106659191</v>
      </c>
      <c r="T16" s="42">
        <f ca="1">INDEX([1]!tbl_Forecast,MATCH($D$8&amp;$C16&amp;$D$7,[1]!rng_ForecastRowLookup,0),MATCH(T$11,[1]!rng_ForecastColumnLookup,0))</f>
        <v>1949.8166473382953</v>
      </c>
      <c r="U16" s="42">
        <f ca="1">INDEX([1]!tbl_Forecast,MATCH($D$8&amp;$C16&amp;$D$7,[1]!rng_ForecastRowLookup,0),MATCH(U$11,[1]!rng_ForecastColumnLookup,0))</f>
        <v>1948.4903882606959</v>
      </c>
      <c r="V16" s="42">
        <f ca="1">INDEX([1]!tbl_Forecast,MATCH($D$8&amp;$C16&amp;$D$7,[1]!rng_ForecastRowLookup,0),MATCH(V$11,[1]!rng_ForecastColumnLookup,0))</f>
        <v>1948.7048126440727</v>
      </c>
      <c r="W16" s="42">
        <f ca="1">INDEX([1]!tbl_Forecast,MATCH($D$8&amp;$C16&amp;$D$7,[1]!rng_ForecastRowLookup,0),MATCH(W$11,[1]!rng_ForecastColumnLookup,0))</f>
        <v>1949.296705787131</v>
      </c>
      <c r="X16" s="42">
        <f ca="1">INDEX([1]!tbl_Forecast,MATCH($D$8&amp;$C16&amp;$D$7,[1]!rng_ForecastRowLookup,0),MATCH(X$11,[1]!rng_ForecastColumnLookup,0))</f>
        <v>1949.5267750605763</v>
      </c>
      <c r="Y16" s="42"/>
      <c r="AA16" s="42">
        <f t="shared" ca="1" si="1"/>
        <v>38891.88615857609</v>
      </c>
    </row>
    <row r="17" spans="1:27">
      <c r="E17" s="42"/>
      <c r="F17" s="42"/>
      <c r="G17" s="42"/>
      <c r="H17" s="42"/>
      <c r="I17" s="42"/>
      <c r="J17" s="42"/>
      <c r="K17" s="42"/>
      <c r="L17" s="42"/>
      <c r="M17" s="42"/>
      <c r="N17" s="42"/>
      <c r="O17" s="42"/>
      <c r="P17" s="42"/>
      <c r="Q17" s="42"/>
      <c r="R17" s="42"/>
      <c r="S17" s="42"/>
      <c r="T17" s="42"/>
      <c r="U17" s="42"/>
      <c r="V17" s="42"/>
      <c r="W17" s="42"/>
      <c r="X17" s="42"/>
      <c r="Y17" s="42"/>
    </row>
    <row r="18" spans="1:27">
      <c r="B18" s="9" t="s">
        <v>138</v>
      </c>
      <c r="C18" s="9" t="s">
        <v>57</v>
      </c>
      <c r="E18" s="42">
        <f ca="1">SUM(E13:E16)</f>
        <v>93061.920247153292</v>
      </c>
      <c r="F18" s="42">
        <f t="shared" ref="F18:X18" ca="1" si="2">SUM(F13:F16)</f>
        <v>90100.948539574325</v>
      </c>
      <c r="G18" s="42">
        <f t="shared" ca="1" si="2"/>
        <v>86866.015827370516</v>
      </c>
      <c r="H18" s="42">
        <f t="shared" ca="1" si="2"/>
        <v>84078.189292039577</v>
      </c>
      <c r="I18" s="42">
        <f t="shared" ca="1" si="2"/>
        <v>80893.425282727228</v>
      </c>
      <c r="J18" s="42">
        <f t="shared" ca="1" si="2"/>
        <v>77490.543361619988</v>
      </c>
      <c r="K18" s="42">
        <f t="shared" ca="1" si="2"/>
        <v>75866.224752448965</v>
      </c>
      <c r="L18" s="42">
        <f t="shared" ca="1" si="2"/>
        <v>76149.794725545056</v>
      </c>
      <c r="M18" s="42">
        <f t="shared" ca="1" si="2"/>
        <v>76223.656214367264</v>
      </c>
      <c r="N18" s="42">
        <f t="shared" ca="1" si="2"/>
        <v>77783.59964469698</v>
      </c>
      <c r="O18" s="42">
        <f t="shared" ca="1" si="2"/>
        <v>78170.651995712979</v>
      </c>
      <c r="P18" s="42">
        <f t="shared" ca="1" si="2"/>
        <v>77524.11896654492</v>
      </c>
      <c r="Q18" s="42">
        <f t="shared" ca="1" si="2"/>
        <v>76219.011417055648</v>
      </c>
      <c r="R18" s="42">
        <f t="shared" ca="1" si="2"/>
        <v>76022.473980439609</v>
      </c>
      <c r="S18" s="42">
        <f t="shared" ca="1" si="2"/>
        <v>76294.221270583323</v>
      </c>
      <c r="T18" s="42">
        <f t="shared" ca="1" si="2"/>
        <v>75557.419667965733</v>
      </c>
      <c r="U18" s="42">
        <f t="shared" ca="1" si="2"/>
        <v>73529.307407457556</v>
      </c>
      <c r="V18" s="42">
        <f t="shared" ca="1" si="2"/>
        <v>73089.266785410931</v>
      </c>
      <c r="W18" s="42">
        <f t="shared" ca="1" si="2"/>
        <v>72808.300134269928</v>
      </c>
      <c r="X18" s="42">
        <f t="shared" ca="1" si="2"/>
        <v>73033.072604687884</v>
      </c>
      <c r="Y18" s="42"/>
      <c r="AA18" s="42">
        <f ca="1">SUM(E18:Y18)</f>
        <v>1570762.1621176719</v>
      </c>
    </row>
    <row r="19" spans="1:27">
      <c r="E19" s="42"/>
      <c r="F19" s="42"/>
      <c r="G19" s="42"/>
      <c r="H19" s="42"/>
      <c r="I19" s="42"/>
      <c r="J19" s="42"/>
      <c r="K19" s="42"/>
      <c r="L19" s="42"/>
      <c r="M19" s="42"/>
      <c r="N19" s="42"/>
      <c r="O19" s="42"/>
      <c r="P19" s="42"/>
      <c r="Q19" s="42"/>
      <c r="R19" s="42"/>
      <c r="S19" s="42"/>
      <c r="T19" s="42"/>
      <c r="U19" s="42"/>
      <c r="V19" s="42"/>
      <c r="W19" s="42"/>
      <c r="X19" s="42"/>
      <c r="Y19" s="42"/>
    </row>
    <row r="20" spans="1:27">
      <c r="E20" s="42"/>
      <c r="F20" s="42"/>
      <c r="G20" s="42"/>
      <c r="H20" s="42"/>
      <c r="I20" s="42"/>
      <c r="J20" s="42"/>
      <c r="K20" s="42"/>
      <c r="L20" s="42"/>
      <c r="M20" s="42"/>
      <c r="N20" s="42"/>
      <c r="O20" s="42"/>
      <c r="P20" s="42"/>
      <c r="Q20" s="42"/>
      <c r="R20" s="42"/>
      <c r="S20" s="42"/>
      <c r="T20" s="42"/>
      <c r="U20" s="42"/>
      <c r="V20" s="42"/>
      <c r="W20" s="42"/>
      <c r="X20" s="42"/>
      <c r="Y20" s="42"/>
    </row>
    <row r="21" spans="1:27" ht="15">
      <c r="A21" s="63" t="str">
        <f>CONCATENATE("# HOMES APPLICABLE BY YEAR FOR MEASURE - ",C22)</f>
        <v># HOMES APPLICABLE BY YEAR FOR MEASURE - Monitor - New</v>
      </c>
      <c r="E21" s="42"/>
      <c r="F21" s="42"/>
      <c r="G21" s="42"/>
      <c r="H21" s="42"/>
      <c r="I21" s="42"/>
      <c r="J21" s="42"/>
      <c r="K21" s="42"/>
      <c r="L21" s="42"/>
      <c r="M21" s="42"/>
      <c r="N21" s="42"/>
      <c r="O21" s="42"/>
      <c r="P21" s="42"/>
      <c r="Q21" s="42"/>
      <c r="R21" s="42"/>
      <c r="S21" s="42"/>
      <c r="T21" s="42"/>
      <c r="U21" s="42"/>
      <c r="V21" s="42"/>
      <c r="W21" s="42"/>
      <c r="X21" s="42"/>
      <c r="Y21" s="42"/>
    </row>
    <row r="22" spans="1:27" ht="15">
      <c r="A22" s="72" t="s">
        <v>58</v>
      </c>
      <c r="B22" s="72" t="s">
        <v>342</v>
      </c>
      <c r="C22" s="72" t="str">
        <f>CONCATENATE(C8," - ",C7)</f>
        <v>Monitor - New</v>
      </c>
      <c r="D22" s="72"/>
      <c r="E22" s="9">
        <v>3</v>
      </c>
      <c r="F22" s="9">
        <v>4</v>
      </c>
      <c r="G22" s="9">
        <v>5</v>
      </c>
      <c r="H22" s="30">
        <v>6</v>
      </c>
      <c r="I22" s="9">
        <v>7</v>
      </c>
      <c r="J22" s="9">
        <v>8</v>
      </c>
      <c r="K22" s="9">
        <v>9</v>
      </c>
      <c r="L22" s="30">
        <v>10</v>
      </c>
      <c r="M22" s="9">
        <v>11</v>
      </c>
      <c r="N22" s="9">
        <v>12</v>
      </c>
      <c r="O22" s="9">
        <v>13</v>
      </c>
      <c r="P22" s="30">
        <v>14</v>
      </c>
      <c r="Q22" s="9">
        <v>15</v>
      </c>
      <c r="R22" s="9">
        <v>16</v>
      </c>
      <c r="S22" s="9">
        <v>17</v>
      </c>
      <c r="T22" s="30">
        <v>18</v>
      </c>
      <c r="U22" s="9">
        <v>19</v>
      </c>
      <c r="V22" s="9">
        <v>20</v>
      </c>
      <c r="W22" s="9">
        <v>21</v>
      </c>
      <c r="X22" s="30">
        <v>22</v>
      </c>
    </row>
    <row r="23" spans="1:27">
      <c r="A23" s="64">
        <f>INDEX([2]!ResApplic,MATCH($C$22,[2]APPLIC!$B$9:$B$120,0)+1,MATCH($C23,[2]APPLIC!$C$8:$F$8,0)+1)</f>
        <v>0.44999999999999996</v>
      </c>
      <c r="B23" s="78">
        <f>VLOOKUP($D23,'Units per home'!$A$18:$E$20,MATCH($C23,'Units per home'!$B$17:$E$17,0)+1,FALSE)</f>
        <v>1.0228652330906021</v>
      </c>
      <c r="C23" s="9" t="str">
        <f>C13</f>
        <v>Single Family</v>
      </c>
      <c r="D23" s="9" t="s">
        <v>153</v>
      </c>
      <c r="E23" s="42">
        <f ca="1">$A23*$B23*VLOOKUP($C23,$C$13:$Y$16,E$22,FALSE)*VLOOKUP($D23,'Units per home'!$A$32:$U$34,'SC-New'!E$22-1,FALSE)</f>
        <v>27602.407015656197</v>
      </c>
      <c r="F23" s="42">
        <f ca="1">$A23*$B23*VLOOKUP($C23,$C$13:$Y$16,F$22,FALSE)*VLOOKUP($D23,'Units per home'!$A$32:$U$34,'SC-New'!F$22-1,FALSE)</f>
        <v>26111.86637381828</v>
      </c>
      <c r="G23" s="42">
        <f ca="1">$A23*$B23*VLOOKUP($C23,$C$13:$Y$16,G$22,FALSE)*VLOOKUP($D23,'Units per home'!$A$32:$U$34,'SC-New'!G$22-1,FALSE)</f>
        <v>24474.339851097378</v>
      </c>
      <c r="H23" s="42">
        <f ca="1">$A23*$B23*VLOOKUP($C23,$C$13:$Y$16,H$22,FALSE)*VLOOKUP($D23,'Units per home'!$A$32:$U$34,'SC-New'!H$22-1,FALSE)</f>
        <v>23413.486569128941</v>
      </c>
      <c r="I23" s="42">
        <f ca="1">$A23*$B23*VLOOKUP($C23,$C$13:$Y$16,I$22,FALSE)*VLOOKUP($D23,'Units per home'!$A$32:$U$34,'SC-New'!I$22-1,FALSE)</f>
        <v>22530.08772582512</v>
      </c>
      <c r="J23" s="42">
        <f ca="1">$A23*$B23*VLOOKUP($C23,$C$13:$Y$16,J$22,FALSE)*VLOOKUP($D23,'Units per home'!$A$32:$U$34,'SC-New'!J$22-1,FALSE)</f>
        <v>21226.983312821878</v>
      </c>
      <c r="K23" s="42">
        <f ca="1">$A23*$B23*VLOOKUP($C23,$C$13:$Y$16,K$22,FALSE)*VLOOKUP($D23,'Units per home'!$A$32:$U$34,'SC-New'!K$22-1,FALSE)</f>
        <v>20405.3841997122</v>
      </c>
      <c r="L23" s="42">
        <f ca="1">$A23*$B23*VLOOKUP($C23,$C$13:$Y$16,L$22,FALSE)*VLOOKUP($D23,'Units per home'!$A$32:$U$34,'SC-New'!L$22-1,FALSE)</f>
        <v>20081.950186553153</v>
      </c>
      <c r="M23" s="42">
        <f ca="1">$A23*$B23*VLOOKUP($C23,$C$13:$Y$16,M$22,FALSE)*VLOOKUP($D23,'Units per home'!$A$32:$U$34,'SC-New'!M$22-1,FALSE)</f>
        <v>19653.720003865037</v>
      </c>
      <c r="N23" s="42">
        <f ca="1">$A23*$B23*VLOOKUP($C23,$C$13:$Y$16,N$22,FALSE)*VLOOKUP($D23,'Units per home'!$A$32:$U$34,'SC-New'!N$22-1,FALSE)</f>
        <v>19780.031520732453</v>
      </c>
      <c r="O23" s="42">
        <f ca="1">$A23*$B23*VLOOKUP($C23,$C$13:$Y$16,O$22,FALSE)*VLOOKUP($D23,'Units per home'!$A$32:$U$34,'SC-New'!O$22-1,FALSE)</f>
        <v>19695.197626065881</v>
      </c>
      <c r="P23" s="42">
        <f ca="1">$A23*$B23*VLOOKUP($C23,$C$13:$Y$16,P$22,FALSE)*VLOOKUP($D23,'Units per home'!$A$32:$U$34,'SC-New'!P$22-1,FALSE)</f>
        <v>19224.938432313214</v>
      </c>
      <c r="Q23" s="42">
        <f ca="1">$A23*$B23*VLOOKUP($C23,$C$13:$Y$16,Q$22,FALSE)*VLOOKUP($D23,'Units per home'!$A$32:$U$34,'SC-New'!Q$22-1,FALSE)</f>
        <v>18506.425440209987</v>
      </c>
      <c r="R23" s="42">
        <f ca="1">$A23*$B23*VLOOKUP($C23,$C$13:$Y$16,R$22,FALSE)*VLOOKUP($D23,'Units per home'!$A$32:$U$34,'SC-New'!R$22-1,FALSE)</f>
        <v>18318.810572137932</v>
      </c>
      <c r="S23" s="42">
        <f ca="1">$A23*$B23*VLOOKUP($C23,$C$13:$Y$16,S$22,FALSE)*VLOOKUP($D23,'Units per home'!$A$32:$U$34,'SC-New'!S$22-1,FALSE)</f>
        <v>18326.135800884134</v>
      </c>
      <c r="T23" s="42">
        <f ca="1">$A23*$B23*VLOOKUP($C23,$C$13:$Y$16,T$22,FALSE)*VLOOKUP($D23,'Units per home'!$A$32:$U$34,'SC-New'!T$22-1,FALSE)</f>
        <v>18044.843914241585</v>
      </c>
      <c r="U23" s="42">
        <f ca="1">$A23*$B23*VLOOKUP($C23,$C$13:$Y$16,U$22,FALSE)*VLOOKUP($D23,'Units per home'!$A$32:$U$34,'SC-New'!U$22-1,FALSE)</f>
        <v>17253.90578788241</v>
      </c>
      <c r="V23" s="42">
        <f ca="1">$A23*$B23*VLOOKUP($C23,$C$13:$Y$16,V$22,FALSE)*VLOOKUP($D23,'Units per home'!$A$32:$U$34,'SC-New'!V$22-1,FALSE)</f>
        <v>17033.333080863711</v>
      </c>
      <c r="W23" s="42">
        <f ca="1">$A23*$B23*VLOOKUP($C23,$C$13:$Y$16,W$22,FALSE)*VLOOKUP($D23,'Units per home'!$A$32:$U$34,'SC-New'!W$22-1,FALSE)</f>
        <v>16887.895289158776</v>
      </c>
      <c r="X23" s="42">
        <f ca="1">$A23*$B23*VLOOKUP($C23,$C$13:$Y$16,X$22,FALSE)*VLOOKUP($D23,'Units per home'!$A$32:$U$34,'SC-New'!X$22-1,FALSE)</f>
        <v>16814.965851561705</v>
      </c>
      <c r="Y23" s="42"/>
      <c r="AA23" s="42">
        <f t="shared" ref="AA23:AA26" ca="1" si="3">SUM(E23:Y23)</f>
        <v>405386.70855452993</v>
      </c>
    </row>
    <row r="24" spans="1:27">
      <c r="A24" s="64">
        <f>INDEX([2]!ResApplic,MATCH($C$22,[2]APPLIC!$B$9:$B$120,0)+1,MATCH($C24,[2]APPLIC!$C$8:$F$8,0)+1)</f>
        <v>0.44999999999999996</v>
      </c>
      <c r="B24" s="78">
        <f>VLOOKUP($D24,'Units per home'!$A$18:$E$20,MATCH($C24,'Units per home'!$B$17:$E$17,0)+1,FALSE)</f>
        <v>0.45062457275939666</v>
      </c>
      <c r="C24" s="9" t="str">
        <f>C14</f>
        <v>Multifamily - Low Rise</v>
      </c>
      <c r="D24" s="9" t="s">
        <v>153</v>
      </c>
      <c r="E24" s="42">
        <f ca="1">$A24*$B24*VLOOKUP($C24,$C$13:$Y$16,E$22,FALSE)*VLOOKUP($D24,'Units per home'!$A$32:$U$34,'SC-New'!E$22-1,FALSE)</f>
        <v>4516.1043790322065</v>
      </c>
      <c r="F24" s="42">
        <f ca="1">$A24*$B24*VLOOKUP($C24,$C$13:$Y$16,F$22,FALSE)*VLOOKUP($D24,'Units per home'!$A$32:$U$34,'SC-New'!F$22-1,FALSE)</f>
        <v>4415.8717361941708</v>
      </c>
      <c r="G24" s="42">
        <f ca="1">$A24*$B24*VLOOKUP($C24,$C$13:$Y$16,G$22,FALSE)*VLOOKUP($D24,'Units per home'!$A$32:$U$34,'SC-New'!G$22-1,FALSE)</f>
        <v>4327.6789468347715</v>
      </c>
      <c r="H24" s="42">
        <f ca="1">$A24*$B24*VLOOKUP($C24,$C$13:$Y$16,H$22,FALSE)*VLOOKUP($D24,'Units per home'!$A$32:$U$34,'SC-New'!H$22-1,FALSE)</f>
        <v>4143.1648474141484</v>
      </c>
      <c r="I24" s="42">
        <f ca="1">$A24*$B24*VLOOKUP($C24,$C$13:$Y$16,I$22,FALSE)*VLOOKUP($D24,'Units per home'!$A$32:$U$34,'SC-New'!I$22-1,FALSE)</f>
        <v>3861.7205488279683</v>
      </c>
      <c r="J24" s="42">
        <f ca="1">$A24*$B24*VLOOKUP($C24,$C$13:$Y$16,J$22,FALSE)*VLOOKUP($D24,'Units per home'!$A$32:$U$34,'SC-New'!J$22-1,FALSE)</f>
        <v>3681.4665074605928</v>
      </c>
      <c r="K24" s="42">
        <f ca="1">$A24*$B24*VLOOKUP($C24,$C$13:$Y$16,K$22,FALSE)*VLOOKUP($D24,'Units per home'!$A$32:$U$34,'SC-New'!K$22-1,FALSE)</f>
        <v>3607.3039169015051</v>
      </c>
      <c r="L24" s="42">
        <f ca="1">$A24*$B24*VLOOKUP($C24,$C$13:$Y$16,L$22,FALSE)*VLOOKUP($D24,'Units per home'!$A$32:$U$34,'SC-New'!L$22-1,FALSE)</f>
        <v>3633.5163598872368</v>
      </c>
      <c r="M24" s="42">
        <f ca="1">$A24*$B24*VLOOKUP($C24,$C$13:$Y$16,M$22,FALSE)*VLOOKUP($D24,'Units per home'!$A$32:$U$34,'SC-New'!M$22-1,FALSE)</f>
        <v>3680.5004680127081</v>
      </c>
      <c r="N24" s="42">
        <f ca="1">$A24*$B24*VLOOKUP($C24,$C$13:$Y$16,N$22,FALSE)*VLOOKUP($D24,'Units per home'!$A$32:$U$34,'SC-New'!N$22-1,FALSE)</f>
        <v>3738.3950272016232</v>
      </c>
      <c r="O24" s="42">
        <f ca="1">$A24*$B24*VLOOKUP($C24,$C$13:$Y$16,O$22,FALSE)*VLOOKUP($D24,'Units per home'!$A$32:$U$34,'SC-New'!O$22-1,FALSE)</f>
        <v>3711.979451851646</v>
      </c>
      <c r="P24" s="42">
        <f ca="1">$A24*$B24*VLOOKUP($C24,$C$13:$Y$16,P$22,FALSE)*VLOOKUP($D24,'Units per home'!$A$32:$U$34,'SC-New'!P$22-1,FALSE)</f>
        <v>3671.4805091782928</v>
      </c>
      <c r="Q24" s="42">
        <f ca="1">$A24*$B24*VLOOKUP($C24,$C$13:$Y$16,Q$22,FALSE)*VLOOKUP($D24,'Units per home'!$A$32:$U$34,'SC-New'!Q$22-1,FALSE)</f>
        <v>3636.2459076338118</v>
      </c>
      <c r="R24" s="42">
        <f ca="1">$A24*$B24*VLOOKUP($C24,$C$13:$Y$16,R$22,FALSE)*VLOOKUP($D24,'Units per home'!$A$32:$U$34,'SC-New'!R$22-1,FALSE)</f>
        <v>3556.5125329419134</v>
      </c>
      <c r="S24" s="42">
        <f ca="1">$A24*$B24*VLOOKUP($C24,$C$13:$Y$16,S$22,FALSE)*VLOOKUP($D24,'Units per home'!$A$32:$U$34,'SC-New'!S$22-1,FALSE)</f>
        <v>3474.5065293414636</v>
      </c>
      <c r="T24" s="42">
        <f ca="1">$A24*$B24*VLOOKUP($C24,$C$13:$Y$16,T$22,FALSE)*VLOOKUP($D24,'Units per home'!$A$32:$U$34,'SC-New'!T$22-1,FALSE)</f>
        <v>3365.5325619118339</v>
      </c>
      <c r="U24" s="42">
        <f ca="1">$A24*$B24*VLOOKUP($C24,$C$13:$Y$16,U$22,FALSE)*VLOOKUP($D24,'Units per home'!$A$32:$U$34,'SC-New'!U$22-1,FALSE)</f>
        <v>3271.3721645408418</v>
      </c>
      <c r="V24" s="42">
        <f ca="1">$A24*$B24*VLOOKUP($C24,$C$13:$Y$16,V$22,FALSE)*VLOOKUP($D24,'Units per home'!$A$32:$U$34,'SC-New'!V$22-1,FALSE)</f>
        <v>3194.0734151612669</v>
      </c>
      <c r="W24" s="42">
        <f ca="1">$A24*$B24*VLOOKUP($C24,$C$13:$Y$16,W$22,FALSE)*VLOOKUP($D24,'Units per home'!$A$32:$U$34,'SC-New'!W$22-1,FALSE)</f>
        <v>3097.9606924674781</v>
      </c>
      <c r="X24" s="42">
        <f ca="1">$A24*$B24*VLOOKUP($C24,$C$13:$Y$16,X$22,FALSE)*VLOOKUP($D24,'Units per home'!$A$32:$U$34,'SC-New'!X$22-1,FALSE)</f>
        <v>3052.1921503107715</v>
      </c>
      <c r="Y24" s="42"/>
      <c r="AA24" s="42">
        <f t="shared" ca="1" si="3"/>
        <v>73637.578653106248</v>
      </c>
    </row>
    <row r="25" spans="1:27">
      <c r="A25" s="64">
        <f>INDEX([2]!ResApplic,MATCH($C$22,[2]APPLIC!$B$9:$B$120,0)+1,MATCH($C25,[2]APPLIC!$C$8:$F$8,0)+1)</f>
        <v>0.44999999999999996</v>
      </c>
      <c r="B25" s="78">
        <f>VLOOKUP($D25,'Units per home'!$A$18:$E$20,MATCH($C25,'Units per home'!$B$17:$E$17,0)+1,FALSE)</f>
        <v>0.45062457275939666</v>
      </c>
      <c r="C25" s="9" t="str">
        <f>C15</f>
        <v>Multifamily - High Rise</v>
      </c>
      <c r="D25" s="9" t="s">
        <v>153</v>
      </c>
      <c r="E25" s="42">
        <f ca="1">$A25*$B25*VLOOKUP($C25,$C$13:$Y$16,E$22,FALSE)*VLOOKUP($D25,'Units per home'!$A$32:$U$34,'SC-New'!E$22-1,FALSE)</f>
        <v>1013.8267940122735</v>
      </c>
      <c r="F25" s="42">
        <f ca="1">$A25*$B25*VLOOKUP($C25,$C$13:$Y$16,F$22,FALSE)*VLOOKUP($D25,'Units per home'!$A$32:$U$34,'SC-New'!F$22-1,FALSE)</f>
        <v>1005.2804710123188</v>
      </c>
      <c r="G25" s="42">
        <f ca="1">$A25*$B25*VLOOKUP($C25,$C$13:$Y$16,G$22,FALSE)*VLOOKUP($D25,'Units per home'!$A$32:$U$34,'SC-New'!G$22-1,FALSE)</f>
        <v>1000.0314717028687</v>
      </c>
      <c r="H25" s="42">
        <f ca="1">$A25*$B25*VLOOKUP($C25,$C$13:$Y$16,H$22,FALSE)*VLOOKUP($D25,'Units per home'!$A$32:$U$34,'SC-New'!H$22-1,FALSE)</f>
        <v>935.31720016666077</v>
      </c>
      <c r="I25" s="42">
        <f ca="1">$A25*$B25*VLOOKUP($C25,$C$13:$Y$16,I$22,FALSE)*VLOOKUP($D25,'Units per home'!$A$32:$U$34,'SC-New'!I$22-1,FALSE)</f>
        <v>854.89558292339916</v>
      </c>
      <c r="J25" s="42">
        <f ca="1">$A25*$B25*VLOOKUP($C25,$C$13:$Y$16,J$22,FALSE)*VLOOKUP($D25,'Units per home'!$A$32:$U$34,'SC-New'!J$22-1,FALSE)</f>
        <v>827.19724512291214</v>
      </c>
      <c r="K25" s="42">
        <f ca="1">$A25*$B25*VLOOKUP($C25,$C$13:$Y$16,K$22,FALSE)*VLOOKUP($D25,'Units per home'!$A$32:$U$34,'SC-New'!K$22-1,FALSE)</f>
        <v>812.9127524256586</v>
      </c>
      <c r="L25" s="42">
        <f ca="1">$A25*$B25*VLOOKUP($C25,$C$13:$Y$16,L$22,FALSE)*VLOOKUP($D25,'Units per home'!$A$32:$U$34,'SC-New'!L$22-1,FALSE)</f>
        <v>828.99817785743028</v>
      </c>
      <c r="M25" s="42">
        <f ca="1">$A25*$B25*VLOOKUP($C25,$C$13:$Y$16,M$22,FALSE)*VLOOKUP($D25,'Units per home'!$A$32:$U$34,'SC-New'!M$22-1,FALSE)</f>
        <v>833.81426235347078</v>
      </c>
      <c r="N25" s="42">
        <f ca="1">$A25*$B25*VLOOKUP($C25,$C$13:$Y$16,N$22,FALSE)*VLOOKUP($D25,'Units per home'!$A$32:$U$34,'SC-New'!N$22-1,FALSE)</f>
        <v>846.84161563559815</v>
      </c>
      <c r="O25" s="42">
        <f ca="1">$A25*$B25*VLOOKUP($C25,$C$13:$Y$16,O$22,FALSE)*VLOOKUP($D25,'Units per home'!$A$32:$U$34,'SC-New'!O$22-1,FALSE)</f>
        <v>830.73570363699071</v>
      </c>
      <c r="P25" s="42">
        <f ca="1">$A25*$B25*VLOOKUP($C25,$C$13:$Y$16,P$22,FALSE)*VLOOKUP($D25,'Units per home'!$A$32:$U$34,'SC-New'!P$22-1,FALSE)</f>
        <v>820.08247243837354</v>
      </c>
      <c r="Q25" s="42">
        <f ca="1">$A25*$B25*VLOOKUP($C25,$C$13:$Y$16,Q$22,FALSE)*VLOOKUP($D25,'Units per home'!$A$32:$U$34,'SC-New'!Q$22-1,FALSE)</f>
        <v>805.20581267677744</v>
      </c>
      <c r="R25" s="42">
        <f ca="1">$A25*$B25*VLOOKUP($C25,$C$13:$Y$16,R$22,FALSE)*VLOOKUP($D25,'Units per home'!$A$32:$U$34,'SC-New'!R$22-1,FALSE)</f>
        <v>793.71975587093345</v>
      </c>
      <c r="S25" s="42">
        <f ca="1">$A25*$B25*VLOOKUP($C25,$C$13:$Y$16,S$22,FALSE)*VLOOKUP($D25,'Units per home'!$A$32:$U$34,'SC-New'!S$22-1,FALSE)</f>
        <v>779.1121195272159</v>
      </c>
      <c r="T25" s="42">
        <f ca="1">$A25*$B25*VLOOKUP($C25,$C$13:$Y$16,T$22,FALSE)*VLOOKUP($D25,'Units per home'!$A$32:$U$34,'SC-New'!T$22-1,FALSE)</f>
        <v>754.14167296842152</v>
      </c>
      <c r="U25" s="42">
        <f ca="1">$A25*$B25*VLOOKUP($C25,$C$13:$Y$16,U$22,FALSE)*VLOOKUP($D25,'Units per home'!$A$32:$U$34,'SC-New'!U$22-1,FALSE)</f>
        <v>733.9219257647004</v>
      </c>
      <c r="V25" s="42">
        <f ca="1">$A25*$B25*VLOOKUP($C25,$C$13:$Y$16,V$22,FALSE)*VLOOKUP($D25,'Units per home'!$A$32:$U$34,'SC-New'!V$22-1,FALSE)</f>
        <v>709.06527029697395</v>
      </c>
      <c r="W25" s="42">
        <f ca="1">$A25*$B25*VLOOKUP($C25,$C$13:$Y$16,W$22,FALSE)*VLOOKUP($D25,'Units per home'!$A$32:$U$34,'SC-New'!W$22-1,FALSE)</f>
        <v>698.55375895823124</v>
      </c>
      <c r="X25" s="42">
        <f ca="1">$A25*$B25*VLOOKUP($C25,$C$13:$Y$16,X$22,FALSE)*VLOOKUP($D25,'Units per home'!$A$32:$U$34,'SC-New'!X$22-1,FALSE)</f>
        <v>687.69973020256214</v>
      </c>
      <c r="Y25" s="42"/>
      <c r="AA25" s="42">
        <f t="shared" ca="1" si="3"/>
        <v>16571.353795553769</v>
      </c>
    </row>
    <row r="26" spans="1:27">
      <c r="A26" s="64">
        <f>INDEX([2]!ResApplic,MATCH($C$22,[2]APPLIC!$B$9:$B$120,0)+1,MATCH($C26,[2]APPLIC!$C$8:$F$8,0)+1)</f>
        <v>0.44999999999999996</v>
      </c>
      <c r="B26" s="78">
        <f>VLOOKUP($D26,'Units per home'!$A$18:$E$20,MATCH($C26,'Units per home'!$B$17:$E$17,0)+1,FALSE)</f>
        <v>0.72198913200149573</v>
      </c>
      <c r="C26" t="s">
        <v>51</v>
      </c>
      <c r="D26" s="9" t="s">
        <v>153</v>
      </c>
      <c r="E26" s="42">
        <f ca="1">$A26*$B26*VLOOKUP($C26,$C$13:$Y$16,E$22,FALSE)*VLOOKUP($D26,'Units per home'!$A$32:$U$34,'SC-New'!E$22-1,FALSE)</f>
        <v>581.0764785360119</v>
      </c>
      <c r="F26" s="42">
        <f ca="1">$A26*$B26*VLOOKUP($C26,$C$13:$Y$16,F$22,FALSE)*VLOOKUP($D26,'Units per home'!$A$32:$U$34,'SC-New'!F$22-1,FALSE)</f>
        <v>578.42658499262541</v>
      </c>
      <c r="G26" s="42">
        <f ca="1">$A26*$B26*VLOOKUP($C26,$C$13:$Y$16,G$22,FALSE)*VLOOKUP($D26,'Units per home'!$A$32:$U$34,'SC-New'!G$22-1,FALSE)</f>
        <v>592.45670264676642</v>
      </c>
      <c r="H26" s="42">
        <f ca="1">$A26*$B26*VLOOKUP($C26,$C$13:$Y$16,H$22,FALSE)*VLOOKUP($D26,'Units per home'!$A$32:$U$34,'SC-New'!H$22-1,FALSE)</f>
        <v>607.49273324759633</v>
      </c>
      <c r="I26" s="42">
        <f ca="1">$A26*$B26*VLOOKUP($C26,$C$13:$Y$16,I$22,FALSE)*VLOOKUP($D26,'Units per home'!$A$32:$U$34,'SC-New'!I$22-1,FALSE)</f>
        <v>582.38115323322018</v>
      </c>
      <c r="J26" s="42">
        <f ca="1">$A26*$B26*VLOOKUP($C26,$C$13:$Y$16,J$22,FALSE)*VLOOKUP($D26,'Units per home'!$A$32:$U$34,'SC-New'!J$22-1,FALSE)</f>
        <v>566.78726402244013</v>
      </c>
      <c r="K26" s="42">
        <f ca="1">$A26*$B26*VLOOKUP($C26,$C$13:$Y$16,K$22,FALSE)*VLOOKUP($D26,'Units per home'!$A$32:$U$34,'SC-New'!K$22-1,FALSE)</f>
        <v>562.320623570507</v>
      </c>
      <c r="L26" s="42">
        <f ca="1">$A26*$B26*VLOOKUP($C26,$C$13:$Y$16,L$22,FALSE)*VLOOKUP($D26,'Units per home'!$A$32:$U$34,'SC-New'!L$22-1,FALSE)</f>
        <v>559.20026426629943</v>
      </c>
      <c r="M26" s="42">
        <f ca="1">$A26*$B26*VLOOKUP($C26,$C$13:$Y$16,M$22,FALSE)*VLOOKUP($D26,'Units per home'!$A$32:$U$34,'SC-New'!M$22-1,FALSE)</f>
        <v>556.01379952290438</v>
      </c>
      <c r="N26" s="42">
        <f ca="1">$A26*$B26*VLOOKUP($C26,$C$13:$Y$16,N$22,FALSE)*VLOOKUP($D26,'Units per home'!$A$32:$U$34,'SC-New'!N$22-1,FALSE)</f>
        <v>550.1635440146016</v>
      </c>
      <c r="O26" s="42">
        <f ca="1">$A26*$B26*VLOOKUP($C26,$C$13:$Y$16,O$22,FALSE)*VLOOKUP($D26,'Units per home'!$A$32:$U$34,'SC-New'!O$22-1,FALSE)</f>
        <v>541.06857562835023</v>
      </c>
      <c r="P26" s="42">
        <f ca="1">$A26*$B26*VLOOKUP($C26,$C$13:$Y$16,P$22,FALSE)*VLOOKUP($D26,'Units per home'!$A$32:$U$34,'SC-New'!P$22-1,FALSE)</f>
        <v>534.45570076956653</v>
      </c>
      <c r="Q26" s="42">
        <f ca="1">$A26*$B26*VLOOKUP($C26,$C$13:$Y$16,Q$22,FALSE)*VLOOKUP($D26,'Units per home'!$A$32:$U$34,'SC-New'!Q$22-1,FALSE)</f>
        <v>529.23252020146799</v>
      </c>
      <c r="R26" s="42">
        <f ca="1">$A26*$B26*VLOOKUP($C26,$C$13:$Y$16,R$22,FALSE)*VLOOKUP($D26,'Units per home'!$A$32:$U$34,'SC-New'!R$22-1,FALSE)</f>
        <v>523.90618770230276</v>
      </c>
      <c r="S26" s="42">
        <f ca="1">$A26*$B26*VLOOKUP($C26,$C$13:$Y$16,S$22,FALSE)*VLOOKUP($D26,'Units per home'!$A$32:$U$34,'SC-New'!S$22-1,FALSE)</f>
        <v>518.25791657644584</v>
      </c>
      <c r="T26" s="42">
        <f ca="1">$A26*$B26*VLOOKUP($C26,$C$13:$Y$16,T$22,FALSE)*VLOOKUP($D26,'Units per home'!$A$32:$U$34,'SC-New'!T$22-1,FALSE)</f>
        <v>512.23692302624886</v>
      </c>
      <c r="U26" s="42">
        <f ca="1">$A26*$B26*VLOOKUP($C26,$C$13:$Y$16,U$22,FALSE)*VLOOKUP($D26,'Units per home'!$A$32:$U$34,'SC-New'!U$22-1,FALSE)</f>
        <v>506.19702082872021</v>
      </c>
      <c r="V26" s="42">
        <f ca="1">$A26*$B26*VLOOKUP($C26,$C$13:$Y$16,V$22,FALSE)*VLOOKUP($D26,'Units per home'!$A$32:$U$34,'SC-New'!V$22-1,FALSE)</f>
        <v>500.63755708261192</v>
      </c>
      <c r="W26" s="42">
        <f ca="1">$A26*$B26*VLOOKUP($C26,$C$13:$Y$16,W$22,FALSE)*VLOOKUP($D26,'Units per home'!$A$32:$U$34,'SC-New'!W$22-1,FALSE)</f>
        <v>495.25592630539859</v>
      </c>
      <c r="X26" s="42">
        <f ca="1">$A26*$B26*VLOOKUP($C26,$C$13:$Y$16,X$22,FALSE)*VLOOKUP($D26,'Units per home'!$A$32:$U$34,'SC-New'!X$22-1,FALSE)</f>
        <v>489.84986167948665</v>
      </c>
      <c r="Y26" s="42"/>
      <c r="AA26" s="42">
        <f t="shared" ca="1" si="3"/>
        <v>10887.417337853571</v>
      </c>
    </row>
    <row r="27" spans="1:27">
      <c r="A27" s="64"/>
      <c r="B27" s="78"/>
      <c r="E27" s="36"/>
      <c r="F27" s="36"/>
      <c r="G27" s="36"/>
      <c r="H27" s="36"/>
      <c r="I27" s="36"/>
      <c r="J27" s="36"/>
      <c r="K27" s="36"/>
      <c r="L27" s="36"/>
      <c r="M27" s="36"/>
      <c r="N27" s="36"/>
      <c r="O27" s="36"/>
      <c r="P27" s="36"/>
      <c r="Q27" s="36"/>
      <c r="R27" s="36"/>
      <c r="S27" s="36"/>
      <c r="T27" s="36"/>
      <c r="U27" s="36"/>
      <c r="V27" s="36"/>
      <c r="W27" s="36"/>
      <c r="X27" s="36"/>
      <c r="Y27" s="36"/>
      <c r="AA27" s="42"/>
    </row>
    <row r="28" spans="1:27">
      <c r="A28" s="64"/>
      <c r="B28" s="78"/>
      <c r="E28" s="36"/>
      <c r="F28" s="36"/>
      <c r="G28" s="36"/>
      <c r="H28" s="36"/>
      <c r="I28" s="36"/>
      <c r="J28" s="36"/>
      <c r="K28" s="36"/>
      <c r="L28" s="36"/>
      <c r="M28" s="36"/>
      <c r="N28" s="36"/>
      <c r="O28" s="36"/>
      <c r="P28" s="36"/>
      <c r="Q28" s="36"/>
      <c r="R28" s="36"/>
      <c r="S28" s="36"/>
      <c r="T28" s="36"/>
      <c r="U28" s="36"/>
      <c r="V28" s="36"/>
      <c r="W28" s="36"/>
      <c r="X28" s="36"/>
      <c r="Y28" s="36"/>
      <c r="AA28" s="42"/>
    </row>
    <row r="29" spans="1:27">
      <c r="A29" s="64"/>
      <c r="B29" s="78"/>
      <c r="E29" s="36"/>
      <c r="F29" s="36"/>
      <c r="G29" s="36"/>
      <c r="H29" s="36"/>
      <c r="I29" s="36"/>
      <c r="J29" s="36"/>
      <c r="K29" s="36"/>
      <c r="L29" s="36"/>
      <c r="M29" s="36"/>
      <c r="N29" s="36"/>
      <c r="O29" s="36"/>
      <c r="P29" s="36"/>
      <c r="Q29" s="36"/>
      <c r="R29" s="36"/>
      <c r="S29" s="36"/>
      <c r="T29" s="36"/>
      <c r="U29" s="36"/>
      <c r="V29" s="36"/>
      <c r="W29" s="36"/>
      <c r="X29" s="36"/>
      <c r="Y29" s="36"/>
      <c r="AA29" s="42"/>
    </row>
    <row r="30" spans="1:27">
      <c r="A30" s="64"/>
      <c r="B30" s="78"/>
      <c r="E30" s="36"/>
      <c r="F30" s="36"/>
      <c r="G30" s="36"/>
      <c r="H30" s="36"/>
      <c r="I30" s="36"/>
      <c r="J30" s="36"/>
      <c r="K30" s="36"/>
      <c r="L30" s="36"/>
      <c r="M30" s="36"/>
      <c r="N30" s="36"/>
      <c r="O30" s="36"/>
      <c r="P30" s="36"/>
      <c r="Q30" s="36"/>
      <c r="R30" s="36"/>
      <c r="S30" s="36"/>
      <c r="T30" s="36"/>
      <c r="U30" s="36"/>
      <c r="V30" s="36"/>
      <c r="W30" s="36"/>
      <c r="X30" s="36"/>
      <c r="Y30" s="36"/>
      <c r="AA30" s="42"/>
    </row>
    <row r="31" spans="1:27">
      <c r="A31" s="64"/>
      <c r="B31" s="78"/>
      <c r="E31" s="36"/>
      <c r="F31" s="36"/>
      <c r="G31" s="36"/>
      <c r="H31" s="36"/>
      <c r="I31" s="36"/>
      <c r="J31" s="36"/>
      <c r="K31" s="36"/>
      <c r="L31" s="36"/>
      <c r="M31" s="36"/>
      <c r="N31" s="36"/>
      <c r="O31" s="36"/>
      <c r="P31" s="36"/>
      <c r="Q31" s="36"/>
      <c r="R31" s="36"/>
      <c r="S31" s="36"/>
      <c r="T31" s="36"/>
      <c r="U31" s="36"/>
      <c r="V31" s="36"/>
      <c r="W31" s="36"/>
      <c r="X31" s="36"/>
      <c r="Y31" s="36"/>
      <c r="AA31" s="42"/>
    </row>
    <row r="32" spans="1:27">
      <c r="A32" s="64"/>
      <c r="B32" s="78"/>
      <c r="E32" s="36"/>
      <c r="F32" s="36"/>
      <c r="G32" s="36"/>
      <c r="H32" s="36"/>
      <c r="I32" s="36"/>
      <c r="J32" s="36"/>
      <c r="K32" s="36"/>
      <c r="L32" s="36"/>
      <c r="M32" s="36"/>
      <c r="N32" s="36"/>
      <c r="O32" s="36"/>
      <c r="P32" s="36"/>
      <c r="Q32" s="36"/>
      <c r="R32" s="36"/>
      <c r="S32" s="36"/>
      <c r="T32" s="36"/>
      <c r="U32" s="36"/>
      <c r="V32" s="36"/>
      <c r="W32" s="36"/>
      <c r="X32" s="36"/>
      <c r="Y32" s="36"/>
      <c r="AA32" s="42"/>
    </row>
    <row r="33" spans="1:69">
      <c r="A33" s="64"/>
      <c r="B33" s="78"/>
      <c r="E33" s="36"/>
      <c r="F33" s="36"/>
      <c r="G33" s="36"/>
      <c r="H33" s="36"/>
      <c r="I33" s="36"/>
      <c r="J33" s="36"/>
      <c r="K33" s="36"/>
      <c r="L33" s="36"/>
      <c r="M33" s="36"/>
      <c r="N33" s="36"/>
      <c r="O33" s="36"/>
      <c r="P33" s="36"/>
      <c r="Q33" s="36"/>
      <c r="R33" s="36"/>
      <c r="S33" s="36"/>
      <c r="T33" s="36"/>
      <c r="U33" s="36"/>
      <c r="V33" s="36"/>
      <c r="W33" s="36"/>
      <c r="X33" s="36"/>
      <c r="Y33" s="36"/>
      <c r="AA33" s="42"/>
    </row>
    <row r="34" spans="1:69">
      <c r="A34" s="64"/>
      <c r="B34" s="78"/>
      <c r="E34" s="36"/>
      <c r="F34" s="36"/>
      <c r="G34" s="36"/>
      <c r="H34" s="36"/>
      <c r="I34" s="36"/>
      <c r="J34" s="36"/>
      <c r="K34" s="36"/>
      <c r="L34" s="36"/>
      <c r="M34" s="36"/>
      <c r="N34" s="36"/>
      <c r="O34" s="36"/>
      <c r="P34" s="36"/>
      <c r="Q34" s="36"/>
      <c r="R34" s="36"/>
      <c r="S34" s="36"/>
      <c r="T34" s="36"/>
      <c r="U34" s="36"/>
      <c r="V34" s="36"/>
      <c r="W34" s="36"/>
      <c r="X34" s="36"/>
      <c r="Y34" s="36"/>
      <c r="AA34" s="42"/>
    </row>
    <row r="35" spans="1:69">
      <c r="E35" s="42"/>
      <c r="F35" s="42"/>
      <c r="G35" s="42"/>
      <c r="H35" s="42"/>
      <c r="I35" s="42"/>
      <c r="J35" s="42"/>
      <c r="K35" s="42"/>
      <c r="L35" s="42"/>
      <c r="M35" s="42"/>
      <c r="N35" s="42"/>
      <c r="O35" s="42"/>
      <c r="P35" s="42"/>
      <c r="Q35" s="42"/>
      <c r="R35" s="42"/>
      <c r="S35" s="42"/>
      <c r="T35" s="42"/>
      <c r="U35" s="42"/>
      <c r="V35" s="42"/>
      <c r="W35" s="42"/>
      <c r="X35" s="42"/>
      <c r="Y35" s="42"/>
    </row>
    <row r="36" spans="1:69">
      <c r="E36" s="42">
        <f t="shared" ref="E36:X36" ca="1" si="4">SUM(E23:E26)</f>
        <v>33713.414667236691</v>
      </c>
      <c r="F36" s="42">
        <f t="shared" ca="1" si="4"/>
        <v>32111.445166017398</v>
      </c>
      <c r="G36" s="42">
        <f t="shared" ca="1" si="4"/>
        <v>30394.506972281783</v>
      </c>
      <c r="H36" s="42">
        <f t="shared" ca="1" si="4"/>
        <v>29099.461349957346</v>
      </c>
      <c r="I36" s="42">
        <f t="shared" ca="1" si="4"/>
        <v>27829.085010809707</v>
      </c>
      <c r="J36" s="42">
        <f t="shared" ca="1" si="4"/>
        <v>26302.434329427822</v>
      </c>
      <c r="K36" s="42">
        <f t="shared" ca="1" si="4"/>
        <v>25387.921492609872</v>
      </c>
      <c r="L36" s="42">
        <f t="shared" ca="1" si="4"/>
        <v>25103.664988564116</v>
      </c>
      <c r="M36" s="42">
        <f t="shared" ca="1" si="4"/>
        <v>24724.048533754121</v>
      </c>
      <c r="N36" s="42">
        <f t="shared" ca="1" si="4"/>
        <v>24915.431707584277</v>
      </c>
      <c r="O36" s="42">
        <f t="shared" ca="1" si="4"/>
        <v>24778.981357182867</v>
      </c>
      <c r="P36" s="42">
        <f t="shared" ca="1" si="4"/>
        <v>24250.957114699449</v>
      </c>
      <c r="Q36" s="42">
        <f t="shared" ca="1" si="4"/>
        <v>23477.109680722046</v>
      </c>
      <c r="R36" s="42">
        <f t="shared" ca="1" si="4"/>
        <v>23192.949048653081</v>
      </c>
      <c r="S36" s="42">
        <f t="shared" ca="1" si="4"/>
        <v>23098.012366329262</v>
      </c>
      <c r="T36" s="42">
        <f t="shared" ca="1" si="4"/>
        <v>22676.755072148087</v>
      </c>
      <c r="U36" s="42">
        <f t="shared" ca="1" si="4"/>
        <v>21765.396899016672</v>
      </c>
      <c r="V36" s="42">
        <f t="shared" ca="1" si="4"/>
        <v>21437.109323404566</v>
      </c>
      <c r="W36" s="42">
        <f t="shared" ca="1" si="4"/>
        <v>21179.665666889883</v>
      </c>
      <c r="X36" s="42">
        <f t="shared" ca="1" si="4"/>
        <v>21044.707593754527</v>
      </c>
      <c r="Y36" s="42"/>
      <c r="AA36" s="42">
        <f ca="1">SUM(E36:Y36)</f>
        <v>506483.05834104359</v>
      </c>
    </row>
    <row r="37" spans="1:69">
      <c r="E37" s="42"/>
      <c r="F37" s="42"/>
      <c r="G37" s="42"/>
      <c r="H37" s="42"/>
      <c r="I37" s="42"/>
      <c r="J37" s="42"/>
      <c r="K37" s="42"/>
      <c r="L37" s="42"/>
      <c r="M37" s="42"/>
      <c r="N37" s="42"/>
      <c r="O37" s="42"/>
      <c r="P37" s="42"/>
      <c r="Q37" s="42"/>
      <c r="R37" s="42"/>
      <c r="S37" s="42"/>
      <c r="T37" s="42"/>
      <c r="U37" s="42"/>
      <c r="V37" s="42"/>
      <c r="W37" s="42"/>
      <c r="X37" s="42"/>
      <c r="Y37" s="42"/>
    </row>
    <row r="39" spans="1:69" ht="15.75" thickBot="1">
      <c r="A39" s="63" t="str">
        <f>CONCATENATE("# UNITS ACHIEVABLE BY YEAR FOR MEASURE - ",C40)</f>
        <v># UNITS ACHIEVABLE BY YEAR FOR MEASURE - Monitor - New</v>
      </c>
      <c r="D39" s="72" t="s">
        <v>60</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row>
    <row r="40" spans="1:69" ht="15.75" thickBot="1">
      <c r="C40" s="72" t="str">
        <f>CONCATENATE(C8," - ",C7)</f>
        <v>Monitor - New</v>
      </c>
      <c r="D40" s="72"/>
      <c r="E40" s="76">
        <f>VLOOKUP($C$40,[2]ACHIEV!$B$9:$X$100,MATCH(E$11,$E$11:$Y$11,0)+2,FALSE)</f>
        <v>0.45</v>
      </c>
      <c r="F40" s="76">
        <f>VLOOKUP($C$40,[2]ACHIEV!$B$9:$X$100,MATCH(F$11,$E$11:$Y$11,0)+2,FALSE)</f>
        <v>0.66</v>
      </c>
      <c r="G40" s="76">
        <f>VLOOKUP($C$40,[2]ACHIEV!$B$9:$X$100,MATCH(G$11,$E$11:$Y$11,0)+2,FALSE)</f>
        <v>0.8</v>
      </c>
      <c r="H40" s="76">
        <f>VLOOKUP($C$40,[2]ACHIEV!$B$9:$X$100,MATCH(H$11,$E$11:$Y$11,0)+2,FALSE)</f>
        <v>0.89</v>
      </c>
      <c r="I40" s="76">
        <f>VLOOKUP($C$40,[2]ACHIEV!$B$9:$X$100,MATCH(I$11,$E$11:$Y$11,0)+2,FALSE)</f>
        <v>0.94954036260972652</v>
      </c>
      <c r="J40" s="76">
        <f>VLOOKUP($C$40,[2]ACHIEV!$B$9:$X$100,MATCH(J$11,$E$11:$Y$11,0)+2,FALSE)</f>
        <v>0.97931054391458994</v>
      </c>
      <c r="K40" s="76">
        <f>VLOOKUP($C$40,[2]ACHIEV!$B$9:$X$100,MATCH(K$11,$E$11:$Y$11,0)+2,FALSE)</f>
        <v>0.99254173560564019</v>
      </c>
      <c r="L40" s="76">
        <f>VLOOKUP($C$40,[2]ACHIEV!$B$9:$X$100,MATCH(L$11,$E$11:$Y$11,0)+2,FALSE)</f>
        <v>0.99783421228206048</v>
      </c>
      <c r="M40" s="76">
        <f>VLOOKUP($C$40,[2]ACHIEV!$B$9:$X$100,MATCH(M$11,$E$11:$Y$11,0)+2,FALSE)</f>
        <v>0.99975874925530417</v>
      </c>
      <c r="N40" s="76">
        <f>VLOOKUP($C$40,[2]ACHIEV!$B$9:$X$100,MATCH(N$11,$E$11:$Y$11,0)+2,FALSE)</f>
        <v>1.0004002615797187</v>
      </c>
      <c r="O40" s="76">
        <f>VLOOKUP($C$40,[2]ACHIEV!$B$9:$X$100,MATCH(O$11,$E$11:$Y$11,0)+2,FALSE)</f>
        <v>1.0005976499872309</v>
      </c>
      <c r="P40" s="76">
        <f>VLOOKUP($C$40,[2]ACHIEV!$B$9:$X$100,MATCH(P$11,$E$11:$Y$11,0)+2,FALSE)</f>
        <v>1.0006540466750915</v>
      </c>
      <c r="Q40" s="76">
        <f>VLOOKUP($C$40,[2]ACHIEV!$B$9:$X$100,MATCH(Q$11,$E$11:$Y$11,0)+2,FALSE)</f>
        <v>1.0006690857918545</v>
      </c>
      <c r="R40" s="76">
        <f>VLOOKUP($C$40,[2]ACHIEV!$B$9:$X$100,MATCH(R$11,$E$11:$Y$11,0)+2,FALSE)</f>
        <v>1.000672845571045</v>
      </c>
      <c r="S40" s="76">
        <f>VLOOKUP($C$40,[2]ACHIEV!$B$9:$X$100,MATCH(S$11,$E$11:$Y$11,0)+2,FALSE)</f>
        <v>1.0006737302249724</v>
      </c>
      <c r="T40" s="76">
        <f>VLOOKUP($C$40,[2]ACHIEV!$B$9:$X$100,MATCH(T$11,$E$11:$Y$11,0)+2,FALSE)</f>
        <v>1.0006739268147338</v>
      </c>
      <c r="U40" s="76">
        <f>VLOOKUP($C$40,[2]ACHIEV!$B$9:$X$100,MATCH(U$11,$E$11:$Y$11,0)+2,FALSE)</f>
        <v>1.0006739682020522</v>
      </c>
      <c r="V40" s="76">
        <f>VLOOKUP($C$40,[2]ACHIEV!$B$9:$X$100,MATCH(V$11,$E$11:$Y$11,0)+2,FALSE)</f>
        <v>1.0006739764795158</v>
      </c>
      <c r="W40" s="76">
        <f>VLOOKUP($C$40,[2]ACHIEV!$B$9:$X$100,MATCH(W$11,$E$11:$Y$11,0)+2,FALSE)</f>
        <v>1.0006739780561755</v>
      </c>
      <c r="X40" s="76">
        <f>VLOOKUP($C$40,[2]ACHIEV!$B$9:$X$100,MATCH(X$11,$E$11:$Y$11,0)+2,FALSE)</f>
        <v>1.0006739783428409</v>
      </c>
      <c r="Y40" s="76"/>
      <c r="AA40" s="396">
        <v>0.85</v>
      </c>
    </row>
    <row r="41" spans="1:69">
      <c r="C41" s="9" t="str">
        <f>C23</f>
        <v>Single Family</v>
      </c>
      <c r="E41" s="42">
        <f ca="1">E23*E$40*$AA$40</f>
        <v>10557.920683488495</v>
      </c>
      <c r="F41" s="42">
        <f t="shared" ref="F41:X44" ca="1" si="5">F23*F$40*$AA$40</f>
        <v>14648.757035712057</v>
      </c>
      <c r="G41" s="42">
        <f t="shared" ca="1" si="5"/>
        <v>16642.551098746218</v>
      </c>
      <c r="H41" s="42">
        <f t="shared" ca="1" si="5"/>
        <v>17712.302589546045</v>
      </c>
      <c r="I41" s="42">
        <f t="shared" ca="1" si="5"/>
        <v>18184.243518487594</v>
      </c>
      <c r="J41" s="42">
        <f t="shared" ca="1" si="5"/>
        <v>17669.63728768369</v>
      </c>
      <c r="K41" s="42">
        <f t="shared" ca="1" si="5"/>
        <v>17215.216131889916</v>
      </c>
      <c r="L41" s="42">
        <f t="shared" ca="1" si="5"/>
        <v>17032.688403663815</v>
      </c>
      <c r="M41" s="42">
        <f t="shared" ca="1" si="5"/>
        <v>16701.631749886354</v>
      </c>
      <c r="N41" s="42">
        <f t="shared" ca="1" si="5"/>
        <v>16819.756401286453</v>
      </c>
      <c r="O41" s="42">
        <f t="shared" ca="1" si="5"/>
        <v>16750.923191574268</v>
      </c>
      <c r="P41" s="42">
        <f t="shared" ca="1" si="5"/>
        <v>16351.885573467649</v>
      </c>
      <c r="Q41" s="42">
        <f t="shared" ca="1" si="5"/>
        <v>15740.986652550539</v>
      </c>
      <c r="R41" s="42">
        <f t="shared" ca="1" si="5"/>
        <v>15581.465857293475</v>
      </c>
      <c r="S41" s="42">
        <f t="shared" ca="1" si="5"/>
        <v>15587.710271608117</v>
      </c>
      <c r="T41" s="42">
        <f t="shared" ca="1" si="5"/>
        <v>15348.454095659614</v>
      </c>
      <c r="U41" s="42">
        <f t="shared" ca="1" si="5"/>
        <v>14675.704215982951</v>
      </c>
      <c r="V41" s="42">
        <f t="shared" ca="1" si="5"/>
        <v>14488.091174718775</v>
      </c>
      <c r="W41" s="42">
        <f t="shared" ca="1" si="5"/>
        <v>14364.385755998859</v>
      </c>
      <c r="X41" s="42">
        <f t="shared" ca="1" si="5"/>
        <v>14302.353958224076</v>
      </c>
      <c r="Y41" s="42"/>
      <c r="AA41" s="42">
        <f t="shared" ref="AA41:AA44" ca="1" si="6">SUM(E41:Y41)</f>
        <v>316376.66564746888</v>
      </c>
    </row>
    <row r="42" spans="1:69">
      <c r="C42" s="9" t="str">
        <f>C24</f>
        <v>Multifamily - Low Rise</v>
      </c>
      <c r="E42" s="42">
        <f t="shared" ref="E42:T44" ca="1" si="7">E24*E$40*$AA$40</f>
        <v>1727.4099249798192</v>
      </c>
      <c r="F42" s="42">
        <f t="shared" ca="1" si="7"/>
        <v>2477.3040440049299</v>
      </c>
      <c r="G42" s="42">
        <f t="shared" ca="1" si="7"/>
        <v>2942.8216838476446</v>
      </c>
      <c r="H42" s="42">
        <f t="shared" ca="1" si="7"/>
        <v>3134.3042070688034</v>
      </c>
      <c r="I42" s="42">
        <f t="shared" ca="1" si="7"/>
        <v>3116.8306006968101</v>
      </c>
      <c r="J42" s="42">
        <f t="shared" ca="1" si="7"/>
        <v>3064.504122650892</v>
      </c>
      <c r="K42" s="42">
        <f t="shared" ca="1" si="7"/>
        <v>3043.3397369576774</v>
      </c>
      <c r="L42" s="42">
        <f t="shared" ca="1" si="7"/>
        <v>3081.7998945647514</v>
      </c>
      <c r="M42" s="42">
        <f t="shared" ca="1" si="7"/>
        <v>3127.6706628538545</v>
      </c>
      <c r="N42" s="42">
        <f t="shared" ca="1" si="7"/>
        <v>3178.9076586357</v>
      </c>
      <c r="O42" s="42">
        <f t="shared" ca="1" si="7"/>
        <v>3157.0682288750995</v>
      </c>
      <c r="P42" s="42">
        <f t="shared" ca="1" si="7"/>
        <v>3122.7995544782862</v>
      </c>
      <c r="Q42" s="42">
        <f t="shared" ca="1" si="7"/>
        <v>3092.8770378903541</v>
      </c>
      <c r="R42" s="42">
        <f t="shared" ca="1" si="7"/>
        <v>3025.0696891508587</v>
      </c>
      <c r="S42" s="42">
        <f t="shared" ca="1" si="7"/>
        <v>2955.3202979960729</v>
      </c>
      <c r="T42" s="42">
        <f t="shared" ca="1" si="7"/>
        <v>2862.6305818684909</v>
      </c>
      <c r="U42" s="42">
        <f t="shared" ca="1" si="5"/>
        <v>2782.5404205532982</v>
      </c>
      <c r="V42" s="42">
        <f t="shared" ca="1" si="5"/>
        <v>2716.7922236893924</v>
      </c>
      <c r="W42" s="42">
        <f t="shared" ca="1" si="5"/>
        <v>2635.0413524941314</v>
      </c>
      <c r="X42" s="42">
        <f t="shared" ca="1" si="5"/>
        <v>2596.1118724605294</v>
      </c>
      <c r="Y42" s="42"/>
      <c r="AA42" s="42">
        <f t="shared" ca="1" si="6"/>
        <v>57841.143795717406</v>
      </c>
    </row>
    <row r="43" spans="1:69">
      <c r="C43" s="9" t="s">
        <v>50</v>
      </c>
      <c r="E43" s="42">
        <f t="shared" ca="1" si="7"/>
        <v>387.78874870969463</v>
      </c>
      <c r="F43" s="42">
        <f t="shared" ca="1" si="5"/>
        <v>563.96234423791077</v>
      </c>
      <c r="G43" s="42">
        <f t="shared" ca="1" si="5"/>
        <v>680.02140075795069</v>
      </c>
      <c r="H43" s="42">
        <f t="shared" ca="1" si="5"/>
        <v>707.56746192607886</v>
      </c>
      <c r="I43" s="42">
        <f t="shared" ca="1" si="5"/>
        <v>689.9941825321572</v>
      </c>
      <c r="J43" s="42">
        <f t="shared" ca="1" si="5"/>
        <v>688.57053643907409</v>
      </c>
      <c r="K43" s="42">
        <f t="shared" ca="1" si="5"/>
        <v>685.82235906024312</v>
      </c>
      <c r="L43" s="42">
        <f t="shared" ca="1" si="5"/>
        <v>703.12233221778752</v>
      </c>
      <c r="M43" s="42">
        <f t="shared" ca="1" si="5"/>
        <v>708.57113843547904</v>
      </c>
      <c r="N43" s="42">
        <f t="shared" ca="1" si="5"/>
        <v>720.10348772867735</v>
      </c>
      <c r="O43" s="42">
        <f t="shared" ca="1" si="5"/>
        <v>706.54736389671234</v>
      </c>
      <c r="P43" s="42">
        <f t="shared" ca="1" si="5"/>
        <v>697.52601795485668</v>
      </c>
      <c r="Q43" s="42">
        <f t="shared" ca="1" si="5"/>
        <v>684.88287977872437</v>
      </c>
      <c r="R43" s="42">
        <f t="shared" ca="1" si="5"/>
        <v>675.11573568932374</v>
      </c>
      <c r="S43" s="42">
        <f t="shared" ca="1" si="5"/>
        <v>662.69147627416612</v>
      </c>
      <c r="T43" s="42">
        <f t="shared" ca="1" si="5"/>
        <v>641.45242287435156</v>
      </c>
      <c r="U43" s="42">
        <f t="shared" ca="1" si="5"/>
        <v>624.25408093463648</v>
      </c>
      <c r="V43" s="42">
        <f t="shared" ca="1" si="5"/>
        <v>603.11168906985631</v>
      </c>
      <c r="W43" s="42">
        <f t="shared" ca="1" si="5"/>
        <v>594.17088353340375</v>
      </c>
      <c r="X43" s="42">
        <f t="shared" ca="1" si="5"/>
        <v>584.93874118803171</v>
      </c>
      <c r="Y43" s="42"/>
      <c r="AA43" s="42">
        <f t="shared" ca="1" si="6"/>
        <v>13010.215283239115</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c r="C44" s="9" t="str">
        <f>C26</f>
        <v>Manufactured</v>
      </c>
      <c r="E44" s="42">
        <f t="shared" ca="1" si="7"/>
        <v>222.26175304002456</v>
      </c>
      <c r="F44" s="42">
        <f t="shared" ca="1" si="5"/>
        <v>324.49731418086287</v>
      </c>
      <c r="G44" s="42">
        <f t="shared" ca="1" si="5"/>
        <v>402.87055779980119</v>
      </c>
      <c r="H44" s="42">
        <f t="shared" ca="1" si="5"/>
        <v>459.56825270180661</v>
      </c>
      <c r="I44" s="42">
        <f t="shared" ca="1" si="5"/>
        <v>470.04524970542121</v>
      </c>
      <c r="J44" s="42">
        <f t="shared" ca="1" si="5"/>
        <v>471.80163224162646</v>
      </c>
      <c r="K44" s="42">
        <f t="shared" ca="1" si="5"/>
        <v>474.40768453268936</v>
      </c>
      <c r="L44" s="42">
        <f t="shared" ca="1" si="5"/>
        <v>474.29078192177053</v>
      </c>
      <c r="M44" s="42">
        <f t="shared" ca="1" si="5"/>
        <v>472.49771166275201</v>
      </c>
      <c r="N44" s="42">
        <f t="shared" ca="1" si="5"/>
        <v>467.82619034225763</v>
      </c>
      <c r="O44" s="42">
        <f t="shared" ca="1" si="5"/>
        <v>460.18315346731566</v>
      </c>
      <c r="P44" s="42">
        <f t="shared" ca="1" si="5"/>
        <v>454.58447078209275</v>
      </c>
      <c r="Q44" s="42">
        <f t="shared" ca="1" si="5"/>
        <v>450.14862883712379</v>
      </c>
      <c r="R44" s="42">
        <f t="shared" ca="1" si="5"/>
        <v>445.61989131129013</v>
      </c>
      <c r="S44" s="42">
        <f t="shared" ca="1" si="5"/>
        <v>440.81602020929842</v>
      </c>
      <c r="T44" s="42">
        <f t="shared" ca="1" si="5"/>
        <v>435.69481324054698</v>
      </c>
      <c r="U44" s="42">
        <f t="shared" ca="1" si="5"/>
        <v>430.55745429602251</v>
      </c>
      <c r="V44" s="42">
        <f t="shared" ca="1" si="5"/>
        <v>425.82872876772069</v>
      </c>
      <c r="W44" s="42">
        <f t="shared" ca="1" si="5"/>
        <v>421.25126024213142</v>
      </c>
      <c r="X44" s="42">
        <f t="shared" ca="1" si="5"/>
        <v>416.6530083958769</v>
      </c>
      <c r="Y44" s="42"/>
      <c r="AA44" s="42">
        <f t="shared" ca="1" si="6"/>
        <v>8621.4045576784301</v>
      </c>
    </row>
    <row r="45" spans="1:69">
      <c r="E45" s="42"/>
      <c r="F45" s="42"/>
      <c r="G45" s="42"/>
      <c r="H45" s="42"/>
      <c r="I45" s="42"/>
      <c r="J45" s="42"/>
      <c r="K45" s="42"/>
      <c r="L45" s="42"/>
      <c r="M45" s="42"/>
      <c r="N45" s="42"/>
      <c r="O45" s="42"/>
      <c r="P45" s="42"/>
      <c r="Q45" s="42"/>
      <c r="R45" s="42"/>
      <c r="S45" s="42"/>
      <c r="T45" s="42"/>
      <c r="U45" s="42"/>
      <c r="V45" s="42"/>
      <c r="W45" s="42"/>
      <c r="X45" s="42"/>
      <c r="Y45" s="42"/>
    </row>
    <row r="46" spans="1:69">
      <c r="E46" s="42">
        <f t="shared" ref="E46:X46" ca="1" si="8">SUM(E41:E44)</f>
        <v>12895.381110218032</v>
      </c>
      <c r="F46" s="42">
        <f t="shared" ca="1" si="8"/>
        <v>18014.520738135761</v>
      </c>
      <c r="G46" s="42">
        <f t="shared" ca="1" si="8"/>
        <v>20668.264741151612</v>
      </c>
      <c r="H46" s="42">
        <f t="shared" ca="1" si="8"/>
        <v>22013.742511242734</v>
      </c>
      <c r="I46" s="42">
        <f t="shared" ca="1" si="8"/>
        <v>22461.113551421982</v>
      </c>
      <c r="J46" s="42">
        <f t="shared" ca="1" si="8"/>
        <v>21894.513579015282</v>
      </c>
      <c r="K46" s="42">
        <f t="shared" ca="1" si="8"/>
        <v>21418.785912440526</v>
      </c>
      <c r="L46" s="42">
        <f t="shared" ca="1" si="8"/>
        <v>21291.901412368123</v>
      </c>
      <c r="M46" s="42">
        <f t="shared" ca="1" si="8"/>
        <v>21010.371262838442</v>
      </c>
      <c r="N46" s="42">
        <f t="shared" ca="1" si="8"/>
        <v>21186.593737993087</v>
      </c>
      <c r="O46" s="42">
        <f t="shared" ca="1" si="8"/>
        <v>21074.721937813396</v>
      </c>
      <c r="P46" s="42">
        <f t="shared" ca="1" si="8"/>
        <v>20626.795616682888</v>
      </c>
      <c r="Q46" s="42">
        <f t="shared" ca="1" si="8"/>
        <v>19968.89519905674</v>
      </c>
      <c r="R46" s="42">
        <f t="shared" ca="1" si="8"/>
        <v>19727.271173444948</v>
      </c>
      <c r="S46" s="42">
        <f t="shared" ca="1" si="8"/>
        <v>19646.538066087654</v>
      </c>
      <c r="T46" s="42">
        <f t="shared" ca="1" si="8"/>
        <v>19288.231913643005</v>
      </c>
      <c r="U46" s="42">
        <f t="shared" ca="1" si="8"/>
        <v>18513.056171766908</v>
      </c>
      <c r="V46" s="42">
        <f t="shared" ca="1" si="8"/>
        <v>18233.823816245746</v>
      </c>
      <c r="W46" s="42">
        <f t="shared" ca="1" si="8"/>
        <v>18014.849252268523</v>
      </c>
      <c r="X46" s="42">
        <f t="shared" ca="1" si="8"/>
        <v>17900.057580268513</v>
      </c>
      <c r="Y46" s="42"/>
      <c r="AA46" s="42">
        <f ca="1">SUM(E46:Y46)</f>
        <v>395849.42928410386</v>
      </c>
    </row>
    <row r="48" spans="1:69">
      <c r="AA48"/>
      <c r="AB48"/>
      <c r="AC48"/>
      <c r="AD48"/>
    </row>
    <row r="49" spans="1:80" ht="15">
      <c r="A49" s="63" t="s">
        <v>62</v>
      </c>
      <c r="C49" s="72" t="str">
        <f>C8</f>
        <v>Monitor</v>
      </c>
      <c r="D49" s="72"/>
      <c r="E49" s="9" t="s">
        <v>338</v>
      </c>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ht="15">
      <c r="A50" s="72" t="s">
        <v>63</v>
      </c>
      <c r="B50" s="72" t="s">
        <v>24</v>
      </c>
      <c r="C50" s="72">
        <v>1</v>
      </c>
      <c r="D50" s="72"/>
      <c r="E50" s="66">
        <f t="shared" ref="E50:X50" si="9">E11</f>
        <v>2016</v>
      </c>
      <c r="F50" s="67">
        <f t="shared" si="9"/>
        <v>2017</v>
      </c>
      <c r="G50" s="67">
        <f t="shared" si="9"/>
        <v>2018</v>
      </c>
      <c r="H50" s="67">
        <f t="shared" si="9"/>
        <v>2019</v>
      </c>
      <c r="I50" s="67">
        <f t="shared" si="9"/>
        <v>2020</v>
      </c>
      <c r="J50" s="67">
        <f t="shared" si="9"/>
        <v>2021</v>
      </c>
      <c r="K50" s="67">
        <f t="shared" si="9"/>
        <v>2022</v>
      </c>
      <c r="L50" s="67">
        <f t="shared" si="9"/>
        <v>2023</v>
      </c>
      <c r="M50" s="67">
        <f t="shared" si="9"/>
        <v>2024</v>
      </c>
      <c r="N50" s="67">
        <f t="shared" si="9"/>
        <v>2025</v>
      </c>
      <c r="O50" s="67">
        <f t="shared" si="9"/>
        <v>2026</v>
      </c>
      <c r="P50" s="67">
        <f t="shared" si="9"/>
        <v>2027</v>
      </c>
      <c r="Q50" s="67">
        <f t="shared" si="9"/>
        <v>2028</v>
      </c>
      <c r="R50" s="67">
        <f t="shared" si="9"/>
        <v>2029</v>
      </c>
      <c r="S50" s="67">
        <f t="shared" si="9"/>
        <v>2030</v>
      </c>
      <c r="T50" s="67">
        <f t="shared" si="9"/>
        <v>2031</v>
      </c>
      <c r="U50" s="67">
        <f t="shared" si="9"/>
        <v>2032</v>
      </c>
      <c r="V50" s="67">
        <f t="shared" si="9"/>
        <v>2033</v>
      </c>
      <c r="W50" s="67">
        <f t="shared" si="9"/>
        <v>2034</v>
      </c>
      <c r="X50" s="67">
        <f t="shared" si="9"/>
        <v>2035</v>
      </c>
      <c r="Y50" s="68" t="s">
        <v>59</v>
      </c>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ht="15">
      <c r="A51" s="72" t="s">
        <v>46</v>
      </c>
      <c r="B51" s="72" t="s">
        <v>64</v>
      </c>
      <c r="C51" s="72" t="s">
        <v>65</v>
      </c>
      <c r="D51" s="72" t="s">
        <v>66</v>
      </c>
      <c r="E51" s="69" t="str">
        <f>CONCATENATE("aMW_",E$11)</f>
        <v>aMW_2016</v>
      </c>
      <c r="F51" s="70" t="str">
        <f t="shared" ref="F51:X51" si="10">CONCATENATE("aMW_",F$11)</f>
        <v>aMW_2017</v>
      </c>
      <c r="G51" s="70" t="str">
        <f t="shared" si="10"/>
        <v>aMW_2018</v>
      </c>
      <c r="H51" s="70" t="str">
        <f t="shared" si="10"/>
        <v>aMW_2019</v>
      </c>
      <c r="I51" s="70" t="str">
        <f t="shared" si="10"/>
        <v>aMW_2020</v>
      </c>
      <c r="J51" s="70" t="str">
        <f t="shared" si="10"/>
        <v>aMW_2021</v>
      </c>
      <c r="K51" s="70" t="str">
        <f t="shared" si="10"/>
        <v>aMW_2022</v>
      </c>
      <c r="L51" s="70" t="str">
        <f t="shared" si="10"/>
        <v>aMW_2023</v>
      </c>
      <c r="M51" s="70" t="str">
        <f t="shared" si="10"/>
        <v>aMW_2024</v>
      </c>
      <c r="N51" s="70" t="str">
        <f t="shared" si="10"/>
        <v>aMW_2025</v>
      </c>
      <c r="O51" s="70" t="str">
        <f t="shared" si="10"/>
        <v>aMW_2026</v>
      </c>
      <c r="P51" s="70" t="str">
        <f t="shared" si="10"/>
        <v>aMW_2027</v>
      </c>
      <c r="Q51" s="70" t="str">
        <f t="shared" si="10"/>
        <v>aMW_2028</v>
      </c>
      <c r="R51" s="70" t="str">
        <f t="shared" si="10"/>
        <v>aMW_2029</v>
      </c>
      <c r="S51" s="70" t="str">
        <f t="shared" si="10"/>
        <v>aMW_2030</v>
      </c>
      <c r="T51" s="70" t="str">
        <f t="shared" si="10"/>
        <v>aMW_2031</v>
      </c>
      <c r="U51" s="70" t="str">
        <f t="shared" si="10"/>
        <v>aMW_2032</v>
      </c>
      <c r="V51" s="70" t="str">
        <f t="shared" si="10"/>
        <v>aMW_2033</v>
      </c>
      <c r="W51" s="70" t="str">
        <f t="shared" si="10"/>
        <v>aMW_2034</v>
      </c>
      <c r="X51" s="70" t="str">
        <f t="shared" si="10"/>
        <v>aMW_2035</v>
      </c>
      <c r="Y51" s="7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65">
        <f>VLOOKUP($D52,MeasureOutput,3,FALSE)</f>
        <v>31.923177973133928</v>
      </c>
      <c r="B52" s="65">
        <f t="shared" ref="B52:B55" si="11">VLOOKUP($D52,MeasureOutput,11,FALSE)</f>
        <v>49.286628448437469</v>
      </c>
      <c r="C52" s="9" t="str">
        <f>C23</f>
        <v>Single Family</v>
      </c>
      <c r="D52" s="9" t="s">
        <v>292</v>
      </c>
      <c r="E52" s="36">
        <f ca="1">VLOOKUP($C52,$C$41:$Y$44,E$39,FALSE)*$C$50*$A52/8760/1000</f>
        <v>3.8475157648999427E-2</v>
      </c>
      <c r="F52" s="36">
        <f t="shared" ref="F52:U55" ca="1" si="12">VLOOKUP($C52,$C$41:$Y$44,F$39,FALSE)*$C$50*$A52/8760/1000</f>
        <v>5.338297693336002E-2</v>
      </c>
      <c r="G52" s="36">
        <f t="shared" ca="1" si="12"/>
        <v>6.0648758065325471E-2</v>
      </c>
      <c r="H52" s="36">
        <f t="shared" ca="1" si="12"/>
        <v>6.4547144735168871E-2</v>
      </c>
      <c r="I52" s="36">
        <f t="shared" ca="1" si="12"/>
        <v>6.626699111272677E-2</v>
      </c>
      <c r="J52" s="36">
        <f t="shared" ca="1" si="12"/>
        <v>6.4391663910439489E-2</v>
      </c>
      <c r="K52" s="36">
        <f t="shared" ca="1" si="12"/>
        <v>6.2735663062133337E-2</v>
      </c>
      <c r="L52" s="36">
        <f t="shared" ca="1" si="12"/>
        <v>6.2070495807202544E-2</v>
      </c>
      <c r="M52" s="36">
        <f t="shared" ca="1" si="12"/>
        <v>6.0864059679608035E-2</v>
      </c>
      <c r="N52" s="36">
        <f t="shared" ca="1" si="12"/>
        <v>6.1294529345094315E-2</v>
      </c>
      <c r="O52" s="36">
        <f t="shared" ca="1" si="12"/>
        <v>6.1043687472479673E-2</v>
      </c>
      <c r="P52" s="36">
        <f t="shared" ca="1" si="12"/>
        <v>5.9589515223530697E-2</v>
      </c>
      <c r="Q52" s="36">
        <f t="shared" ca="1" si="12"/>
        <v>5.7363278354120611E-2</v>
      </c>
      <c r="R52" s="36">
        <f t="shared" ca="1" si="12"/>
        <v>5.6781952927475961E-2</v>
      </c>
      <c r="S52" s="36">
        <f t="shared" ca="1" si="12"/>
        <v>5.680470881212258E-2</v>
      </c>
      <c r="T52" s="36">
        <f t="shared" ca="1" si="12"/>
        <v>5.5932811838837693E-2</v>
      </c>
      <c r="U52" s="36">
        <f t="shared" ca="1" si="12"/>
        <v>5.3481177804554296E-2</v>
      </c>
      <c r="V52" s="36">
        <f t="shared" ref="V52:X55" ca="1" si="13">VLOOKUP($C52,$C$41:$Y$44,V$39,FALSE)*$C$50*$A52/8760/1000</f>
        <v>5.2797478659992972E-2</v>
      </c>
      <c r="W52" s="36">
        <f t="shared" ca="1" si="13"/>
        <v>5.2346671571175972E-2</v>
      </c>
      <c r="X52" s="36">
        <f t="shared" ca="1" si="13"/>
        <v>5.2120615393052933E-2</v>
      </c>
      <c r="Y52" s="36">
        <f ca="1">SUM(E52:X52)</f>
        <v>1.1529393383574018</v>
      </c>
      <c r="AA52" s="42">
        <f t="shared" ref="AA52:AA55" ca="1" si="14">SUM(E52:Y52)</f>
        <v>2.3058786767148036</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53" s="65">
        <f t="shared" ref="A53:A55" si="15">VLOOKUP($D53,MeasureOutput,3,FALSE)</f>
        <v>31.923177973133928</v>
      </c>
      <c r="B53" s="65">
        <f t="shared" si="11"/>
        <v>49.286628448437469</v>
      </c>
      <c r="C53" s="9" t="str">
        <f t="shared" ref="C53:C55" si="16">C24</f>
        <v>Multifamily - Low Rise</v>
      </c>
      <c r="D53" s="9" t="s">
        <v>292</v>
      </c>
      <c r="E53" s="36">
        <f t="shared" ref="E53:E55" ca="1" si="17">VLOOKUP($C53,$C$41:$Y$44,E$39,FALSE)*$C$50*$A53/8760/1000</f>
        <v>6.2950244826128652E-3</v>
      </c>
      <c r="F53" s="36">
        <f t="shared" ca="1" si="12"/>
        <v>9.0277874304033976E-3</v>
      </c>
      <c r="G53" s="36">
        <f t="shared" ca="1" si="12"/>
        <v>1.0724226068112561E-2</v>
      </c>
      <c r="H53" s="36">
        <f t="shared" ca="1" si="12"/>
        <v>1.142202637262555E-2</v>
      </c>
      <c r="I53" s="36">
        <f t="shared" ca="1" si="12"/>
        <v>1.1358349084264176E-2</v>
      </c>
      <c r="J53" s="36">
        <f t="shared" ca="1" si="12"/>
        <v>1.1167661016756515E-2</v>
      </c>
      <c r="K53" s="36">
        <f t="shared" ca="1" si="12"/>
        <v>1.109053379630257E-2</v>
      </c>
      <c r="L53" s="36">
        <f t="shared" ca="1" si="12"/>
        <v>1.1230690241070311E-2</v>
      </c>
      <c r="M53" s="36">
        <f t="shared" ca="1" si="12"/>
        <v>1.1397852421419333E-2</v>
      </c>
      <c r="N53" s="36">
        <f t="shared" ca="1" si="12"/>
        <v>1.1584570199404785E-2</v>
      </c>
      <c r="O53" s="36">
        <f t="shared" ca="1" si="12"/>
        <v>1.1504982984441383E-2</v>
      </c>
      <c r="P53" s="36">
        <f t="shared" ca="1" si="12"/>
        <v>1.1380101136076902E-2</v>
      </c>
      <c r="Q53" s="36">
        <f t="shared" ca="1" si="12"/>
        <v>1.1271057549040304E-2</v>
      </c>
      <c r="R53" s="36">
        <f t="shared" ca="1" si="12"/>
        <v>1.1023954117339703E-2</v>
      </c>
      <c r="S53" s="36">
        <f t="shared" ca="1" si="12"/>
        <v>1.0769773497778976E-2</v>
      </c>
      <c r="T53" s="36">
        <f t="shared" ca="1" si="12"/>
        <v>1.0431993782685361E-2</v>
      </c>
      <c r="U53" s="36">
        <f t="shared" ca="1" si="12"/>
        <v>1.014012934506414E-2</v>
      </c>
      <c r="V53" s="36">
        <f t="shared" ca="1" si="13"/>
        <v>9.9005298713313646E-3</v>
      </c>
      <c r="W53" s="36">
        <f t="shared" ca="1" si="13"/>
        <v>9.6026134774243928E-3</v>
      </c>
      <c r="X53" s="36">
        <f t="shared" ca="1" si="13"/>
        <v>9.4607467286213984E-3</v>
      </c>
      <c r="Y53" s="36">
        <f t="shared" ref="Y53:Y55" ca="1" si="18">SUM(E53:X53)</f>
        <v>0.21078460360277598</v>
      </c>
      <c r="AA53" s="42">
        <f t="shared" ca="1" si="14"/>
        <v>0.42156920720555197</v>
      </c>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A54" s="65">
        <f t="shared" si="15"/>
        <v>31.923177973133928</v>
      </c>
      <c r="B54" s="65">
        <f t="shared" si="11"/>
        <v>49.286628448437469</v>
      </c>
      <c r="C54" s="9" t="str">
        <f t="shared" si="16"/>
        <v>Multifamily - High Rise</v>
      </c>
      <c r="D54" s="9" t="s">
        <v>292</v>
      </c>
      <c r="E54" s="36">
        <f t="shared" ca="1" si="17"/>
        <v>1.4131791371048508E-3</v>
      </c>
      <c r="F54" s="36">
        <f t="shared" ca="1" si="12"/>
        <v>2.0551906718324939E-3</v>
      </c>
      <c r="G54" s="36">
        <f t="shared" ca="1" si="12"/>
        <v>2.4781328997643712E-3</v>
      </c>
      <c r="H54" s="36">
        <f t="shared" ca="1" si="12"/>
        <v>2.5785162117653972E-3</v>
      </c>
      <c r="I54" s="36">
        <f t="shared" ca="1" si="12"/>
        <v>2.5144756951371132E-3</v>
      </c>
      <c r="J54" s="36">
        <f t="shared" ca="1" si="12"/>
        <v>2.5092876463242994E-3</v>
      </c>
      <c r="K54" s="36">
        <f t="shared" ca="1" si="12"/>
        <v>2.4992727427208565E-3</v>
      </c>
      <c r="L54" s="36">
        <f t="shared" ca="1" si="12"/>
        <v>2.5623172772001632E-3</v>
      </c>
      <c r="M54" s="36">
        <f t="shared" ca="1" si="12"/>
        <v>2.5821738080938263E-3</v>
      </c>
      <c r="N54" s="36">
        <f t="shared" ca="1" si="12"/>
        <v>2.6241999769220357E-3</v>
      </c>
      <c r="O54" s="36">
        <f t="shared" ca="1" si="12"/>
        <v>2.5747987721602022E-3</v>
      </c>
      <c r="P54" s="36">
        <f t="shared" ca="1" si="12"/>
        <v>2.5419231977242352E-3</v>
      </c>
      <c r="Q54" s="36">
        <f t="shared" ca="1" si="12"/>
        <v>2.4958490938274775E-3</v>
      </c>
      <c r="R54" s="36">
        <f t="shared" ca="1" si="12"/>
        <v>2.4602556829764299E-3</v>
      </c>
      <c r="S54" s="36">
        <f t="shared" ca="1" si="12"/>
        <v>2.4149792167099384E-3</v>
      </c>
      <c r="T54" s="36">
        <f t="shared" ca="1" si="12"/>
        <v>2.3375798923191654E-3</v>
      </c>
      <c r="U54" s="36">
        <f t="shared" ca="1" si="12"/>
        <v>2.2749057221611363E-3</v>
      </c>
      <c r="V54" s="36">
        <f t="shared" ca="1" si="13"/>
        <v>2.197858651581557E-3</v>
      </c>
      <c r="W54" s="36">
        <f t="shared" ca="1" si="13"/>
        <v>2.1652765823619957E-3</v>
      </c>
      <c r="X54" s="36">
        <f t="shared" ca="1" si="13"/>
        <v>2.1316328240098699E-3</v>
      </c>
      <c r="Y54" s="36">
        <f t="shared" ca="1" si="18"/>
        <v>4.7411805702697409E-2</v>
      </c>
      <c r="AA54" s="42">
        <f t="shared" ca="1" si="14"/>
        <v>9.4823611405394817E-2</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A55" s="65">
        <f t="shared" si="15"/>
        <v>31.923177973133928</v>
      </c>
      <c r="B55" s="65">
        <f t="shared" si="11"/>
        <v>49.286628448437469</v>
      </c>
      <c r="C55" s="9" t="str">
        <f t="shared" si="16"/>
        <v>Manufactured</v>
      </c>
      <c r="D55" s="9" t="s">
        <v>292</v>
      </c>
      <c r="E55" s="36">
        <f t="shared" ca="1" si="17"/>
        <v>8.0996592453395487E-4</v>
      </c>
      <c r="F55" s="36">
        <f t="shared" ca="1" si="12"/>
        <v>1.1825325927396853E-3</v>
      </c>
      <c r="G55" s="36">
        <f t="shared" ca="1" si="12"/>
        <v>1.4681402416414147E-3</v>
      </c>
      <c r="H55" s="36">
        <f t="shared" ca="1" si="12"/>
        <v>1.674757890616662E-3</v>
      </c>
      <c r="I55" s="36">
        <f t="shared" ca="1" si="12"/>
        <v>1.7129381463210434E-3</v>
      </c>
      <c r="J55" s="36">
        <f t="shared" ca="1" si="12"/>
        <v>1.7193387527470918E-3</v>
      </c>
      <c r="K55" s="36">
        <f t="shared" ca="1" si="12"/>
        <v>1.7288357243332667E-3</v>
      </c>
      <c r="L55" s="36">
        <f t="shared" ca="1" si="12"/>
        <v>1.7284097080257456E-3</v>
      </c>
      <c r="M55" s="36">
        <f t="shared" ca="1" si="12"/>
        <v>1.7218754042589671E-3</v>
      </c>
      <c r="N55" s="36">
        <f t="shared" ca="1" si="12"/>
        <v>1.7048514537430501E-3</v>
      </c>
      <c r="O55" s="36">
        <f t="shared" ca="1" si="12"/>
        <v>1.6769987110017261E-3</v>
      </c>
      <c r="P55" s="36">
        <f t="shared" ca="1" si="12"/>
        <v>1.6565960005250739E-3</v>
      </c>
      <c r="Q55" s="36">
        <f t="shared" ca="1" si="12"/>
        <v>1.6404309124120676E-3</v>
      </c>
      <c r="R55" s="36">
        <f t="shared" ca="1" si="12"/>
        <v>1.623927294372022E-3</v>
      </c>
      <c r="S55" s="36">
        <f t="shared" ca="1" si="12"/>
        <v>1.6064210349942963E-3</v>
      </c>
      <c r="T55" s="36">
        <f t="shared" ca="1" si="12"/>
        <v>1.5877583407590558E-3</v>
      </c>
      <c r="U55" s="36">
        <f t="shared" ca="1" si="12"/>
        <v>1.5690367855195667E-3</v>
      </c>
      <c r="V55" s="36">
        <f t="shared" ca="1" si="13"/>
        <v>1.5518043715211556E-3</v>
      </c>
      <c r="W55" s="36">
        <f t="shared" ca="1" si="13"/>
        <v>1.5351231680498308E-3</v>
      </c>
      <c r="X55" s="36">
        <f t="shared" ca="1" si="13"/>
        <v>1.518366226034617E-3</v>
      </c>
      <c r="Y55" s="36">
        <f t="shared" ca="1" si="18"/>
        <v>3.1418108684150285E-2</v>
      </c>
      <c r="AA55" s="42">
        <f t="shared" ca="1" si="14"/>
        <v>6.283621736830057E-2</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56" s="65"/>
      <c r="B56" s="65"/>
      <c r="E56" s="36"/>
      <c r="F56" s="36"/>
      <c r="G56" s="36"/>
      <c r="H56" s="36"/>
      <c r="I56" s="36"/>
      <c r="J56" s="36"/>
      <c r="K56" s="36"/>
      <c r="L56" s="36"/>
      <c r="M56" s="36"/>
      <c r="N56" s="36"/>
      <c r="O56" s="36"/>
      <c r="P56" s="36"/>
      <c r="Q56" s="36"/>
      <c r="R56" s="36"/>
      <c r="S56" s="36"/>
      <c r="T56" s="36"/>
      <c r="U56" s="36"/>
      <c r="V56" s="36"/>
      <c r="W56" s="36"/>
      <c r="X56" s="36"/>
      <c r="Y56" s="36"/>
      <c r="AA56" s="42"/>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A57" s="65"/>
      <c r="B57" s="65"/>
      <c r="E57" s="36"/>
      <c r="F57" s="36"/>
      <c r="G57" s="36"/>
      <c r="H57" s="36"/>
      <c r="I57" s="36"/>
      <c r="J57" s="36"/>
      <c r="K57" s="36"/>
      <c r="L57" s="36"/>
      <c r="M57" s="36"/>
      <c r="N57" s="36"/>
      <c r="O57" s="36"/>
      <c r="P57" s="36"/>
      <c r="Q57" s="36"/>
      <c r="R57" s="36"/>
      <c r="S57" s="36"/>
      <c r="T57" s="36"/>
      <c r="U57" s="36"/>
      <c r="V57" s="36"/>
      <c r="W57" s="36"/>
      <c r="X57" s="36"/>
      <c r="Y57" s="36"/>
      <c r="AA57" s="42"/>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58" s="65"/>
      <c r="B58" s="65"/>
      <c r="E58" s="36"/>
      <c r="F58" s="36"/>
      <c r="G58" s="36"/>
      <c r="H58" s="36"/>
      <c r="I58" s="36"/>
      <c r="J58" s="36"/>
      <c r="K58" s="36"/>
      <c r="L58" s="36"/>
      <c r="M58" s="36"/>
      <c r="N58" s="36"/>
      <c r="O58" s="36"/>
      <c r="P58" s="36"/>
      <c r="Q58" s="36"/>
      <c r="R58" s="36"/>
      <c r="S58" s="36"/>
      <c r="T58" s="36"/>
      <c r="U58" s="36"/>
      <c r="V58" s="36"/>
      <c r="W58" s="36"/>
      <c r="X58" s="36"/>
      <c r="Y58" s="36"/>
      <c r="AA58" s="42"/>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65"/>
      <c r="B59" s="65"/>
      <c r="E59" s="36"/>
      <c r="F59" s="36"/>
      <c r="G59" s="36"/>
      <c r="H59" s="36"/>
      <c r="I59" s="36"/>
      <c r="J59" s="36"/>
      <c r="K59" s="36"/>
      <c r="L59" s="36"/>
      <c r="M59" s="36"/>
      <c r="N59" s="36"/>
      <c r="O59" s="36"/>
      <c r="P59" s="36"/>
      <c r="Q59" s="36"/>
      <c r="R59" s="36"/>
      <c r="S59" s="36"/>
      <c r="T59" s="36"/>
      <c r="U59" s="36"/>
      <c r="V59" s="36"/>
      <c r="W59" s="36"/>
      <c r="X59" s="36"/>
      <c r="Y59" s="36"/>
      <c r="AA59" s="42"/>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65"/>
      <c r="B60" s="65"/>
      <c r="E60" s="36"/>
      <c r="F60" s="36"/>
      <c r="G60" s="36"/>
      <c r="H60" s="36"/>
      <c r="I60" s="36"/>
      <c r="J60" s="36"/>
      <c r="K60" s="36"/>
      <c r="L60" s="36"/>
      <c r="M60" s="36"/>
      <c r="N60" s="36"/>
      <c r="O60" s="36"/>
      <c r="P60" s="36"/>
      <c r="Q60" s="36"/>
      <c r="R60" s="36"/>
      <c r="S60" s="36"/>
      <c r="T60" s="36"/>
      <c r="U60" s="36"/>
      <c r="V60" s="36"/>
      <c r="W60" s="36"/>
      <c r="X60" s="36"/>
      <c r="Y60" s="36"/>
      <c r="AA60" s="42"/>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5"/>
      <c r="B61" s="65"/>
      <c r="E61" s="36"/>
      <c r="F61" s="36"/>
      <c r="G61" s="36"/>
      <c r="H61" s="36"/>
      <c r="I61" s="36"/>
      <c r="J61" s="36"/>
      <c r="K61" s="36"/>
      <c r="L61" s="36"/>
      <c r="M61" s="36"/>
      <c r="N61" s="36"/>
      <c r="O61" s="36"/>
      <c r="P61" s="36"/>
      <c r="Q61" s="36"/>
      <c r="R61" s="36"/>
      <c r="S61" s="36"/>
      <c r="T61" s="36"/>
      <c r="U61" s="36"/>
      <c r="V61" s="36"/>
      <c r="W61" s="36"/>
      <c r="X61" s="36"/>
      <c r="Y61" s="36"/>
      <c r="AA61" s="42"/>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5"/>
      <c r="B62" s="65"/>
      <c r="E62" s="36"/>
      <c r="F62" s="36"/>
      <c r="G62" s="36"/>
      <c r="H62" s="36"/>
      <c r="I62" s="36"/>
      <c r="J62" s="36"/>
      <c r="K62" s="36"/>
      <c r="L62" s="36"/>
      <c r="M62" s="36"/>
      <c r="N62" s="36"/>
      <c r="O62" s="36"/>
      <c r="P62" s="36"/>
      <c r="Q62" s="36"/>
      <c r="R62" s="36"/>
      <c r="S62" s="36"/>
      <c r="T62" s="36"/>
      <c r="U62" s="36"/>
      <c r="V62" s="36"/>
      <c r="W62" s="36"/>
      <c r="X62" s="36"/>
      <c r="Y62" s="36"/>
      <c r="AA62" s="4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5"/>
      <c r="B63" s="65"/>
      <c r="E63" s="36"/>
      <c r="F63" s="36"/>
      <c r="G63" s="36"/>
      <c r="H63" s="36"/>
      <c r="I63" s="36"/>
      <c r="J63" s="36"/>
      <c r="K63" s="36"/>
      <c r="L63" s="36"/>
      <c r="M63" s="36"/>
      <c r="N63" s="36"/>
      <c r="O63" s="36"/>
      <c r="P63" s="36"/>
      <c r="Q63" s="36"/>
      <c r="R63" s="36"/>
      <c r="S63" s="36"/>
      <c r="T63" s="36"/>
      <c r="U63" s="36"/>
      <c r="V63" s="36"/>
      <c r="W63" s="36"/>
      <c r="X63" s="36"/>
      <c r="Y63" s="36"/>
      <c r="AA63" s="42"/>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A64" s="42"/>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B65" s="75">
        <f ca="1">SUMPRODUCT(B52:B55,AA52:AA55)/SUM(AA52:AA55)</f>
        <v>49.286628448437469</v>
      </c>
      <c r="E65" s="36">
        <f ca="1">SUM(E52:E55)</f>
        <v>4.699332719325109E-2</v>
      </c>
      <c r="F65" s="36">
        <f t="shared" ref="F65:X65" ca="1" si="19">SUM(F52:F55)</f>
        <v>6.5648487628335597E-2</v>
      </c>
      <c r="G65" s="36">
        <f t="shared" ca="1" si="19"/>
        <v>7.5319257274843815E-2</v>
      </c>
      <c r="H65" s="36">
        <f t="shared" ca="1" si="19"/>
        <v>8.0222445210176477E-2</v>
      </c>
      <c r="I65" s="36">
        <f t="shared" ca="1" si="19"/>
        <v>8.1852754038449105E-2</v>
      </c>
      <c r="J65" s="36">
        <f t="shared" ca="1" si="19"/>
        <v>7.9787951326267384E-2</v>
      </c>
      <c r="K65" s="36">
        <f t="shared" ca="1" si="19"/>
        <v>7.8054305325490028E-2</v>
      </c>
      <c r="L65" s="36">
        <f t="shared" ca="1" si="19"/>
        <v>7.7591913033498758E-2</v>
      </c>
      <c r="M65" s="36">
        <f t="shared" ca="1" si="19"/>
        <v>7.6565961313380157E-2</v>
      </c>
      <c r="N65" s="36">
        <f t="shared" ca="1" si="19"/>
        <v>7.7208150975164189E-2</v>
      </c>
      <c r="O65" s="36">
        <f t="shared" ca="1" si="19"/>
        <v>7.6800467940082981E-2</v>
      </c>
      <c r="P65" s="36">
        <f t="shared" ca="1" si="19"/>
        <v>7.516813555785691E-2</v>
      </c>
      <c r="Q65" s="36">
        <f t="shared" ca="1" si="19"/>
        <v>7.2770615909400455E-2</v>
      </c>
      <c r="R65" s="36">
        <f t="shared" ca="1" si="19"/>
        <v>7.1890090022164121E-2</v>
      </c>
      <c r="S65" s="36">
        <f t="shared" ca="1" si="19"/>
        <v>7.1595882561605789E-2</v>
      </c>
      <c r="T65" s="36">
        <f t="shared" ca="1" si="19"/>
        <v>7.0290143854601278E-2</v>
      </c>
      <c r="U65" s="36">
        <f t="shared" ca="1" si="19"/>
        <v>6.7465249657299123E-2</v>
      </c>
      <c r="V65" s="36">
        <f t="shared" ca="1" si="19"/>
        <v>6.6447671554427046E-2</v>
      </c>
      <c r="W65" s="36">
        <f t="shared" ca="1" si="19"/>
        <v>6.5649684799012203E-2</v>
      </c>
      <c r="X65" s="36">
        <f t="shared" ca="1" si="19"/>
        <v>6.5231361171718821E-2</v>
      </c>
      <c r="Y65" s="36">
        <f ca="1">SUM(Y52:Y55)</f>
        <v>1.4425538563470255</v>
      </c>
      <c r="AA65" s="42">
        <f t="shared" ref="AA65" ca="1" si="20">SUM(E65:Y65)</f>
        <v>2.885107712694051</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ht="15">
      <c r="A68" s="63" t="s">
        <v>67</v>
      </c>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ht="15">
      <c r="E69" s="66">
        <f t="shared" ref="E69:X69" si="21">E11</f>
        <v>2016</v>
      </c>
      <c r="F69" s="67">
        <f t="shared" si="21"/>
        <v>2017</v>
      </c>
      <c r="G69" s="67">
        <f t="shared" si="21"/>
        <v>2018</v>
      </c>
      <c r="H69" s="67">
        <f t="shared" si="21"/>
        <v>2019</v>
      </c>
      <c r="I69" s="67">
        <f t="shared" si="21"/>
        <v>2020</v>
      </c>
      <c r="J69" s="67">
        <f t="shared" si="21"/>
        <v>2021</v>
      </c>
      <c r="K69" s="67">
        <f t="shared" si="21"/>
        <v>2022</v>
      </c>
      <c r="L69" s="67">
        <f t="shared" si="21"/>
        <v>2023</v>
      </c>
      <c r="M69" s="67">
        <f t="shared" si="21"/>
        <v>2024</v>
      </c>
      <c r="N69" s="67">
        <f t="shared" si="21"/>
        <v>2025</v>
      </c>
      <c r="O69" s="67">
        <f t="shared" si="21"/>
        <v>2026</v>
      </c>
      <c r="P69" s="67">
        <f t="shared" si="21"/>
        <v>2027</v>
      </c>
      <c r="Q69" s="67">
        <f t="shared" si="21"/>
        <v>2028</v>
      </c>
      <c r="R69" s="67">
        <f t="shared" si="21"/>
        <v>2029</v>
      </c>
      <c r="S69" s="67">
        <f t="shared" si="21"/>
        <v>2030</v>
      </c>
      <c r="T69" s="67">
        <f t="shared" si="21"/>
        <v>2031</v>
      </c>
      <c r="U69" s="67">
        <f t="shared" si="21"/>
        <v>2032</v>
      </c>
      <c r="V69" s="67">
        <f t="shared" si="21"/>
        <v>2033</v>
      </c>
      <c r="W69" s="67">
        <f t="shared" si="21"/>
        <v>2034</v>
      </c>
      <c r="X69" s="67">
        <f t="shared" si="21"/>
        <v>2035</v>
      </c>
      <c r="Y69" s="68"/>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ht="15">
      <c r="C70" s="57" t="s">
        <v>64</v>
      </c>
      <c r="D70" s="57" t="s">
        <v>64</v>
      </c>
      <c r="E70" s="69" t="str">
        <f t="shared" ref="E70:X70" si="22">CONCATENATE("aMW_",E$11)</f>
        <v>aMW_2016</v>
      </c>
      <c r="F70" s="70" t="str">
        <f t="shared" si="22"/>
        <v>aMW_2017</v>
      </c>
      <c r="G70" s="70" t="str">
        <f t="shared" si="22"/>
        <v>aMW_2018</v>
      </c>
      <c r="H70" s="70" t="str">
        <f t="shared" si="22"/>
        <v>aMW_2019</v>
      </c>
      <c r="I70" s="70" t="str">
        <f t="shared" si="22"/>
        <v>aMW_2020</v>
      </c>
      <c r="J70" s="70" t="str">
        <f t="shared" si="22"/>
        <v>aMW_2021</v>
      </c>
      <c r="K70" s="70" t="str">
        <f t="shared" si="22"/>
        <v>aMW_2022</v>
      </c>
      <c r="L70" s="70" t="str">
        <f t="shared" si="22"/>
        <v>aMW_2023</v>
      </c>
      <c r="M70" s="70" t="str">
        <f t="shared" si="22"/>
        <v>aMW_2024</v>
      </c>
      <c r="N70" s="70" t="str">
        <f t="shared" si="22"/>
        <v>aMW_2025</v>
      </c>
      <c r="O70" s="70" t="str">
        <f t="shared" si="22"/>
        <v>aMW_2026</v>
      </c>
      <c r="P70" s="70" t="str">
        <f t="shared" si="22"/>
        <v>aMW_2027</v>
      </c>
      <c r="Q70" s="70" t="str">
        <f t="shared" si="22"/>
        <v>aMW_2028</v>
      </c>
      <c r="R70" s="70" t="str">
        <f t="shared" si="22"/>
        <v>aMW_2029</v>
      </c>
      <c r="S70" s="70" t="str">
        <f t="shared" si="22"/>
        <v>aMW_2030</v>
      </c>
      <c r="T70" s="70" t="str">
        <f t="shared" si="22"/>
        <v>aMW_2031</v>
      </c>
      <c r="U70" s="70" t="str">
        <f t="shared" si="22"/>
        <v>aMW_2032</v>
      </c>
      <c r="V70" s="70" t="str">
        <f t="shared" si="22"/>
        <v>aMW_2033</v>
      </c>
      <c r="W70" s="70" t="str">
        <f t="shared" si="22"/>
        <v>aMW_2034</v>
      </c>
      <c r="X70" s="70" t="str">
        <f t="shared" si="22"/>
        <v>aMW_2035</v>
      </c>
      <c r="Y70" s="71"/>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9" t="s">
        <v>68</v>
      </c>
      <c r="C71" s="58" t="s">
        <v>69</v>
      </c>
      <c r="D71" s="58" t="s">
        <v>70</v>
      </c>
      <c r="E71" s="36">
        <f>DSUM($B$51:$X$63,E$51,$C$70:$D71)</f>
        <v>0</v>
      </c>
      <c r="F71" s="36">
        <f>DSUM($B$51:$X$63,F$51,$C$70:$D71)</f>
        <v>0</v>
      </c>
      <c r="G71" s="36">
        <f>DSUM($B$51:$X$63,G$51,$C$70:$D71)</f>
        <v>0</v>
      </c>
      <c r="H71" s="36">
        <f>DSUM($B$51:$X$63,H$51,$C$70:$D71)</f>
        <v>0</v>
      </c>
      <c r="I71" s="36">
        <f>DSUM($B$51:$X$63,I$51,$C$70:$D71)</f>
        <v>0</v>
      </c>
      <c r="J71" s="36">
        <f>DSUM($B$51:$X$63,J$51,$C$70:$D71)</f>
        <v>0</v>
      </c>
      <c r="K71" s="36">
        <f>DSUM($B$51:$X$63,K$51,$C$70:$D71)</f>
        <v>0</v>
      </c>
      <c r="L71" s="36">
        <f>DSUM($B$51:$X$63,L$51,$C$70:$D71)</f>
        <v>0</v>
      </c>
      <c r="M71" s="36">
        <f>DSUM($B$51:$X$63,M$51,$C$70:$D71)</f>
        <v>0</v>
      </c>
      <c r="N71" s="36">
        <f>DSUM($B$51:$X$63,N$51,$C$70:$D71)</f>
        <v>0</v>
      </c>
      <c r="O71" s="36">
        <f>DSUM($B$51:$X$63,O$51,$C$70:$D71)</f>
        <v>0</v>
      </c>
      <c r="P71" s="36">
        <f>DSUM($B$51:$X$63,P$51,$C$70:$D71)</f>
        <v>0</v>
      </c>
      <c r="Q71" s="36">
        <f>DSUM($B$51:$X$63,Q$51,$C$70:$D71)</f>
        <v>0</v>
      </c>
      <c r="R71" s="36">
        <f>DSUM($B$51:$X$63,R$51,$C$70:$D71)</f>
        <v>0</v>
      </c>
      <c r="S71" s="36">
        <f>DSUM($B$51:$X$63,S$51,$C$70:$D71)</f>
        <v>0</v>
      </c>
      <c r="T71" s="36">
        <f>DSUM($B$51:$X$63,T$51,$C$70:$D71)</f>
        <v>0</v>
      </c>
      <c r="U71" s="36">
        <f>DSUM($B$51:$X$63,U$51,$C$70:$D71)</f>
        <v>0</v>
      </c>
      <c r="V71" s="36">
        <f>DSUM($B$51:$X$63,V$51,$C$70:$D71)</f>
        <v>0</v>
      </c>
      <c r="W71" s="36">
        <f>DSUM($B$51:$X$63,W$51,$C$70:$D71)</f>
        <v>0</v>
      </c>
      <c r="X71" s="36">
        <f>DSUM($B$51:$X$63,X$51,$C$70:$D71)</f>
        <v>0</v>
      </c>
      <c r="Y71" s="36"/>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B72" s="9" t="s">
        <v>572</v>
      </c>
      <c r="C72" s="58" t="s">
        <v>72</v>
      </c>
      <c r="D72" s="58" t="s">
        <v>73</v>
      </c>
      <c r="E72" s="36">
        <f>DSUM($B$51:$X$63,E$51,$C$70:$D72)</f>
        <v>0</v>
      </c>
      <c r="F72" s="36">
        <f>DSUM($B$51:$X$63,F$51,$C$70:$D72)</f>
        <v>0</v>
      </c>
      <c r="G72" s="36">
        <f>DSUM($B$51:$X$63,G$51,$C$70:$D72)</f>
        <v>0</v>
      </c>
      <c r="H72" s="36">
        <f>DSUM($B$51:$X$63,H$51,$C$70:$D72)</f>
        <v>0</v>
      </c>
      <c r="I72" s="36">
        <f>DSUM($B$51:$X$63,I$51,$C$70:$D72)</f>
        <v>0</v>
      </c>
      <c r="J72" s="36">
        <f>DSUM($B$51:$X$63,J$51,$C$70:$D72)</f>
        <v>0</v>
      </c>
      <c r="K72" s="36">
        <f>DSUM($B$51:$X$63,K$51,$C$70:$D72)</f>
        <v>0</v>
      </c>
      <c r="L72" s="36">
        <f>DSUM($B$51:$X$63,L$51,$C$70:$D72)</f>
        <v>0</v>
      </c>
      <c r="M72" s="36">
        <f>DSUM($B$51:$X$63,M$51,$C$70:$D72)</f>
        <v>0</v>
      </c>
      <c r="N72" s="36">
        <f>DSUM($B$51:$X$63,N$51,$C$70:$D72)</f>
        <v>0</v>
      </c>
      <c r="O72" s="36">
        <f>DSUM($B$51:$X$63,O$51,$C$70:$D72)</f>
        <v>0</v>
      </c>
      <c r="P72" s="36">
        <f>DSUM($B$51:$X$63,P$51,$C$70:$D72)</f>
        <v>0</v>
      </c>
      <c r="Q72" s="36">
        <f>DSUM($B$51:$X$63,Q$51,$C$70:$D72)</f>
        <v>0</v>
      </c>
      <c r="R72" s="36">
        <f>DSUM($B$51:$X$63,R$51,$C$70:$D72)</f>
        <v>0</v>
      </c>
      <c r="S72" s="36">
        <f>DSUM($B$51:$X$63,S$51,$C$70:$D72)</f>
        <v>0</v>
      </c>
      <c r="T72" s="36">
        <f>DSUM($B$51:$X$63,T$51,$C$70:$D72)</f>
        <v>0</v>
      </c>
      <c r="U72" s="36">
        <f>DSUM($B$51:$X$63,U$51,$C$70:$D72)</f>
        <v>0</v>
      </c>
      <c r="V72" s="36">
        <f>DSUM($B$51:$X$63,V$51,$C$70:$D72)</f>
        <v>0</v>
      </c>
      <c r="W72" s="36">
        <f>DSUM($B$51:$X$63,W$51,$C$70:$D72)</f>
        <v>0</v>
      </c>
      <c r="X72" s="36">
        <f>DSUM($B$51:$X$63,X$51,$C$70:$D72)</f>
        <v>0</v>
      </c>
      <c r="Y72" s="36"/>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9" t="s">
        <v>74</v>
      </c>
      <c r="C73" s="58" t="s">
        <v>75</v>
      </c>
      <c r="D73" s="58" t="s">
        <v>76</v>
      </c>
      <c r="E73" s="36">
        <f>DSUM($B$51:$X$63,E$51,$C$70:$D73)</f>
        <v>0</v>
      </c>
      <c r="F73" s="36">
        <f>DSUM($B$51:$X$63,F$51,$C$70:$D73)</f>
        <v>0</v>
      </c>
      <c r="G73" s="36">
        <f>DSUM($B$51:$X$63,G$51,$C$70:$D73)</f>
        <v>0</v>
      </c>
      <c r="H73" s="36">
        <f>DSUM($B$51:$X$63,H$51,$C$70:$D73)</f>
        <v>0</v>
      </c>
      <c r="I73" s="36">
        <f>DSUM($B$51:$X$63,I$51,$C$70:$D73)</f>
        <v>0</v>
      </c>
      <c r="J73" s="36">
        <f>DSUM($B$51:$X$63,J$51,$C$70:$D73)</f>
        <v>0</v>
      </c>
      <c r="K73" s="36">
        <f>DSUM($B$51:$X$63,K$51,$C$70:$D73)</f>
        <v>0</v>
      </c>
      <c r="L73" s="36">
        <f>DSUM($B$51:$X$63,L$51,$C$70:$D73)</f>
        <v>0</v>
      </c>
      <c r="M73" s="36">
        <f>DSUM($B$51:$X$63,M$51,$C$70:$D73)</f>
        <v>0</v>
      </c>
      <c r="N73" s="36">
        <f>DSUM($B$51:$X$63,N$51,$C$70:$D73)</f>
        <v>0</v>
      </c>
      <c r="O73" s="36">
        <f>DSUM($B$51:$X$63,O$51,$C$70:$D73)</f>
        <v>0</v>
      </c>
      <c r="P73" s="36">
        <f>DSUM($B$51:$X$63,P$51,$C$70:$D73)</f>
        <v>0</v>
      </c>
      <c r="Q73" s="36">
        <f>DSUM($B$51:$X$63,Q$51,$C$70:$D73)</f>
        <v>0</v>
      </c>
      <c r="R73" s="36">
        <f>DSUM($B$51:$X$63,R$51,$C$70:$D73)</f>
        <v>0</v>
      </c>
      <c r="S73" s="36">
        <f>DSUM($B$51:$X$63,S$51,$C$70:$D73)</f>
        <v>0</v>
      </c>
      <c r="T73" s="36">
        <f>DSUM($B$51:$X$63,T$51,$C$70:$D73)</f>
        <v>0</v>
      </c>
      <c r="U73" s="36">
        <f>DSUM($B$51:$X$63,U$51,$C$70:$D73)</f>
        <v>0</v>
      </c>
      <c r="V73" s="36">
        <f>DSUM($B$51:$X$63,V$51,$C$70:$D73)</f>
        <v>0</v>
      </c>
      <c r="W73" s="36">
        <f>DSUM($B$51:$X$63,W$51,$C$70:$D73)</f>
        <v>0</v>
      </c>
      <c r="X73" s="36">
        <f>DSUM($B$51:$X$63,X$51,$C$70:$D73)</f>
        <v>0</v>
      </c>
      <c r="Y73" s="36"/>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9" t="s">
        <v>77</v>
      </c>
      <c r="C74" s="58" t="s">
        <v>78</v>
      </c>
      <c r="D74" s="58" t="s">
        <v>79</v>
      </c>
      <c r="E74" s="36">
        <f>DSUM($B$51:$X$63,E$51,$C$70:$D74)</f>
        <v>0</v>
      </c>
      <c r="F74" s="36">
        <f>DSUM($B$51:$X$63,F$51,$C$70:$D74)</f>
        <v>0</v>
      </c>
      <c r="G74" s="36">
        <f>DSUM($B$51:$X$63,G$51,$C$70:$D74)</f>
        <v>0</v>
      </c>
      <c r="H74" s="36">
        <f>DSUM($B$51:$X$63,H$51,$C$70:$D74)</f>
        <v>0</v>
      </c>
      <c r="I74" s="36">
        <f>DSUM($B$51:$X$63,I$51,$C$70:$D74)</f>
        <v>0</v>
      </c>
      <c r="J74" s="36">
        <f>DSUM($B$51:$X$63,J$51,$C$70:$D74)</f>
        <v>0</v>
      </c>
      <c r="K74" s="36">
        <f>DSUM($B$51:$X$63,K$51,$C$70:$D74)</f>
        <v>0</v>
      </c>
      <c r="L74" s="36">
        <f>DSUM($B$51:$X$63,L$51,$C$70:$D74)</f>
        <v>0</v>
      </c>
      <c r="M74" s="36">
        <f>DSUM($B$51:$X$63,M$51,$C$70:$D74)</f>
        <v>0</v>
      </c>
      <c r="N74" s="36">
        <f>DSUM($B$51:$X$63,N$51,$C$70:$D74)</f>
        <v>0</v>
      </c>
      <c r="O74" s="36">
        <f>DSUM($B$51:$X$63,O$51,$C$70:$D74)</f>
        <v>0</v>
      </c>
      <c r="P74" s="36">
        <f>DSUM($B$51:$X$63,P$51,$C$70:$D74)</f>
        <v>0</v>
      </c>
      <c r="Q74" s="36">
        <f>DSUM($B$51:$X$63,Q$51,$C$70:$D74)</f>
        <v>0</v>
      </c>
      <c r="R74" s="36">
        <f>DSUM($B$51:$X$63,R$51,$C$70:$D74)</f>
        <v>0</v>
      </c>
      <c r="S74" s="36">
        <f>DSUM($B$51:$X$63,S$51,$C$70:$D74)</f>
        <v>0</v>
      </c>
      <c r="T74" s="36">
        <f>DSUM($B$51:$X$63,T$51,$C$70:$D74)</f>
        <v>0</v>
      </c>
      <c r="U74" s="36">
        <f>DSUM($B$51:$X$63,U$51,$C$70:$D74)</f>
        <v>0</v>
      </c>
      <c r="V74" s="36">
        <f>DSUM($B$51:$X$63,V$51,$C$70:$D74)</f>
        <v>0</v>
      </c>
      <c r="W74" s="36">
        <f>DSUM($B$51:$X$63,W$51,$C$70:$D74)</f>
        <v>0</v>
      </c>
      <c r="X74" s="36">
        <f>DSUM($B$51:$X$63,X$51,$C$70:$D74)</f>
        <v>0</v>
      </c>
      <c r="Y74" s="36"/>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9" t="s">
        <v>80</v>
      </c>
      <c r="C75" s="58" t="s">
        <v>81</v>
      </c>
      <c r="D75" s="58" t="s">
        <v>82</v>
      </c>
      <c r="E75" s="36">
        <f>DSUM($B$51:$X$63,E$51,$C$70:$D75)</f>
        <v>0</v>
      </c>
      <c r="F75" s="36">
        <f>DSUM($B$51:$X$63,F$51,$C$70:$D75)</f>
        <v>0</v>
      </c>
      <c r="G75" s="36">
        <f>DSUM($B$51:$X$63,G$51,$C$70:$D75)</f>
        <v>0</v>
      </c>
      <c r="H75" s="36">
        <f>DSUM($B$51:$X$63,H$51,$C$70:$D75)</f>
        <v>0</v>
      </c>
      <c r="I75" s="36">
        <f>DSUM($B$51:$X$63,I$51,$C$70:$D75)</f>
        <v>0</v>
      </c>
      <c r="J75" s="36">
        <f>DSUM($B$51:$X$63,J$51,$C$70:$D75)</f>
        <v>0</v>
      </c>
      <c r="K75" s="36">
        <f>DSUM($B$51:$X$63,K$51,$C$70:$D75)</f>
        <v>0</v>
      </c>
      <c r="L75" s="36">
        <f>DSUM($B$51:$X$63,L$51,$C$70:$D75)</f>
        <v>0</v>
      </c>
      <c r="M75" s="36">
        <f>DSUM($B$51:$X$63,M$51,$C$70:$D75)</f>
        <v>0</v>
      </c>
      <c r="N75" s="36">
        <f>DSUM($B$51:$X$63,N$51,$C$70:$D75)</f>
        <v>0</v>
      </c>
      <c r="O75" s="36">
        <f>DSUM($B$51:$X$63,O$51,$C$70:$D75)</f>
        <v>0</v>
      </c>
      <c r="P75" s="36">
        <f>DSUM($B$51:$X$63,P$51,$C$70:$D75)</f>
        <v>0</v>
      </c>
      <c r="Q75" s="36">
        <f>DSUM($B$51:$X$63,Q$51,$C$70:$D75)</f>
        <v>0</v>
      </c>
      <c r="R75" s="36">
        <f>DSUM($B$51:$X$63,R$51,$C$70:$D75)</f>
        <v>0</v>
      </c>
      <c r="S75" s="36">
        <f>DSUM($B$51:$X$63,S$51,$C$70:$D75)</f>
        <v>0</v>
      </c>
      <c r="T75" s="36">
        <f>DSUM($B$51:$X$63,T$51,$C$70:$D75)</f>
        <v>0</v>
      </c>
      <c r="U75" s="36">
        <f>DSUM($B$51:$X$63,U$51,$C$70:$D75)</f>
        <v>0</v>
      </c>
      <c r="V75" s="36">
        <f>DSUM($B$51:$X$63,V$51,$C$70:$D75)</f>
        <v>0</v>
      </c>
      <c r="W75" s="36">
        <f>DSUM($B$51:$X$63,W$51,$C$70:$D75)</f>
        <v>0</v>
      </c>
      <c r="X75" s="36">
        <f>DSUM($B$51:$X$63,X$51,$C$70:$D75)</f>
        <v>0</v>
      </c>
      <c r="Y75" s="36"/>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9" t="s">
        <v>83</v>
      </c>
      <c r="C76" s="58" t="s">
        <v>84</v>
      </c>
      <c r="D76" s="58" t="s">
        <v>85</v>
      </c>
      <c r="E76" s="36">
        <f ca="1">DSUM($B$51:$X$63,E$51,$C$70:$D76)</f>
        <v>4.699332719325109E-2</v>
      </c>
      <c r="F76" s="36">
        <f ca="1">DSUM($B$51:$X$63,F$51,$C$70:$D76)</f>
        <v>6.5648487628335597E-2</v>
      </c>
      <c r="G76" s="36">
        <f ca="1">DSUM($B$51:$X$63,G$51,$C$70:$D76)</f>
        <v>7.5319257274843815E-2</v>
      </c>
      <c r="H76" s="36">
        <f ca="1">DSUM($B$51:$X$63,H$51,$C$70:$D76)</f>
        <v>8.0222445210176477E-2</v>
      </c>
      <c r="I76" s="36">
        <f ca="1">DSUM($B$51:$X$63,I$51,$C$70:$D76)</f>
        <v>8.1852754038449105E-2</v>
      </c>
      <c r="J76" s="36">
        <f ca="1">DSUM($B$51:$X$63,J$51,$C$70:$D76)</f>
        <v>7.9787951326267384E-2</v>
      </c>
      <c r="K76" s="36">
        <f ca="1">DSUM($B$51:$X$63,K$51,$C$70:$D76)</f>
        <v>7.8054305325490028E-2</v>
      </c>
      <c r="L76" s="36">
        <f ca="1">DSUM($B$51:$X$63,L$51,$C$70:$D76)</f>
        <v>7.7591913033498758E-2</v>
      </c>
      <c r="M76" s="36">
        <f ca="1">DSUM($B$51:$X$63,M$51,$C$70:$D76)</f>
        <v>7.6565961313380157E-2</v>
      </c>
      <c r="N76" s="36">
        <f ca="1">DSUM($B$51:$X$63,N$51,$C$70:$D76)</f>
        <v>7.7208150975164189E-2</v>
      </c>
      <c r="O76" s="36">
        <f ca="1">DSUM($B$51:$X$63,O$51,$C$70:$D76)</f>
        <v>7.6800467940082981E-2</v>
      </c>
      <c r="P76" s="36">
        <f ca="1">DSUM($B$51:$X$63,P$51,$C$70:$D76)</f>
        <v>7.516813555785691E-2</v>
      </c>
      <c r="Q76" s="36">
        <f ca="1">DSUM($B$51:$X$63,Q$51,$C$70:$D76)</f>
        <v>7.2770615909400455E-2</v>
      </c>
      <c r="R76" s="36">
        <f ca="1">DSUM($B$51:$X$63,R$51,$C$70:$D76)</f>
        <v>7.1890090022164121E-2</v>
      </c>
      <c r="S76" s="36">
        <f ca="1">DSUM($B$51:$X$63,S$51,$C$70:$D76)</f>
        <v>7.1595882561605789E-2</v>
      </c>
      <c r="T76" s="36">
        <f ca="1">DSUM($B$51:$X$63,T$51,$C$70:$D76)</f>
        <v>7.0290143854601278E-2</v>
      </c>
      <c r="U76" s="36">
        <f ca="1">DSUM($B$51:$X$63,U$51,$C$70:$D76)</f>
        <v>6.7465249657299123E-2</v>
      </c>
      <c r="V76" s="36">
        <f ca="1">DSUM($B$51:$X$63,V$51,$C$70:$D76)</f>
        <v>6.6447671554427046E-2</v>
      </c>
      <c r="W76" s="36">
        <f ca="1">DSUM($B$51:$X$63,W$51,$C$70:$D76)</f>
        <v>6.5649684799012203E-2</v>
      </c>
      <c r="X76" s="36">
        <f ca="1">DSUM($B$51:$X$63,X$51,$C$70:$D76)</f>
        <v>6.5231361171718821E-2</v>
      </c>
      <c r="Y76" s="3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9" t="s">
        <v>86</v>
      </c>
      <c r="C77" s="58" t="s">
        <v>87</v>
      </c>
      <c r="D77" s="58" t="s">
        <v>88</v>
      </c>
      <c r="E77" s="36">
        <f ca="1">DSUM($B$51:$X$63,E$51,$C$70:$D77)</f>
        <v>4.699332719325109E-2</v>
      </c>
      <c r="F77" s="36">
        <f ca="1">DSUM($B$51:$X$63,F$51,$C$70:$D77)</f>
        <v>6.5648487628335597E-2</v>
      </c>
      <c r="G77" s="36">
        <f ca="1">DSUM($B$51:$X$63,G$51,$C$70:$D77)</f>
        <v>7.5319257274843815E-2</v>
      </c>
      <c r="H77" s="36">
        <f ca="1">DSUM($B$51:$X$63,H$51,$C$70:$D77)</f>
        <v>8.0222445210176477E-2</v>
      </c>
      <c r="I77" s="36">
        <f ca="1">DSUM($B$51:$X$63,I$51,$C$70:$D77)</f>
        <v>8.1852754038449105E-2</v>
      </c>
      <c r="J77" s="36">
        <f ca="1">DSUM($B$51:$X$63,J$51,$C$70:$D77)</f>
        <v>7.9787951326267384E-2</v>
      </c>
      <c r="K77" s="36">
        <f ca="1">DSUM($B$51:$X$63,K$51,$C$70:$D77)</f>
        <v>7.8054305325490028E-2</v>
      </c>
      <c r="L77" s="36">
        <f ca="1">DSUM($B$51:$X$63,L$51,$C$70:$D77)</f>
        <v>7.7591913033498758E-2</v>
      </c>
      <c r="M77" s="36">
        <f ca="1">DSUM($B$51:$X$63,M$51,$C$70:$D77)</f>
        <v>7.6565961313380157E-2</v>
      </c>
      <c r="N77" s="36">
        <f ca="1">DSUM($B$51:$X$63,N$51,$C$70:$D77)</f>
        <v>7.7208150975164189E-2</v>
      </c>
      <c r="O77" s="36">
        <f ca="1">DSUM($B$51:$X$63,O$51,$C$70:$D77)</f>
        <v>7.6800467940082981E-2</v>
      </c>
      <c r="P77" s="36">
        <f ca="1">DSUM($B$51:$X$63,P$51,$C$70:$D77)</f>
        <v>7.516813555785691E-2</v>
      </c>
      <c r="Q77" s="36">
        <f ca="1">DSUM($B$51:$X$63,Q$51,$C$70:$D77)</f>
        <v>7.2770615909400455E-2</v>
      </c>
      <c r="R77" s="36">
        <f ca="1">DSUM($B$51:$X$63,R$51,$C$70:$D77)</f>
        <v>7.1890090022164121E-2</v>
      </c>
      <c r="S77" s="36">
        <f ca="1">DSUM($B$51:$X$63,S$51,$C$70:$D77)</f>
        <v>7.1595882561605789E-2</v>
      </c>
      <c r="T77" s="36">
        <f ca="1">DSUM($B$51:$X$63,T$51,$C$70:$D77)</f>
        <v>7.0290143854601278E-2</v>
      </c>
      <c r="U77" s="36">
        <f ca="1">DSUM($B$51:$X$63,U$51,$C$70:$D77)</f>
        <v>6.7465249657299123E-2</v>
      </c>
      <c r="V77" s="36">
        <f ca="1">DSUM($B$51:$X$63,V$51,$C$70:$D77)</f>
        <v>6.6447671554427046E-2</v>
      </c>
      <c r="W77" s="36">
        <f ca="1">DSUM($B$51:$X$63,W$51,$C$70:$D77)</f>
        <v>6.5649684799012203E-2</v>
      </c>
      <c r="X77" s="36">
        <f ca="1">DSUM($B$51:$X$63,X$51,$C$70:$D77)</f>
        <v>6.5231361171718821E-2</v>
      </c>
      <c r="Y77" s="36"/>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B78" s="9" t="s">
        <v>89</v>
      </c>
      <c r="C78" s="58" t="s">
        <v>90</v>
      </c>
      <c r="D78" s="58" t="s">
        <v>91</v>
      </c>
      <c r="E78" s="36">
        <f ca="1">DSUM($B$51:$X$63,E$51,$C$70:$D78)</f>
        <v>4.699332719325109E-2</v>
      </c>
      <c r="F78" s="36">
        <f ca="1">DSUM($B$51:$X$63,F$51,$C$70:$D78)</f>
        <v>6.5648487628335597E-2</v>
      </c>
      <c r="G78" s="36">
        <f ca="1">DSUM($B$51:$X$63,G$51,$C$70:$D78)</f>
        <v>7.5319257274843815E-2</v>
      </c>
      <c r="H78" s="36">
        <f ca="1">DSUM($B$51:$X$63,H$51,$C$70:$D78)</f>
        <v>8.0222445210176477E-2</v>
      </c>
      <c r="I78" s="36">
        <f ca="1">DSUM($B$51:$X$63,I$51,$C$70:$D78)</f>
        <v>8.1852754038449105E-2</v>
      </c>
      <c r="J78" s="36">
        <f ca="1">DSUM($B$51:$X$63,J$51,$C$70:$D78)</f>
        <v>7.9787951326267384E-2</v>
      </c>
      <c r="K78" s="36">
        <f ca="1">DSUM($B$51:$X$63,K$51,$C$70:$D78)</f>
        <v>7.8054305325490028E-2</v>
      </c>
      <c r="L78" s="36">
        <f ca="1">DSUM($B$51:$X$63,L$51,$C$70:$D78)</f>
        <v>7.7591913033498758E-2</v>
      </c>
      <c r="M78" s="36">
        <f ca="1">DSUM($B$51:$X$63,M$51,$C$70:$D78)</f>
        <v>7.6565961313380157E-2</v>
      </c>
      <c r="N78" s="36">
        <f ca="1">DSUM($B$51:$X$63,N$51,$C$70:$D78)</f>
        <v>7.7208150975164189E-2</v>
      </c>
      <c r="O78" s="36">
        <f ca="1">DSUM($B$51:$X$63,O$51,$C$70:$D78)</f>
        <v>7.6800467940082981E-2</v>
      </c>
      <c r="P78" s="36">
        <f ca="1">DSUM($B$51:$X$63,P$51,$C$70:$D78)</f>
        <v>7.516813555785691E-2</v>
      </c>
      <c r="Q78" s="36">
        <f ca="1">DSUM($B$51:$X$63,Q$51,$C$70:$D78)</f>
        <v>7.2770615909400455E-2</v>
      </c>
      <c r="R78" s="36">
        <f ca="1">DSUM($B$51:$X$63,R$51,$C$70:$D78)</f>
        <v>7.1890090022164121E-2</v>
      </c>
      <c r="S78" s="36">
        <f ca="1">DSUM($B$51:$X$63,S$51,$C$70:$D78)</f>
        <v>7.1595882561605789E-2</v>
      </c>
      <c r="T78" s="36">
        <f ca="1">DSUM($B$51:$X$63,T$51,$C$70:$D78)</f>
        <v>7.0290143854601278E-2</v>
      </c>
      <c r="U78" s="36">
        <f ca="1">DSUM($B$51:$X$63,U$51,$C$70:$D78)</f>
        <v>6.7465249657299123E-2</v>
      </c>
      <c r="V78" s="36">
        <f ca="1">DSUM($B$51:$X$63,V$51,$C$70:$D78)</f>
        <v>6.6447671554427046E-2</v>
      </c>
      <c r="W78" s="36">
        <f ca="1">DSUM($B$51:$X$63,W$51,$C$70:$D78)</f>
        <v>6.5649684799012203E-2</v>
      </c>
      <c r="X78" s="36">
        <f ca="1">DSUM($B$51:$X$63,X$51,$C$70:$D78)</f>
        <v>6.5231361171718821E-2</v>
      </c>
      <c r="Y78" s="36"/>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B79" s="9" t="s">
        <v>92</v>
      </c>
      <c r="C79" s="58" t="s">
        <v>93</v>
      </c>
      <c r="D79" s="58" t="s">
        <v>94</v>
      </c>
      <c r="E79" s="36">
        <f ca="1">DSUM($B$51:$X$63,E$51,$C$70:$D79)</f>
        <v>4.699332719325109E-2</v>
      </c>
      <c r="F79" s="36">
        <f ca="1">DSUM($B$51:$X$63,F$51,$C$70:$D79)</f>
        <v>6.5648487628335597E-2</v>
      </c>
      <c r="G79" s="36">
        <f ca="1">DSUM($B$51:$X$63,G$51,$C$70:$D79)</f>
        <v>7.5319257274843815E-2</v>
      </c>
      <c r="H79" s="36">
        <f ca="1">DSUM($B$51:$X$63,H$51,$C$70:$D79)</f>
        <v>8.0222445210176477E-2</v>
      </c>
      <c r="I79" s="36">
        <f ca="1">DSUM($B$51:$X$63,I$51,$C$70:$D79)</f>
        <v>8.1852754038449105E-2</v>
      </c>
      <c r="J79" s="36">
        <f ca="1">DSUM($B$51:$X$63,J$51,$C$70:$D79)</f>
        <v>7.9787951326267384E-2</v>
      </c>
      <c r="K79" s="36">
        <f ca="1">DSUM($B$51:$X$63,K$51,$C$70:$D79)</f>
        <v>7.8054305325490028E-2</v>
      </c>
      <c r="L79" s="36">
        <f ca="1">DSUM($B$51:$X$63,L$51,$C$70:$D79)</f>
        <v>7.7591913033498758E-2</v>
      </c>
      <c r="M79" s="36">
        <f ca="1">DSUM($B$51:$X$63,M$51,$C$70:$D79)</f>
        <v>7.6565961313380157E-2</v>
      </c>
      <c r="N79" s="36">
        <f ca="1">DSUM($B$51:$X$63,N$51,$C$70:$D79)</f>
        <v>7.7208150975164189E-2</v>
      </c>
      <c r="O79" s="36">
        <f ca="1">DSUM($B$51:$X$63,O$51,$C$70:$D79)</f>
        <v>7.6800467940082981E-2</v>
      </c>
      <c r="P79" s="36">
        <f ca="1">DSUM($B$51:$X$63,P$51,$C$70:$D79)</f>
        <v>7.516813555785691E-2</v>
      </c>
      <c r="Q79" s="36">
        <f ca="1">DSUM($B$51:$X$63,Q$51,$C$70:$D79)</f>
        <v>7.2770615909400455E-2</v>
      </c>
      <c r="R79" s="36">
        <f ca="1">DSUM($B$51:$X$63,R$51,$C$70:$D79)</f>
        <v>7.1890090022164121E-2</v>
      </c>
      <c r="S79" s="36">
        <f ca="1">DSUM($B$51:$X$63,S$51,$C$70:$D79)</f>
        <v>7.1595882561605789E-2</v>
      </c>
      <c r="T79" s="36">
        <f ca="1">DSUM($B$51:$X$63,T$51,$C$70:$D79)</f>
        <v>7.0290143854601278E-2</v>
      </c>
      <c r="U79" s="36">
        <f ca="1">DSUM($B$51:$X$63,U$51,$C$70:$D79)</f>
        <v>6.7465249657299123E-2</v>
      </c>
      <c r="V79" s="36">
        <f ca="1">DSUM($B$51:$X$63,V$51,$C$70:$D79)</f>
        <v>6.6447671554427046E-2</v>
      </c>
      <c r="W79" s="36">
        <f ca="1">DSUM($B$51:$X$63,W$51,$C$70:$D79)</f>
        <v>6.5649684799012203E-2</v>
      </c>
      <c r="X79" s="36">
        <f ca="1">DSUM($B$51:$X$63,X$51,$C$70:$D79)</f>
        <v>6.5231361171718821E-2</v>
      </c>
      <c r="Y79" s="36"/>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B80" s="9" t="s">
        <v>95</v>
      </c>
      <c r="C80" s="58" t="s">
        <v>96</v>
      </c>
      <c r="D80" s="58" t="s">
        <v>97</v>
      </c>
      <c r="E80" s="36">
        <f ca="1">DSUM($B$51:$X$63,E$51,$C$70:$D80)</f>
        <v>4.699332719325109E-2</v>
      </c>
      <c r="F80" s="36">
        <f ca="1">DSUM($B$51:$X$63,F$51,$C$70:$D80)</f>
        <v>6.5648487628335597E-2</v>
      </c>
      <c r="G80" s="36">
        <f ca="1">DSUM($B$51:$X$63,G$51,$C$70:$D80)</f>
        <v>7.5319257274843815E-2</v>
      </c>
      <c r="H80" s="36">
        <f ca="1">DSUM($B$51:$X$63,H$51,$C$70:$D80)</f>
        <v>8.0222445210176477E-2</v>
      </c>
      <c r="I80" s="36">
        <f ca="1">DSUM($B$51:$X$63,I$51,$C$70:$D80)</f>
        <v>8.1852754038449105E-2</v>
      </c>
      <c r="J80" s="36">
        <f ca="1">DSUM($B$51:$X$63,J$51,$C$70:$D80)</f>
        <v>7.9787951326267384E-2</v>
      </c>
      <c r="K80" s="36">
        <f ca="1">DSUM($B$51:$X$63,K$51,$C$70:$D80)</f>
        <v>7.8054305325490028E-2</v>
      </c>
      <c r="L80" s="36">
        <f ca="1">DSUM($B$51:$X$63,L$51,$C$70:$D80)</f>
        <v>7.7591913033498758E-2</v>
      </c>
      <c r="M80" s="36">
        <f ca="1">DSUM($B$51:$X$63,M$51,$C$70:$D80)</f>
        <v>7.6565961313380157E-2</v>
      </c>
      <c r="N80" s="36">
        <f ca="1">DSUM($B$51:$X$63,N$51,$C$70:$D80)</f>
        <v>7.7208150975164189E-2</v>
      </c>
      <c r="O80" s="36">
        <f ca="1">DSUM($B$51:$X$63,O$51,$C$70:$D80)</f>
        <v>7.6800467940082981E-2</v>
      </c>
      <c r="P80" s="36">
        <f ca="1">DSUM($B$51:$X$63,P$51,$C$70:$D80)</f>
        <v>7.516813555785691E-2</v>
      </c>
      <c r="Q80" s="36">
        <f ca="1">DSUM($B$51:$X$63,Q$51,$C$70:$D80)</f>
        <v>7.2770615909400455E-2</v>
      </c>
      <c r="R80" s="36">
        <f ca="1">DSUM($B$51:$X$63,R$51,$C$70:$D80)</f>
        <v>7.1890090022164121E-2</v>
      </c>
      <c r="S80" s="36">
        <f ca="1">DSUM($B$51:$X$63,S$51,$C$70:$D80)</f>
        <v>7.1595882561605789E-2</v>
      </c>
      <c r="T80" s="36">
        <f ca="1">DSUM($B$51:$X$63,T$51,$C$70:$D80)</f>
        <v>7.0290143854601278E-2</v>
      </c>
      <c r="U80" s="36">
        <f ca="1">DSUM($B$51:$X$63,U$51,$C$70:$D80)</f>
        <v>6.7465249657299123E-2</v>
      </c>
      <c r="V80" s="36">
        <f ca="1">DSUM($B$51:$X$63,V$51,$C$70:$D80)</f>
        <v>6.6447671554427046E-2</v>
      </c>
      <c r="W80" s="36">
        <f ca="1">DSUM($B$51:$X$63,W$51,$C$70:$D80)</f>
        <v>6.5649684799012203E-2</v>
      </c>
      <c r="X80" s="36">
        <f ca="1">DSUM($B$51:$X$63,X$51,$C$70:$D80)</f>
        <v>6.5231361171718821E-2</v>
      </c>
      <c r="Y80" s="36"/>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9" t="s">
        <v>98</v>
      </c>
      <c r="C81" s="58" t="s">
        <v>99</v>
      </c>
      <c r="D81" s="58" t="s">
        <v>100</v>
      </c>
      <c r="E81" s="36">
        <f ca="1">DSUM($B$51:$X$63,E$51,$C$70:$D81)</f>
        <v>4.699332719325109E-2</v>
      </c>
      <c r="F81" s="36">
        <f ca="1">DSUM($B$51:$X$63,F$51,$C$70:$D81)</f>
        <v>6.5648487628335597E-2</v>
      </c>
      <c r="G81" s="36">
        <f ca="1">DSUM($B$51:$X$63,G$51,$C$70:$D81)</f>
        <v>7.5319257274843815E-2</v>
      </c>
      <c r="H81" s="36">
        <f ca="1">DSUM($B$51:$X$63,H$51,$C$70:$D81)</f>
        <v>8.0222445210176477E-2</v>
      </c>
      <c r="I81" s="36">
        <f ca="1">DSUM($B$51:$X$63,I$51,$C$70:$D81)</f>
        <v>8.1852754038449105E-2</v>
      </c>
      <c r="J81" s="36">
        <f ca="1">DSUM($B$51:$X$63,J$51,$C$70:$D81)</f>
        <v>7.9787951326267384E-2</v>
      </c>
      <c r="K81" s="36">
        <f ca="1">DSUM($B$51:$X$63,K$51,$C$70:$D81)</f>
        <v>7.8054305325490028E-2</v>
      </c>
      <c r="L81" s="36">
        <f ca="1">DSUM($B$51:$X$63,L$51,$C$70:$D81)</f>
        <v>7.7591913033498758E-2</v>
      </c>
      <c r="M81" s="36">
        <f ca="1">DSUM($B$51:$X$63,M$51,$C$70:$D81)</f>
        <v>7.6565961313380157E-2</v>
      </c>
      <c r="N81" s="36">
        <f ca="1">DSUM($B$51:$X$63,N$51,$C$70:$D81)</f>
        <v>7.7208150975164189E-2</v>
      </c>
      <c r="O81" s="36">
        <f ca="1">DSUM($B$51:$X$63,O$51,$C$70:$D81)</f>
        <v>7.6800467940082981E-2</v>
      </c>
      <c r="P81" s="36">
        <f ca="1">DSUM($B$51:$X$63,P$51,$C$70:$D81)</f>
        <v>7.516813555785691E-2</v>
      </c>
      <c r="Q81" s="36">
        <f ca="1">DSUM($B$51:$X$63,Q$51,$C$70:$D81)</f>
        <v>7.2770615909400455E-2</v>
      </c>
      <c r="R81" s="36">
        <f ca="1">DSUM($B$51:$X$63,R$51,$C$70:$D81)</f>
        <v>7.1890090022164121E-2</v>
      </c>
      <c r="S81" s="36">
        <f ca="1">DSUM($B$51:$X$63,S$51,$C$70:$D81)</f>
        <v>7.1595882561605789E-2</v>
      </c>
      <c r="T81" s="36">
        <f ca="1">DSUM($B$51:$X$63,T$51,$C$70:$D81)</f>
        <v>7.0290143854601278E-2</v>
      </c>
      <c r="U81" s="36">
        <f ca="1">DSUM($B$51:$X$63,U$51,$C$70:$D81)</f>
        <v>6.7465249657299123E-2</v>
      </c>
      <c r="V81" s="36">
        <f ca="1">DSUM($B$51:$X$63,V$51,$C$70:$D81)</f>
        <v>6.6447671554427046E-2</v>
      </c>
      <c r="W81" s="36">
        <f ca="1">DSUM($B$51:$X$63,W$51,$C$70:$D81)</f>
        <v>6.5649684799012203E-2</v>
      </c>
      <c r="X81" s="36">
        <f ca="1">DSUM($B$51:$X$63,X$51,$C$70:$D81)</f>
        <v>6.5231361171718821E-2</v>
      </c>
      <c r="Y81" s="36"/>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9" t="s">
        <v>101</v>
      </c>
      <c r="C82" s="58" t="s">
        <v>102</v>
      </c>
      <c r="D82" s="58" t="s">
        <v>103</v>
      </c>
      <c r="E82" s="36">
        <f ca="1">DSUM($B$51:$X$63,E$51,$C$70:$D82)</f>
        <v>4.699332719325109E-2</v>
      </c>
      <c r="F82" s="36">
        <f ca="1">DSUM($B$51:$X$63,F$51,$C$70:$D82)</f>
        <v>6.5648487628335597E-2</v>
      </c>
      <c r="G82" s="36">
        <f ca="1">DSUM($B$51:$X$63,G$51,$C$70:$D82)</f>
        <v>7.5319257274843815E-2</v>
      </c>
      <c r="H82" s="36">
        <f ca="1">DSUM($B$51:$X$63,H$51,$C$70:$D82)</f>
        <v>8.0222445210176477E-2</v>
      </c>
      <c r="I82" s="36">
        <f ca="1">DSUM($B$51:$X$63,I$51,$C$70:$D82)</f>
        <v>8.1852754038449105E-2</v>
      </c>
      <c r="J82" s="36">
        <f ca="1">DSUM($B$51:$X$63,J$51,$C$70:$D82)</f>
        <v>7.9787951326267384E-2</v>
      </c>
      <c r="K82" s="36">
        <f ca="1">DSUM($B$51:$X$63,K$51,$C$70:$D82)</f>
        <v>7.8054305325490028E-2</v>
      </c>
      <c r="L82" s="36">
        <f ca="1">DSUM($B$51:$X$63,L$51,$C$70:$D82)</f>
        <v>7.7591913033498758E-2</v>
      </c>
      <c r="M82" s="36">
        <f ca="1">DSUM($B$51:$X$63,M$51,$C$70:$D82)</f>
        <v>7.6565961313380157E-2</v>
      </c>
      <c r="N82" s="36">
        <f ca="1">DSUM($B$51:$X$63,N$51,$C$70:$D82)</f>
        <v>7.7208150975164189E-2</v>
      </c>
      <c r="O82" s="36">
        <f ca="1">DSUM($B$51:$X$63,O$51,$C$70:$D82)</f>
        <v>7.6800467940082981E-2</v>
      </c>
      <c r="P82" s="36">
        <f ca="1">DSUM($B$51:$X$63,P$51,$C$70:$D82)</f>
        <v>7.516813555785691E-2</v>
      </c>
      <c r="Q82" s="36">
        <f ca="1">DSUM($B$51:$X$63,Q$51,$C$70:$D82)</f>
        <v>7.2770615909400455E-2</v>
      </c>
      <c r="R82" s="36">
        <f ca="1">DSUM($B$51:$X$63,R$51,$C$70:$D82)</f>
        <v>7.1890090022164121E-2</v>
      </c>
      <c r="S82" s="36">
        <f ca="1">DSUM($B$51:$X$63,S$51,$C$70:$D82)</f>
        <v>7.1595882561605789E-2</v>
      </c>
      <c r="T82" s="36">
        <f ca="1">DSUM($B$51:$X$63,T$51,$C$70:$D82)</f>
        <v>7.0290143854601278E-2</v>
      </c>
      <c r="U82" s="36">
        <f ca="1">DSUM($B$51:$X$63,U$51,$C$70:$D82)</f>
        <v>6.7465249657299123E-2</v>
      </c>
      <c r="V82" s="36">
        <f ca="1">DSUM($B$51:$X$63,V$51,$C$70:$D82)</f>
        <v>6.6447671554427046E-2</v>
      </c>
      <c r="W82" s="36">
        <f ca="1">DSUM($B$51:$X$63,W$51,$C$70:$D82)</f>
        <v>6.5649684799012203E-2</v>
      </c>
      <c r="X82" s="36">
        <f ca="1">DSUM($B$51:$X$63,X$51,$C$70:$D82)</f>
        <v>6.5231361171718821E-2</v>
      </c>
      <c r="Y82" s="36"/>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9" t="s">
        <v>104</v>
      </c>
      <c r="C83" s="58" t="s">
        <v>105</v>
      </c>
      <c r="D83" s="58" t="s">
        <v>106</v>
      </c>
      <c r="E83" s="36">
        <f ca="1">DSUM($B$51:$X$63,E$51,$C$70:$D83)</f>
        <v>4.699332719325109E-2</v>
      </c>
      <c r="F83" s="36">
        <f ca="1">DSUM($B$51:$X$63,F$51,$C$70:$D83)</f>
        <v>6.5648487628335597E-2</v>
      </c>
      <c r="G83" s="36">
        <f ca="1">DSUM($B$51:$X$63,G$51,$C$70:$D83)</f>
        <v>7.5319257274843815E-2</v>
      </c>
      <c r="H83" s="36">
        <f ca="1">DSUM($B$51:$X$63,H$51,$C$70:$D83)</f>
        <v>8.0222445210176477E-2</v>
      </c>
      <c r="I83" s="36">
        <f ca="1">DSUM($B$51:$X$63,I$51,$C$70:$D83)</f>
        <v>8.1852754038449105E-2</v>
      </c>
      <c r="J83" s="36">
        <f ca="1">DSUM($B$51:$X$63,J$51,$C$70:$D83)</f>
        <v>7.9787951326267384E-2</v>
      </c>
      <c r="K83" s="36">
        <f ca="1">DSUM($B$51:$X$63,K$51,$C$70:$D83)</f>
        <v>7.8054305325490028E-2</v>
      </c>
      <c r="L83" s="36">
        <f ca="1">DSUM($B$51:$X$63,L$51,$C$70:$D83)</f>
        <v>7.7591913033498758E-2</v>
      </c>
      <c r="M83" s="36">
        <f ca="1">DSUM($B$51:$X$63,M$51,$C$70:$D83)</f>
        <v>7.6565961313380157E-2</v>
      </c>
      <c r="N83" s="36">
        <f ca="1">DSUM($B$51:$X$63,N$51,$C$70:$D83)</f>
        <v>7.7208150975164189E-2</v>
      </c>
      <c r="O83" s="36">
        <f ca="1">DSUM($B$51:$X$63,O$51,$C$70:$D83)</f>
        <v>7.6800467940082981E-2</v>
      </c>
      <c r="P83" s="36">
        <f ca="1">DSUM($B$51:$X$63,P$51,$C$70:$D83)</f>
        <v>7.516813555785691E-2</v>
      </c>
      <c r="Q83" s="36">
        <f ca="1">DSUM($B$51:$X$63,Q$51,$C$70:$D83)</f>
        <v>7.2770615909400455E-2</v>
      </c>
      <c r="R83" s="36">
        <f ca="1">DSUM($B$51:$X$63,R$51,$C$70:$D83)</f>
        <v>7.1890090022164121E-2</v>
      </c>
      <c r="S83" s="36">
        <f ca="1">DSUM($B$51:$X$63,S$51,$C$70:$D83)</f>
        <v>7.1595882561605789E-2</v>
      </c>
      <c r="T83" s="36">
        <f ca="1">DSUM($B$51:$X$63,T$51,$C$70:$D83)</f>
        <v>7.0290143854601278E-2</v>
      </c>
      <c r="U83" s="36">
        <f ca="1">DSUM($B$51:$X$63,U$51,$C$70:$D83)</f>
        <v>6.7465249657299123E-2</v>
      </c>
      <c r="V83" s="36">
        <f ca="1">DSUM($B$51:$X$63,V$51,$C$70:$D83)</f>
        <v>6.6447671554427046E-2</v>
      </c>
      <c r="W83" s="36">
        <f ca="1">DSUM($B$51:$X$63,W$51,$C$70:$D83)</f>
        <v>6.5649684799012203E-2</v>
      </c>
      <c r="X83" s="36">
        <f ca="1">DSUM($B$51:$X$63,X$51,$C$70:$D83)</f>
        <v>6.5231361171718821E-2</v>
      </c>
      <c r="Y83" s="36"/>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9" t="s">
        <v>107</v>
      </c>
      <c r="C84" s="58" t="s">
        <v>108</v>
      </c>
      <c r="D84" s="58" t="s">
        <v>109</v>
      </c>
      <c r="E84" s="36">
        <f ca="1">DSUM($B$51:$X$63,E$51,$C$70:$D84)</f>
        <v>4.699332719325109E-2</v>
      </c>
      <c r="F84" s="36">
        <f ca="1">DSUM($B$51:$X$63,F$51,$C$70:$D84)</f>
        <v>6.5648487628335597E-2</v>
      </c>
      <c r="G84" s="36">
        <f ca="1">DSUM($B$51:$X$63,G$51,$C$70:$D84)</f>
        <v>7.5319257274843815E-2</v>
      </c>
      <c r="H84" s="36">
        <f ca="1">DSUM($B$51:$X$63,H$51,$C$70:$D84)</f>
        <v>8.0222445210176477E-2</v>
      </c>
      <c r="I84" s="36">
        <f ca="1">DSUM($B$51:$X$63,I$51,$C$70:$D84)</f>
        <v>8.1852754038449105E-2</v>
      </c>
      <c r="J84" s="36">
        <f ca="1">DSUM($B$51:$X$63,J$51,$C$70:$D84)</f>
        <v>7.9787951326267384E-2</v>
      </c>
      <c r="K84" s="36">
        <f ca="1">DSUM($B$51:$X$63,K$51,$C$70:$D84)</f>
        <v>7.8054305325490028E-2</v>
      </c>
      <c r="L84" s="36">
        <f ca="1">DSUM($B$51:$X$63,L$51,$C$70:$D84)</f>
        <v>7.7591913033498758E-2</v>
      </c>
      <c r="M84" s="36">
        <f ca="1">DSUM($B$51:$X$63,M$51,$C$70:$D84)</f>
        <v>7.6565961313380157E-2</v>
      </c>
      <c r="N84" s="36">
        <f ca="1">DSUM($B$51:$X$63,N$51,$C$70:$D84)</f>
        <v>7.7208150975164189E-2</v>
      </c>
      <c r="O84" s="36">
        <f ca="1">DSUM($B$51:$X$63,O$51,$C$70:$D84)</f>
        <v>7.6800467940082981E-2</v>
      </c>
      <c r="P84" s="36">
        <f ca="1">DSUM($B$51:$X$63,P$51,$C$70:$D84)</f>
        <v>7.516813555785691E-2</v>
      </c>
      <c r="Q84" s="36">
        <f ca="1">DSUM($B$51:$X$63,Q$51,$C$70:$D84)</f>
        <v>7.2770615909400455E-2</v>
      </c>
      <c r="R84" s="36">
        <f ca="1">DSUM($B$51:$X$63,R$51,$C$70:$D84)</f>
        <v>7.1890090022164121E-2</v>
      </c>
      <c r="S84" s="36">
        <f ca="1">DSUM($B$51:$X$63,S$51,$C$70:$D84)</f>
        <v>7.1595882561605789E-2</v>
      </c>
      <c r="T84" s="36">
        <f ca="1">DSUM($B$51:$X$63,T$51,$C$70:$D84)</f>
        <v>7.0290143854601278E-2</v>
      </c>
      <c r="U84" s="36">
        <f ca="1">DSUM($B$51:$X$63,U$51,$C$70:$D84)</f>
        <v>6.7465249657299123E-2</v>
      </c>
      <c r="V84" s="36">
        <f ca="1">DSUM($B$51:$X$63,V$51,$C$70:$D84)</f>
        <v>6.6447671554427046E-2</v>
      </c>
      <c r="W84" s="36">
        <f ca="1">DSUM($B$51:$X$63,W$51,$C$70:$D84)</f>
        <v>6.5649684799012203E-2</v>
      </c>
      <c r="X84" s="36">
        <f ca="1">DSUM($B$51:$X$63,X$51,$C$70:$D84)</f>
        <v>6.5231361171718821E-2</v>
      </c>
      <c r="Y84" s="36"/>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9" t="s">
        <v>110</v>
      </c>
      <c r="C85" s="58" t="s">
        <v>111</v>
      </c>
      <c r="D85" s="58" t="s">
        <v>112</v>
      </c>
      <c r="E85" s="36">
        <f ca="1">DSUM($B$51:$X$63,E$51,$C$70:$D85)</f>
        <v>4.699332719325109E-2</v>
      </c>
      <c r="F85" s="36">
        <f ca="1">DSUM($B$51:$X$63,F$51,$C$70:$D85)</f>
        <v>6.5648487628335597E-2</v>
      </c>
      <c r="G85" s="36">
        <f ca="1">DSUM($B$51:$X$63,G$51,$C$70:$D85)</f>
        <v>7.5319257274843815E-2</v>
      </c>
      <c r="H85" s="36">
        <f ca="1">DSUM($B$51:$X$63,H$51,$C$70:$D85)</f>
        <v>8.0222445210176477E-2</v>
      </c>
      <c r="I85" s="36">
        <f ca="1">DSUM($B$51:$X$63,I$51,$C$70:$D85)</f>
        <v>8.1852754038449105E-2</v>
      </c>
      <c r="J85" s="36">
        <f ca="1">DSUM($B$51:$X$63,J$51,$C$70:$D85)</f>
        <v>7.9787951326267384E-2</v>
      </c>
      <c r="K85" s="36">
        <f ca="1">DSUM($B$51:$X$63,K$51,$C$70:$D85)</f>
        <v>7.8054305325490028E-2</v>
      </c>
      <c r="L85" s="36">
        <f ca="1">DSUM($B$51:$X$63,L$51,$C$70:$D85)</f>
        <v>7.7591913033498758E-2</v>
      </c>
      <c r="M85" s="36">
        <f ca="1">DSUM($B$51:$X$63,M$51,$C$70:$D85)</f>
        <v>7.6565961313380157E-2</v>
      </c>
      <c r="N85" s="36">
        <f ca="1">DSUM($B$51:$X$63,N$51,$C$70:$D85)</f>
        <v>7.7208150975164189E-2</v>
      </c>
      <c r="O85" s="36">
        <f ca="1">DSUM($B$51:$X$63,O$51,$C$70:$D85)</f>
        <v>7.6800467940082981E-2</v>
      </c>
      <c r="P85" s="36">
        <f ca="1">DSUM($B$51:$X$63,P$51,$C$70:$D85)</f>
        <v>7.516813555785691E-2</v>
      </c>
      <c r="Q85" s="36">
        <f ca="1">DSUM($B$51:$X$63,Q$51,$C$70:$D85)</f>
        <v>7.2770615909400455E-2</v>
      </c>
      <c r="R85" s="36">
        <f ca="1">DSUM($B$51:$X$63,R$51,$C$70:$D85)</f>
        <v>7.1890090022164121E-2</v>
      </c>
      <c r="S85" s="36">
        <f ca="1">DSUM($B$51:$X$63,S$51,$C$70:$D85)</f>
        <v>7.1595882561605789E-2</v>
      </c>
      <c r="T85" s="36">
        <f ca="1">DSUM($B$51:$X$63,T$51,$C$70:$D85)</f>
        <v>7.0290143854601278E-2</v>
      </c>
      <c r="U85" s="36">
        <f ca="1">DSUM($B$51:$X$63,U$51,$C$70:$D85)</f>
        <v>6.7465249657299123E-2</v>
      </c>
      <c r="V85" s="36">
        <f ca="1">DSUM($B$51:$X$63,V$51,$C$70:$D85)</f>
        <v>6.6447671554427046E-2</v>
      </c>
      <c r="W85" s="36">
        <f ca="1">DSUM($B$51:$X$63,W$51,$C$70:$D85)</f>
        <v>6.5649684799012203E-2</v>
      </c>
      <c r="X85" s="36">
        <f ca="1">DSUM($B$51:$X$63,X$51,$C$70:$D85)</f>
        <v>6.5231361171718821E-2</v>
      </c>
      <c r="Y85" s="36"/>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9" t="s">
        <v>113</v>
      </c>
      <c r="C86" s="58" t="s">
        <v>114</v>
      </c>
      <c r="D86" s="58" t="s">
        <v>115</v>
      </c>
      <c r="E86" s="36">
        <f ca="1">DSUM($B$51:$X$63,E$51,$C$70:$D86)</f>
        <v>4.699332719325109E-2</v>
      </c>
      <c r="F86" s="36">
        <f ca="1">DSUM($B$51:$X$63,F$51,$C$70:$D86)</f>
        <v>6.5648487628335597E-2</v>
      </c>
      <c r="G86" s="36">
        <f ca="1">DSUM($B$51:$X$63,G$51,$C$70:$D86)</f>
        <v>7.5319257274843815E-2</v>
      </c>
      <c r="H86" s="36">
        <f ca="1">DSUM($B$51:$X$63,H$51,$C$70:$D86)</f>
        <v>8.0222445210176477E-2</v>
      </c>
      <c r="I86" s="36">
        <f ca="1">DSUM($B$51:$X$63,I$51,$C$70:$D86)</f>
        <v>8.1852754038449105E-2</v>
      </c>
      <c r="J86" s="36">
        <f ca="1">DSUM($B$51:$X$63,J$51,$C$70:$D86)</f>
        <v>7.9787951326267384E-2</v>
      </c>
      <c r="K86" s="36">
        <f ca="1">DSUM($B$51:$X$63,K$51,$C$70:$D86)</f>
        <v>7.8054305325490028E-2</v>
      </c>
      <c r="L86" s="36">
        <f ca="1">DSUM($B$51:$X$63,L$51,$C$70:$D86)</f>
        <v>7.7591913033498758E-2</v>
      </c>
      <c r="M86" s="36">
        <f ca="1">DSUM($B$51:$X$63,M$51,$C$70:$D86)</f>
        <v>7.6565961313380157E-2</v>
      </c>
      <c r="N86" s="36">
        <f ca="1">DSUM($B$51:$X$63,N$51,$C$70:$D86)</f>
        <v>7.7208150975164189E-2</v>
      </c>
      <c r="O86" s="36">
        <f ca="1">DSUM($B$51:$X$63,O$51,$C$70:$D86)</f>
        <v>7.6800467940082981E-2</v>
      </c>
      <c r="P86" s="36">
        <f ca="1">DSUM($B$51:$X$63,P$51,$C$70:$D86)</f>
        <v>7.516813555785691E-2</v>
      </c>
      <c r="Q86" s="36">
        <f ca="1">DSUM($B$51:$X$63,Q$51,$C$70:$D86)</f>
        <v>7.2770615909400455E-2</v>
      </c>
      <c r="R86" s="36">
        <f ca="1">DSUM($B$51:$X$63,R$51,$C$70:$D86)</f>
        <v>7.1890090022164121E-2</v>
      </c>
      <c r="S86" s="36">
        <f ca="1">DSUM($B$51:$X$63,S$51,$C$70:$D86)</f>
        <v>7.1595882561605789E-2</v>
      </c>
      <c r="T86" s="36">
        <f ca="1">DSUM($B$51:$X$63,T$51,$C$70:$D86)</f>
        <v>7.0290143854601278E-2</v>
      </c>
      <c r="U86" s="36">
        <f ca="1">DSUM($B$51:$X$63,U$51,$C$70:$D86)</f>
        <v>6.7465249657299123E-2</v>
      </c>
      <c r="V86" s="36">
        <f ca="1">DSUM($B$51:$X$63,V$51,$C$70:$D86)</f>
        <v>6.6447671554427046E-2</v>
      </c>
      <c r="W86" s="36">
        <f ca="1">DSUM($B$51:$X$63,W$51,$C$70:$D86)</f>
        <v>6.5649684799012203E-2</v>
      </c>
      <c r="X86" s="36">
        <f ca="1">DSUM($B$51:$X$63,X$51,$C$70:$D86)</f>
        <v>6.5231361171718821E-2</v>
      </c>
      <c r="Y86" s="3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9" t="s">
        <v>116</v>
      </c>
      <c r="C87" s="58" t="s">
        <v>117</v>
      </c>
      <c r="D87" s="58" t="s">
        <v>118</v>
      </c>
      <c r="E87" s="36">
        <f ca="1">DSUM($B$51:$X$63,E$51,$C$70:$D87)</f>
        <v>4.699332719325109E-2</v>
      </c>
      <c r="F87" s="36">
        <f ca="1">DSUM($B$51:$X$63,F$51,$C$70:$D87)</f>
        <v>6.5648487628335597E-2</v>
      </c>
      <c r="G87" s="36">
        <f ca="1">DSUM($B$51:$X$63,G$51,$C$70:$D87)</f>
        <v>7.5319257274843815E-2</v>
      </c>
      <c r="H87" s="36">
        <f ca="1">DSUM($B$51:$X$63,H$51,$C$70:$D87)</f>
        <v>8.0222445210176477E-2</v>
      </c>
      <c r="I87" s="36">
        <f ca="1">DSUM($B$51:$X$63,I$51,$C$70:$D87)</f>
        <v>8.1852754038449105E-2</v>
      </c>
      <c r="J87" s="36">
        <f ca="1">DSUM($B$51:$X$63,J$51,$C$70:$D87)</f>
        <v>7.9787951326267384E-2</v>
      </c>
      <c r="K87" s="36">
        <f ca="1">DSUM($B$51:$X$63,K$51,$C$70:$D87)</f>
        <v>7.8054305325490028E-2</v>
      </c>
      <c r="L87" s="36">
        <f ca="1">DSUM($B$51:$X$63,L$51,$C$70:$D87)</f>
        <v>7.7591913033498758E-2</v>
      </c>
      <c r="M87" s="36">
        <f ca="1">DSUM($B$51:$X$63,M$51,$C$70:$D87)</f>
        <v>7.6565961313380157E-2</v>
      </c>
      <c r="N87" s="36">
        <f ca="1">DSUM($B$51:$X$63,N$51,$C$70:$D87)</f>
        <v>7.7208150975164189E-2</v>
      </c>
      <c r="O87" s="36">
        <f ca="1">DSUM($B$51:$X$63,O$51,$C$70:$D87)</f>
        <v>7.6800467940082981E-2</v>
      </c>
      <c r="P87" s="36">
        <f ca="1">DSUM($B$51:$X$63,P$51,$C$70:$D87)</f>
        <v>7.516813555785691E-2</v>
      </c>
      <c r="Q87" s="36">
        <f ca="1">DSUM($B$51:$X$63,Q$51,$C$70:$D87)</f>
        <v>7.2770615909400455E-2</v>
      </c>
      <c r="R87" s="36">
        <f ca="1">DSUM($B$51:$X$63,R$51,$C$70:$D87)</f>
        <v>7.1890090022164121E-2</v>
      </c>
      <c r="S87" s="36">
        <f ca="1">DSUM($B$51:$X$63,S$51,$C$70:$D87)</f>
        <v>7.1595882561605789E-2</v>
      </c>
      <c r="T87" s="36">
        <f ca="1">DSUM($B$51:$X$63,T$51,$C$70:$D87)</f>
        <v>7.0290143854601278E-2</v>
      </c>
      <c r="U87" s="36">
        <f ca="1">DSUM($B$51:$X$63,U$51,$C$70:$D87)</f>
        <v>6.7465249657299123E-2</v>
      </c>
      <c r="V87" s="36">
        <f ca="1">DSUM($B$51:$X$63,V$51,$C$70:$D87)</f>
        <v>6.6447671554427046E-2</v>
      </c>
      <c r="W87" s="36">
        <f ca="1">DSUM($B$51:$X$63,W$51,$C$70:$D87)</f>
        <v>6.5649684799012203E-2</v>
      </c>
      <c r="X87" s="36">
        <f ca="1">DSUM($B$51:$X$63,X$51,$C$70:$D87)</f>
        <v>6.5231361171718821E-2</v>
      </c>
      <c r="Y87" s="36"/>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9" t="s">
        <v>119</v>
      </c>
      <c r="C88" s="58" t="s">
        <v>120</v>
      </c>
      <c r="D88" s="58" t="s">
        <v>121</v>
      </c>
      <c r="E88" s="36">
        <f ca="1">DSUM($B$51:$X$63,E$51,$C$70:$D88)</f>
        <v>4.699332719325109E-2</v>
      </c>
      <c r="F88" s="36">
        <f ca="1">DSUM($B$51:$X$63,F$51,$C$70:$D88)</f>
        <v>6.5648487628335597E-2</v>
      </c>
      <c r="G88" s="36">
        <f ca="1">DSUM($B$51:$X$63,G$51,$C$70:$D88)</f>
        <v>7.5319257274843815E-2</v>
      </c>
      <c r="H88" s="36">
        <f ca="1">DSUM($B$51:$X$63,H$51,$C$70:$D88)</f>
        <v>8.0222445210176477E-2</v>
      </c>
      <c r="I88" s="36">
        <f ca="1">DSUM($B$51:$X$63,I$51,$C$70:$D88)</f>
        <v>8.1852754038449105E-2</v>
      </c>
      <c r="J88" s="36">
        <f ca="1">DSUM($B$51:$X$63,J$51,$C$70:$D88)</f>
        <v>7.9787951326267384E-2</v>
      </c>
      <c r="K88" s="36">
        <f ca="1">DSUM($B$51:$X$63,K$51,$C$70:$D88)</f>
        <v>7.8054305325490028E-2</v>
      </c>
      <c r="L88" s="36">
        <f ca="1">DSUM($B$51:$X$63,L$51,$C$70:$D88)</f>
        <v>7.7591913033498758E-2</v>
      </c>
      <c r="M88" s="36">
        <f ca="1">DSUM($B$51:$X$63,M$51,$C$70:$D88)</f>
        <v>7.6565961313380157E-2</v>
      </c>
      <c r="N88" s="36">
        <f ca="1">DSUM($B$51:$X$63,N$51,$C$70:$D88)</f>
        <v>7.7208150975164189E-2</v>
      </c>
      <c r="O88" s="36">
        <f ca="1">DSUM($B$51:$X$63,O$51,$C$70:$D88)</f>
        <v>7.6800467940082981E-2</v>
      </c>
      <c r="P88" s="36">
        <f ca="1">DSUM($B$51:$X$63,P$51,$C$70:$D88)</f>
        <v>7.516813555785691E-2</v>
      </c>
      <c r="Q88" s="36">
        <f ca="1">DSUM($B$51:$X$63,Q$51,$C$70:$D88)</f>
        <v>7.2770615909400455E-2</v>
      </c>
      <c r="R88" s="36">
        <f ca="1">DSUM($B$51:$X$63,R$51,$C$70:$D88)</f>
        <v>7.1890090022164121E-2</v>
      </c>
      <c r="S88" s="36">
        <f ca="1">DSUM($B$51:$X$63,S$51,$C$70:$D88)</f>
        <v>7.1595882561605789E-2</v>
      </c>
      <c r="T88" s="36">
        <f ca="1">DSUM($B$51:$X$63,T$51,$C$70:$D88)</f>
        <v>7.0290143854601278E-2</v>
      </c>
      <c r="U88" s="36">
        <f ca="1">DSUM($B$51:$X$63,U$51,$C$70:$D88)</f>
        <v>6.7465249657299123E-2</v>
      </c>
      <c r="V88" s="36">
        <f ca="1">DSUM($B$51:$X$63,V$51,$C$70:$D88)</f>
        <v>6.6447671554427046E-2</v>
      </c>
      <c r="W88" s="36">
        <f ca="1">DSUM($B$51:$X$63,W$51,$C$70:$D88)</f>
        <v>6.5649684799012203E-2</v>
      </c>
      <c r="X88" s="36">
        <f ca="1">DSUM($B$51:$X$63,X$51,$C$70:$D88)</f>
        <v>6.5231361171718821E-2</v>
      </c>
      <c r="Y88" s="36"/>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9" t="s">
        <v>122</v>
      </c>
      <c r="C89" s="58" t="s">
        <v>123</v>
      </c>
      <c r="D89" s="58" t="s">
        <v>124</v>
      </c>
      <c r="E89" s="36">
        <f ca="1">DSUM($B$51:$X$63,E$51,$C$70:$D89)</f>
        <v>4.699332719325109E-2</v>
      </c>
      <c r="F89" s="36">
        <f ca="1">DSUM($B$51:$X$63,F$51,$C$70:$D89)</f>
        <v>6.5648487628335597E-2</v>
      </c>
      <c r="G89" s="36">
        <f ca="1">DSUM($B$51:$X$63,G$51,$C$70:$D89)</f>
        <v>7.5319257274843815E-2</v>
      </c>
      <c r="H89" s="36">
        <f ca="1">DSUM($B$51:$X$63,H$51,$C$70:$D89)</f>
        <v>8.0222445210176477E-2</v>
      </c>
      <c r="I89" s="36">
        <f ca="1">DSUM($B$51:$X$63,I$51,$C$70:$D89)</f>
        <v>8.1852754038449105E-2</v>
      </c>
      <c r="J89" s="36">
        <f ca="1">DSUM($B$51:$X$63,J$51,$C$70:$D89)</f>
        <v>7.9787951326267384E-2</v>
      </c>
      <c r="K89" s="36">
        <f ca="1">DSUM($B$51:$X$63,K$51,$C$70:$D89)</f>
        <v>7.8054305325490028E-2</v>
      </c>
      <c r="L89" s="36">
        <f ca="1">DSUM($B$51:$X$63,L$51,$C$70:$D89)</f>
        <v>7.7591913033498758E-2</v>
      </c>
      <c r="M89" s="36">
        <f ca="1">DSUM($B$51:$X$63,M$51,$C$70:$D89)</f>
        <v>7.6565961313380157E-2</v>
      </c>
      <c r="N89" s="36">
        <f ca="1">DSUM($B$51:$X$63,N$51,$C$70:$D89)</f>
        <v>7.7208150975164189E-2</v>
      </c>
      <c r="O89" s="36">
        <f ca="1">DSUM($B$51:$X$63,O$51,$C$70:$D89)</f>
        <v>7.6800467940082981E-2</v>
      </c>
      <c r="P89" s="36">
        <f ca="1">DSUM($B$51:$X$63,P$51,$C$70:$D89)</f>
        <v>7.516813555785691E-2</v>
      </c>
      <c r="Q89" s="36">
        <f ca="1">DSUM($B$51:$X$63,Q$51,$C$70:$D89)</f>
        <v>7.2770615909400455E-2</v>
      </c>
      <c r="R89" s="36">
        <f ca="1">DSUM($B$51:$X$63,R$51,$C$70:$D89)</f>
        <v>7.1890090022164121E-2</v>
      </c>
      <c r="S89" s="36">
        <f ca="1">DSUM($B$51:$X$63,S$51,$C$70:$D89)</f>
        <v>7.1595882561605789E-2</v>
      </c>
      <c r="T89" s="36">
        <f ca="1">DSUM($B$51:$X$63,T$51,$C$70:$D89)</f>
        <v>7.0290143854601278E-2</v>
      </c>
      <c r="U89" s="36">
        <f ca="1">DSUM($B$51:$X$63,U$51,$C$70:$D89)</f>
        <v>6.7465249657299123E-2</v>
      </c>
      <c r="V89" s="36">
        <f ca="1">DSUM($B$51:$X$63,V$51,$C$70:$D89)</f>
        <v>6.6447671554427046E-2</v>
      </c>
      <c r="W89" s="36">
        <f ca="1">DSUM($B$51:$X$63,W$51,$C$70:$D89)</f>
        <v>6.5649684799012203E-2</v>
      </c>
      <c r="X89" s="36">
        <f ca="1">DSUM($B$51:$X$63,X$51,$C$70:$D89)</f>
        <v>6.5231361171718821E-2</v>
      </c>
      <c r="Y89" s="36"/>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9" t="s">
        <v>125</v>
      </c>
      <c r="C90" s="58" t="s">
        <v>126</v>
      </c>
      <c r="D90" s="58" t="s">
        <v>127</v>
      </c>
      <c r="E90" s="36">
        <f ca="1">DSUM($B$51:$X$63,E$51,$C$70:$D90)</f>
        <v>4.699332719325109E-2</v>
      </c>
      <c r="F90" s="36">
        <f ca="1">DSUM($B$51:$X$63,F$51,$C$70:$D90)</f>
        <v>6.5648487628335597E-2</v>
      </c>
      <c r="G90" s="36">
        <f ca="1">DSUM($B$51:$X$63,G$51,$C$70:$D90)</f>
        <v>7.5319257274843815E-2</v>
      </c>
      <c r="H90" s="36">
        <f ca="1">DSUM($B$51:$X$63,H$51,$C$70:$D90)</f>
        <v>8.0222445210176477E-2</v>
      </c>
      <c r="I90" s="36">
        <f ca="1">DSUM($B$51:$X$63,I$51,$C$70:$D90)</f>
        <v>8.1852754038449105E-2</v>
      </c>
      <c r="J90" s="36">
        <f ca="1">DSUM($B$51:$X$63,J$51,$C$70:$D90)</f>
        <v>7.9787951326267384E-2</v>
      </c>
      <c r="K90" s="36">
        <f ca="1">DSUM($B$51:$X$63,K$51,$C$70:$D90)</f>
        <v>7.8054305325490028E-2</v>
      </c>
      <c r="L90" s="36">
        <f ca="1">DSUM($B$51:$X$63,L$51,$C$70:$D90)</f>
        <v>7.7591913033498758E-2</v>
      </c>
      <c r="M90" s="36">
        <f ca="1">DSUM($B$51:$X$63,M$51,$C$70:$D90)</f>
        <v>7.6565961313380157E-2</v>
      </c>
      <c r="N90" s="36">
        <f ca="1">DSUM($B$51:$X$63,N$51,$C$70:$D90)</f>
        <v>7.7208150975164189E-2</v>
      </c>
      <c r="O90" s="36">
        <f ca="1">DSUM($B$51:$X$63,O$51,$C$70:$D90)</f>
        <v>7.6800467940082981E-2</v>
      </c>
      <c r="P90" s="36">
        <f ca="1">DSUM($B$51:$X$63,P$51,$C$70:$D90)</f>
        <v>7.516813555785691E-2</v>
      </c>
      <c r="Q90" s="36">
        <f ca="1">DSUM($B$51:$X$63,Q$51,$C$70:$D90)</f>
        <v>7.2770615909400455E-2</v>
      </c>
      <c r="R90" s="36">
        <f ca="1">DSUM($B$51:$X$63,R$51,$C$70:$D90)</f>
        <v>7.1890090022164121E-2</v>
      </c>
      <c r="S90" s="36">
        <f ca="1">DSUM($B$51:$X$63,S$51,$C$70:$D90)</f>
        <v>7.1595882561605789E-2</v>
      </c>
      <c r="T90" s="36">
        <f ca="1">DSUM($B$51:$X$63,T$51,$C$70:$D90)</f>
        <v>7.0290143854601278E-2</v>
      </c>
      <c r="U90" s="36">
        <f ca="1">DSUM($B$51:$X$63,U$51,$C$70:$D90)</f>
        <v>6.7465249657299123E-2</v>
      </c>
      <c r="V90" s="36">
        <f ca="1">DSUM($B$51:$X$63,V$51,$C$70:$D90)</f>
        <v>6.6447671554427046E-2</v>
      </c>
      <c r="W90" s="36">
        <f ca="1">DSUM($B$51:$X$63,W$51,$C$70:$D90)</f>
        <v>6.5649684799012203E-2</v>
      </c>
      <c r="X90" s="36">
        <f ca="1">DSUM($B$51:$X$63,X$51,$C$70:$D90)</f>
        <v>6.5231361171718821E-2</v>
      </c>
      <c r="Y90" s="36"/>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9" t="s">
        <v>128</v>
      </c>
      <c r="C91" s="58" t="s">
        <v>129</v>
      </c>
      <c r="D91" s="58" t="s">
        <v>130</v>
      </c>
      <c r="E91" s="36">
        <f ca="1">DSUM($B$51:$X$63,E$51,$C$70:$D91)</f>
        <v>4.699332719325109E-2</v>
      </c>
      <c r="F91" s="36">
        <f ca="1">DSUM($B$51:$X$63,F$51,$C$70:$D91)</f>
        <v>6.5648487628335597E-2</v>
      </c>
      <c r="G91" s="36">
        <f ca="1">DSUM($B$51:$X$63,G$51,$C$70:$D91)</f>
        <v>7.5319257274843815E-2</v>
      </c>
      <c r="H91" s="36">
        <f ca="1">DSUM($B$51:$X$63,H$51,$C$70:$D91)</f>
        <v>8.0222445210176477E-2</v>
      </c>
      <c r="I91" s="36">
        <f ca="1">DSUM($B$51:$X$63,I$51,$C$70:$D91)</f>
        <v>8.1852754038449105E-2</v>
      </c>
      <c r="J91" s="36">
        <f ca="1">DSUM($B$51:$X$63,J$51,$C$70:$D91)</f>
        <v>7.9787951326267384E-2</v>
      </c>
      <c r="K91" s="36">
        <f ca="1">DSUM($B$51:$X$63,K$51,$C$70:$D91)</f>
        <v>7.8054305325490028E-2</v>
      </c>
      <c r="L91" s="36">
        <f ca="1">DSUM($B$51:$X$63,L$51,$C$70:$D91)</f>
        <v>7.7591913033498758E-2</v>
      </c>
      <c r="M91" s="36">
        <f ca="1">DSUM($B$51:$X$63,M$51,$C$70:$D91)</f>
        <v>7.6565961313380157E-2</v>
      </c>
      <c r="N91" s="36">
        <f ca="1">DSUM($B$51:$X$63,N$51,$C$70:$D91)</f>
        <v>7.7208150975164189E-2</v>
      </c>
      <c r="O91" s="36">
        <f ca="1">DSUM($B$51:$X$63,O$51,$C$70:$D91)</f>
        <v>7.6800467940082981E-2</v>
      </c>
      <c r="P91" s="36">
        <f ca="1">DSUM($B$51:$X$63,P$51,$C$70:$D91)</f>
        <v>7.516813555785691E-2</v>
      </c>
      <c r="Q91" s="36">
        <f ca="1">DSUM($B$51:$X$63,Q$51,$C$70:$D91)</f>
        <v>7.2770615909400455E-2</v>
      </c>
      <c r="R91" s="36">
        <f ca="1">DSUM($B$51:$X$63,R$51,$C$70:$D91)</f>
        <v>7.1890090022164121E-2</v>
      </c>
      <c r="S91" s="36">
        <f ca="1">DSUM($B$51:$X$63,S$51,$C$70:$D91)</f>
        <v>7.1595882561605789E-2</v>
      </c>
      <c r="T91" s="36">
        <f ca="1">DSUM($B$51:$X$63,T$51,$C$70:$D91)</f>
        <v>7.0290143854601278E-2</v>
      </c>
      <c r="U91" s="36">
        <f ca="1">DSUM($B$51:$X$63,U$51,$C$70:$D91)</f>
        <v>6.7465249657299123E-2</v>
      </c>
      <c r="V91" s="36">
        <f ca="1">DSUM($B$51:$X$63,V$51,$C$70:$D91)</f>
        <v>6.6447671554427046E-2</v>
      </c>
      <c r="W91" s="36">
        <f ca="1">DSUM($B$51:$X$63,W$51,$C$70:$D91)</f>
        <v>6.5649684799012203E-2</v>
      </c>
      <c r="X91" s="36">
        <f ca="1">DSUM($B$51:$X$63,X$51,$C$70:$D91)</f>
        <v>6.5231361171718821E-2</v>
      </c>
      <c r="Y91" s="36"/>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9" t="s">
        <v>534</v>
      </c>
      <c r="C92" s="58" t="s">
        <v>132</v>
      </c>
      <c r="D92" s="58" t="s">
        <v>535</v>
      </c>
      <c r="E92" s="36">
        <f ca="1">DSUM($B$51:$X$63,E$51,$C$70:$D92)</f>
        <v>4.699332719325109E-2</v>
      </c>
      <c r="F92" s="36">
        <f ca="1">DSUM($B$51:$X$63,F$51,$C$70:$D92)</f>
        <v>6.5648487628335597E-2</v>
      </c>
      <c r="G92" s="36">
        <f ca="1">DSUM($B$51:$X$63,G$51,$C$70:$D92)</f>
        <v>7.5319257274843815E-2</v>
      </c>
      <c r="H92" s="36">
        <f ca="1">DSUM($B$51:$X$63,H$51,$C$70:$D92)</f>
        <v>8.0222445210176477E-2</v>
      </c>
      <c r="I92" s="36">
        <f ca="1">DSUM($B$51:$X$63,I$51,$C$70:$D92)</f>
        <v>8.1852754038449105E-2</v>
      </c>
      <c r="J92" s="36">
        <f ca="1">DSUM($B$51:$X$63,J$51,$C$70:$D92)</f>
        <v>7.9787951326267384E-2</v>
      </c>
      <c r="K92" s="36">
        <f ca="1">DSUM($B$51:$X$63,K$51,$C$70:$D92)</f>
        <v>7.8054305325490028E-2</v>
      </c>
      <c r="L92" s="36">
        <f ca="1">DSUM($B$51:$X$63,L$51,$C$70:$D92)</f>
        <v>7.7591913033498758E-2</v>
      </c>
      <c r="M92" s="36">
        <f ca="1">DSUM($B$51:$X$63,M$51,$C$70:$D92)</f>
        <v>7.6565961313380157E-2</v>
      </c>
      <c r="N92" s="36">
        <f ca="1">DSUM($B$51:$X$63,N$51,$C$70:$D92)</f>
        <v>7.7208150975164189E-2</v>
      </c>
      <c r="O92" s="36">
        <f ca="1">DSUM($B$51:$X$63,O$51,$C$70:$D92)</f>
        <v>7.6800467940082981E-2</v>
      </c>
      <c r="P92" s="36">
        <f ca="1">DSUM($B$51:$X$63,P$51,$C$70:$D92)</f>
        <v>7.516813555785691E-2</v>
      </c>
      <c r="Q92" s="36">
        <f ca="1">DSUM($B$51:$X$63,Q$51,$C$70:$D92)</f>
        <v>7.2770615909400455E-2</v>
      </c>
      <c r="R92" s="36">
        <f ca="1">DSUM($B$51:$X$63,R$51,$C$70:$D92)</f>
        <v>7.1890090022164121E-2</v>
      </c>
      <c r="S92" s="36">
        <f ca="1">DSUM($B$51:$X$63,S$51,$C$70:$D92)</f>
        <v>7.1595882561605789E-2</v>
      </c>
      <c r="T92" s="36">
        <f ca="1">DSUM($B$51:$X$63,T$51,$C$70:$D92)</f>
        <v>7.0290143854601278E-2</v>
      </c>
      <c r="U92" s="36">
        <f ca="1">DSUM($B$51:$X$63,U$51,$C$70:$D92)</f>
        <v>6.7465249657299123E-2</v>
      </c>
      <c r="V92" s="36">
        <f ca="1">DSUM($B$51:$X$63,V$51,$C$70:$D92)</f>
        <v>6.6447671554427046E-2</v>
      </c>
      <c r="W92" s="36">
        <f ca="1">DSUM($B$51:$X$63,W$51,$C$70:$D92)</f>
        <v>6.5649684799012203E-2</v>
      </c>
      <c r="X92" s="36">
        <f ca="1">DSUM($B$51:$X$63,X$51,$C$70:$D92)</f>
        <v>6.5231361171718821E-2</v>
      </c>
      <c r="Y92" s="36"/>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9" t="s">
        <v>536</v>
      </c>
      <c r="C93" s="58" t="s">
        <v>537</v>
      </c>
      <c r="D93" s="58" t="s">
        <v>538</v>
      </c>
      <c r="E93" s="36">
        <f ca="1">DSUM($B$51:$X$63,E$51,$C$70:$D93)</f>
        <v>4.699332719325109E-2</v>
      </c>
      <c r="F93" s="36">
        <f ca="1">DSUM($B$51:$X$63,F$51,$C$70:$D93)</f>
        <v>6.5648487628335597E-2</v>
      </c>
      <c r="G93" s="36">
        <f ca="1">DSUM($B$51:$X$63,G$51,$C$70:$D93)</f>
        <v>7.5319257274843815E-2</v>
      </c>
      <c r="H93" s="36">
        <f ca="1">DSUM($B$51:$X$63,H$51,$C$70:$D93)</f>
        <v>8.0222445210176477E-2</v>
      </c>
      <c r="I93" s="36">
        <f ca="1">DSUM($B$51:$X$63,I$51,$C$70:$D93)</f>
        <v>8.1852754038449105E-2</v>
      </c>
      <c r="J93" s="36">
        <f ca="1">DSUM($B$51:$X$63,J$51,$C$70:$D93)</f>
        <v>7.9787951326267384E-2</v>
      </c>
      <c r="K93" s="36">
        <f ca="1">DSUM($B$51:$X$63,K$51,$C$70:$D93)</f>
        <v>7.8054305325490028E-2</v>
      </c>
      <c r="L93" s="36">
        <f ca="1">DSUM($B$51:$X$63,L$51,$C$70:$D93)</f>
        <v>7.7591913033498758E-2</v>
      </c>
      <c r="M93" s="36">
        <f ca="1">DSUM($B$51:$X$63,M$51,$C$70:$D93)</f>
        <v>7.6565961313380157E-2</v>
      </c>
      <c r="N93" s="36">
        <f ca="1">DSUM($B$51:$X$63,N$51,$C$70:$D93)</f>
        <v>7.7208150975164189E-2</v>
      </c>
      <c r="O93" s="36">
        <f ca="1">DSUM($B$51:$X$63,O$51,$C$70:$D93)</f>
        <v>7.6800467940082981E-2</v>
      </c>
      <c r="P93" s="36">
        <f ca="1">DSUM($B$51:$X$63,P$51,$C$70:$D93)</f>
        <v>7.516813555785691E-2</v>
      </c>
      <c r="Q93" s="36">
        <f ca="1">DSUM($B$51:$X$63,Q$51,$C$70:$D93)</f>
        <v>7.2770615909400455E-2</v>
      </c>
      <c r="R93" s="36">
        <f ca="1">DSUM($B$51:$X$63,R$51,$C$70:$D93)</f>
        <v>7.1890090022164121E-2</v>
      </c>
      <c r="S93" s="36">
        <f ca="1">DSUM($B$51:$X$63,S$51,$C$70:$D93)</f>
        <v>7.1595882561605789E-2</v>
      </c>
      <c r="T93" s="36">
        <f ca="1">DSUM($B$51:$X$63,T$51,$C$70:$D93)</f>
        <v>7.0290143854601278E-2</v>
      </c>
      <c r="U93" s="36">
        <f ca="1">DSUM($B$51:$X$63,U$51,$C$70:$D93)</f>
        <v>6.7465249657299123E-2</v>
      </c>
      <c r="V93" s="36">
        <f ca="1">DSUM($B$51:$X$63,V$51,$C$70:$D93)</f>
        <v>6.6447671554427046E-2</v>
      </c>
      <c r="W93" s="36">
        <f ca="1">DSUM($B$51:$X$63,W$51,$C$70:$D93)</f>
        <v>6.5649684799012203E-2</v>
      </c>
      <c r="X93" s="36">
        <f ca="1">DSUM($B$51:$X$63,X$51,$C$70:$D93)</f>
        <v>6.5231361171718821E-2</v>
      </c>
      <c r="Y93" s="36"/>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9" t="s">
        <v>539</v>
      </c>
      <c r="C94" s="58" t="s">
        <v>540</v>
      </c>
      <c r="D94" s="58" t="s">
        <v>541</v>
      </c>
      <c r="E94" s="36">
        <f ca="1">DSUM($B$51:$X$63,E$51,$C$70:$D94)</f>
        <v>4.699332719325109E-2</v>
      </c>
      <c r="F94" s="36">
        <f ca="1">DSUM($B$51:$X$63,F$51,$C$70:$D94)</f>
        <v>6.5648487628335597E-2</v>
      </c>
      <c r="G94" s="36">
        <f ca="1">DSUM($B$51:$X$63,G$51,$C$70:$D94)</f>
        <v>7.5319257274843815E-2</v>
      </c>
      <c r="H94" s="36">
        <f ca="1">DSUM($B$51:$X$63,H$51,$C$70:$D94)</f>
        <v>8.0222445210176477E-2</v>
      </c>
      <c r="I94" s="36">
        <f ca="1">DSUM($B$51:$X$63,I$51,$C$70:$D94)</f>
        <v>8.1852754038449105E-2</v>
      </c>
      <c r="J94" s="36">
        <f ca="1">DSUM($B$51:$X$63,J$51,$C$70:$D94)</f>
        <v>7.9787951326267384E-2</v>
      </c>
      <c r="K94" s="36">
        <f ca="1">DSUM($B$51:$X$63,K$51,$C$70:$D94)</f>
        <v>7.8054305325490028E-2</v>
      </c>
      <c r="L94" s="36">
        <f ca="1">DSUM($B$51:$X$63,L$51,$C$70:$D94)</f>
        <v>7.7591913033498758E-2</v>
      </c>
      <c r="M94" s="36">
        <f ca="1">DSUM($B$51:$X$63,M$51,$C$70:$D94)</f>
        <v>7.6565961313380157E-2</v>
      </c>
      <c r="N94" s="36">
        <f ca="1">DSUM($B$51:$X$63,N$51,$C$70:$D94)</f>
        <v>7.7208150975164189E-2</v>
      </c>
      <c r="O94" s="36">
        <f ca="1">DSUM($B$51:$X$63,O$51,$C$70:$D94)</f>
        <v>7.6800467940082981E-2</v>
      </c>
      <c r="P94" s="36">
        <f ca="1">DSUM($B$51:$X$63,P$51,$C$70:$D94)</f>
        <v>7.516813555785691E-2</v>
      </c>
      <c r="Q94" s="36">
        <f ca="1">DSUM($B$51:$X$63,Q$51,$C$70:$D94)</f>
        <v>7.2770615909400455E-2</v>
      </c>
      <c r="R94" s="36">
        <f ca="1">DSUM($B$51:$X$63,R$51,$C$70:$D94)</f>
        <v>7.1890090022164121E-2</v>
      </c>
      <c r="S94" s="36">
        <f ca="1">DSUM($B$51:$X$63,S$51,$C$70:$D94)</f>
        <v>7.1595882561605789E-2</v>
      </c>
      <c r="T94" s="36">
        <f ca="1">DSUM($B$51:$X$63,T$51,$C$70:$D94)</f>
        <v>7.0290143854601278E-2</v>
      </c>
      <c r="U94" s="36">
        <f ca="1">DSUM($B$51:$X$63,U$51,$C$70:$D94)</f>
        <v>6.7465249657299123E-2</v>
      </c>
      <c r="V94" s="36">
        <f ca="1">DSUM($B$51:$X$63,V$51,$C$70:$D94)</f>
        <v>6.6447671554427046E-2</v>
      </c>
      <c r="W94" s="36">
        <f ca="1">DSUM($B$51:$X$63,W$51,$C$70:$D94)</f>
        <v>6.5649684799012203E-2</v>
      </c>
      <c r="X94" s="36">
        <f ca="1">DSUM($B$51:$X$63,X$51,$C$70:$D94)</f>
        <v>6.5231361171718821E-2</v>
      </c>
      <c r="Y94" s="36"/>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B95" s="9" t="s">
        <v>542</v>
      </c>
      <c r="C95" s="58" t="s">
        <v>543</v>
      </c>
      <c r="D95" s="58" t="s">
        <v>544</v>
      </c>
      <c r="E95" s="36">
        <f ca="1">DSUM($B$51:$X$63,E$51,$C$70:$D95)</f>
        <v>4.699332719325109E-2</v>
      </c>
      <c r="F95" s="36">
        <f ca="1">DSUM($B$51:$X$63,F$51,$C$70:$D95)</f>
        <v>6.5648487628335597E-2</v>
      </c>
      <c r="G95" s="36">
        <f ca="1">DSUM($B$51:$X$63,G$51,$C$70:$D95)</f>
        <v>7.5319257274843815E-2</v>
      </c>
      <c r="H95" s="36">
        <f ca="1">DSUM($B$51:$X$63,H$51,$C$70:$D95)</f>
        <v>8.0222445210176477E-2</v>
      </c>
      <c r="I95" s="36">
        <f ca="1">DSUM($B$51:$X$63,I$51,$C$70:$D95)</f>
        <v>8.1852754038449105E-2</v>
      </c>
      <c r="J95" s="36">
        <f ca="1">DSUM($B$51:$X$63,J$51,$C$70:$D95)</f>
        <v>7.9787951326267384E-2</v>
      </c>
      <c r="K95" s="36">
        <f ca="1">DSUM($B$51:$X$63,K$51,$C$70:$D95)</f>
        <v>7.8054305325490028E-2</v>
      </c>
      <c r="L95" s="36">
        <f ca="1">DSUM($B$51:$X$63,L$51,$C$70:$D95)</f>
        <v>7.7591913033498758E-2</v>
      </c>
      <c r="M95" s="36">
        <f ca="1">DSUM($B$51:$X$63,M$51,$C$70:$D95)</f>
        <v>7.6565961313380157E-2</v>
      </c>
      <c r="N95" s="36">
        <f ca="1">DSUM($B$51:$X$63,N$51,$C$70:$D95)</f>
        <v>7.7208150975164189E-2</v>
      </c>
      <c r="O95" s="36">
        <f ca="1">DSUM($B$51:$X$63,O$51,$C$70:$D95)</f>
        <v>7.6800467940082981E-2</v>
      </c>
      <c r="P95" s="36">
        <f ca="1">DSUM($B$51:$X$63,P$51,$C$70:$D95)</f>
        <v>7.516813555785691E-2</v>
      </c>
      <c r="Q95" s="36">
        <f ca="1">DSUM($B$51:$X$63,Q$51,$C$70:$D95)</f>
        <v>7.2770615909400455E-2</v>
      </c>
      <c r="R95" s="36">
        <f ca="1">DSUM($B$51:$X$63,R$51,$C$70:$D95)</f>
        <v>7.1890090022164121E-2</v>
      </c>
      <c r="S95" s="36">
        <f ca="1">DSUM($B$51:$X$63,S$51,$C$70:$D95)</f>
        <v>7.1595882561605789E-2</v>
      </c>
      <c r="T95" s="36">
        <f ca="1">DSUM($B$51:$X$63,T$51,$C$70:$D95)</f>
        <v>7.0290143854601278E-2</v>
      </c>
      <c r="U95" s="36">
        <f ca="1">DSUM($B$51:$X$63,U$51,$C$70:$D95)</f>
        <v>6.7465249657299123E-2</v>
      </c>
      <c r="V95" s="36">
        <f ca="1">DSUM($B$51:$X$63,V$51,$C$70:$D95)</f>
        <v>6.6447671554427046E-2</v>
      </c>
      <c r="W95" s="36">
        <f ca="1">DSUM($B$51:$X$63,W$51,$C$70:$D95)</f>
        <v>6.5649684799012203E-2</v>
      </c>
      <c r="X95" s="36">
        <f ca="1">DSUM($B$51:$X$63,X$51,$C$70:$D95)</f>
        <v>6.5231361171718821E-2</v>
      </c>
      <c r="Y95" s="36"/>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B96" s="9" t="s">
        <v>545</v>
      </c>
      <c r="C96" s="58" t="s">
        <v>546</v>
      </c>
      <c r="D96" s="58" t="s">
        <v>547</v>
      </c>
      <c r="E96" s="36">
        <f ca="1">DSUM($B$51:$X$63,E$51,$C$70:$D96)</f>
        <v>4.699332719325109E-2</v>
      </c>
      <c r="F96" s="36">
        <f ca="1">DSUM($B$51:$X$63,F$51,$C$70:$D96)</f>
        <v>6.5648487628335597E-2</v>
      </c>
      <c r="G96" s="36">
        <f ca="1">DSUM($B$51:$X$63,G$51,$C$70:$D96)</f>
        <v>7.5319257274843815E-2</v>
      </c>
      <c r="H96" s="36">
        <f ca="1">DSUM($B$51:$X$63,H$51,$C$70:$D96)</f>
        <v>8.0222445210176477E-2</v>
      </c>
      <c r="I96" s="36">
        <f ca="1">DSUM($B$51:$X$63,I$51,$C$70:$D96)</f>
        <v>8.1852754038449105E-2</v>
      </c>
      <c r="J96" s="36">
        <f ca="1">DSUM($B$51:$X$63,J$51,$C$70:$D96)</f>
        <v>7.9787951326267384E-2</v>
      </c>
      <c r="K96" s="36">
        <f ca="1">DSUM($B$51:$X$63,K$51,$C$70:$D96)</f>
        <v>7.8054305325490028E-2</v>
      </c>
      <c r="L96" s="36">
        <f ca="1">DSUM($B$51:$X$63,L$51,$C$70:$D96)</f>
        <v>7.7591913033498758E-2</v>
      </c>
      <c r="M96" s="36">
        <f ca="1">DSUM($B$51:$X$63,M$51,$C$70:$D96)</f>
        <v>7.6565961313380157E-2</v>
      </c>
      <c r="N96" s="36">
        <f ca="1">DSUM($B$51:$X$63,N$51,$C$70:$D96)</f>
        <v>7.7208150975164189E-2</v>
      </c>
      <c r="O96" s="36">
        <f ca="1">DSUM($B$51:$X$63,O$51,$C$70:$D96)</f>
        <v>7.6800467940082981E-2</v>
      </c>
      <c r="P96" s="36">
        <f ca="1">DSUM($B$51:$X$63,P$51,$C$70:$D96)</f>
        <v>7.516813555785691E-2</v>
      </c>
      <c r="Q96" s="36">
        <f ca="1">DSUM($B$51:$X$63,Q$51,$C$70:$D96)</f>
        <v>7.2770615909400455E-2</v>
      </c>
      <c r="R96" s="36">
        <f ca="1">DSUM($B$51:$X$63,R$51,$C$70:$D96)</f>
        <v>7.1890090022164121E-2</v>
      </c>
      <c r="S96" s="36">
        <f ca="1">DSUM($B$51:$X$63,S$51,$C$70:$D96)</f>
        <v>7.1595882561605789E-2</v>
      </c>
      <c r="T96" s="36">
        <f ca="1">DSUM($B$51:$X$63,T$51,$C$70:$D96)</f>
        <v>7.0290143854601278E-2</v>
      </c>
      <c r="U96" s="36">
        <f ca="1">DSUM($B$51:$X$63,U$51,$C$70:$D96)</f>
        <v>6.7465249657299123E-2</v>
      </c>
      <c r="V96" s="36">
        <f ca="1">DSUM($B$51:$X$63,V$51,$C$70:$D96)</f>
        <v>6.6447671554427046E-2</v>
      </c>
      <c r="W96" s="36">
        <f ca="1">DSUM($B$51:$X$63,W$51,$C$70:$D96)</f>
        <v>6.5649684799012203E-2</v>
      </c>
      <c r="X96" s="36">
        <f ca="1">DSUM($B$51:$X$63,X$51,$C$70:$D96)</f>
        <v>6.5231361171718821E-2</v>
      </c>
      <c r="Y96" s="3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B97" s="9" t="s">
        <v>548</v>
      </c>
      <c r="C97" s="58" t="s">
        <v>549</v>
      </c>
      <c r="D97" s="58" t="s">
        <v>550</v>
      </c>
      <c r="E97" s="36">
        <f ca="1">DSUM($B$51:$X$63,E$51,$C$70:$D97)</f>
        <v>4.699332719325109E-2</v>
      </c>
      <c r="F97" s="36">
        <f ca="1">DSUM($B$51:$X$63,F$51,$C$70:$D97)</f>
        <v>6.5648487628335597E-2</v>
      </c>
      <c r="G97" s="36">
        <f ca="1">DSUM($B$51:$X$63,G$51,$C$70:$D97)</f>
        <v>7.5319257274843815E-2</v>
      </c>
      <c r="H97" s="36">
        <f ca="1">DSUM($B$51:$X$63,H$51,$C$70:$D97)</f>
        <v>8.0222445210176477E-2</v>
      </c>
      <c r="I97" s="36">
        <f ca="1">DSUM($B$51:$X$63,I$51,$C$70:$D97)</f>
        <v>8.1852754038449105E-2</v>
      </c>
      <c r="J97" s="36">
        <f ca="1">DSUM($B$51:$X$63,J$51,$C$70:$D97)</f>
        <v>7.9787951326267384E-2</v>
      </c>
      <c r="K97" s="36">
        <f ca="1">DSUM($B$51:$X$63,K$51,$C$70:$D97)</f>
        <v>7.8054305325490028E-2</v>
      </c>
      <c r="L97" s="36">
        <f ca="1">DSUM($B$51:$X$63,L$51,$C$70:$D97)</f>
        <v>7.7591913033498758E-2</v>
      </c>
      <c r="M97" s="36">
        <f ca="1">DSUM($B$51:$X$63,M$51,$C$70:$D97)</f>
        <v>7.6565961313380157E-2</v>
      </c>
      <c r="N97" s="36">
        <f ca="1">DSUM($B$51:$X$63,N$51,$C$70:$D97)</f>
        <v>7.7208150975164189E-2</v>
      </c>
      <c r="O97" s="36">
        <f ca="1">DSUM($B$51:$X$63,O$51,$C$70:$D97)</f>
        <v>7.6800467940082981E-2</v>
      </c>
      <c r="P97" s="36">
        <f ca="1">DSUM($B$51:$X$63,P$51,$C$70:$D97)</f>
        <v>7.516813555785691E-2</v>
      </c>
      <c r="Q97" s="36">
        <f ca="1">DSUM($B$51:$X$63,Q$51,$C$70:$D97)</f>
        <v>7.2770615909400455E-2</v>
      </c>
      <c r="R97" s="36">
        <f ca="1">DSUM($B$51:$X$63,R$51,$C$70:$D97)</f>
        <v>7.1890090022164121E-2</v>
      </c>
      <c r="S97" s="36">
        <f ca="1">DSUM($B$51:$X$63,S$51,$C$70:$D97)</f>
        <v>7.1595882561605789E-2</v>
      </c>
      <c r="T97" s="36">
        <f ca="1">DSUM($B$51:$X$63,T$51,$C$70:$D97)</f>
        <v>7.0290143854601278E-2</v>
      </c>
      <c r="U97" s="36">
        <f ca="1">DSUM($B$51:$X$63,U$51,$C$70:$D97)</f>
        <v>6.7465249657299123E-2</v>
      </c>
      <c r="V97" s="36">
        <f ca="1">DSUM($B$51:$X$63,V$51,$C$70:$D97)</f>
        <v>6.6447671554427046E-2</v>
      </c>
      <c r="W97" s="36">
        <f ca="1">DSUM($B$51:$X$63,W$51,$C$70:$D97)</f>
        <v>6.5649684799012203E-2</v>
      </c>
      <c r="X97" s="36">
        <f ca="1">DSUM($B$51:$X$63,X$51,$C$70:$D97)</f>
        <v>6.5231361171718821E-2</v>
      </c>
      <c r="Y97" s="36"/>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9" t="s">
        <v>551</v>
      </c>
      <c r="C98" s="58" t="s">
        <v>552</v>
      </c>
      <c r="D98" s="58" t="s">
        <v>553</v>
      </c>
      <c r="E98" s="36">
        <f ca="1">DSUM($B$51:$X$63,E$51,$C$70:$D98)</f>
        <v>4.699332719325109E-2</v>
      </c>
      <c r="F98" s="36">
        <f ca="1">DSUM($B$51:$X$63,F$51,$C$70:$D98)</f>
        <v>6.5648487628335597E-2</v>
      </c>
      <c r="G98" s="36">
        <f ca="1">DSUM($B$51:$X$63,G$51,$C$70:$D98)</f>
        <v>7.5319257274843815E-2</v>
      </c>
      <c r="H98" s="36">
        <f ca="1">DSUM($B$51:$X$63,H$51,$C$70:$D98)</f>
        <v>8.0222445210176477E-2</v>
      </c>
      <c r="I98" s="36">
        <f ca="1">DSUM($B$51:$X$63,I$51,$C$70:$D98)</f>
        <v>8.1852754038449105E-2</v>
      </c>
      <c r="J98" s="36">
        <f ca="1">DSUM($B$51:$X$63,J$51,$C$70:$D98)</f>
        <v>7.9787951326267384E-2</v>
      </c>
      <c r="K98" s="36">
        <f ca="1">DSUM($B$51:$X$63,K$51,$C$70:$D98)</f>
        <v>7.8054305325490028E-2</v>
      </c>
      <c r="L98" s="36">
        <f ca="1">DSUM($B$51:$X$63,L$51,$C$70:$D98)</f>
        <v>7.7591913033498758E-2</v>
      </c>
      <c r="M98" s="36">
        <f ca="1">DSUM($B$51:$X$63,M$51,$C$70:$D98)</f>
        <v>7.6565961313380157E-2</v>
      </c>
      <c r="N98" s="36">
        <f ca="1">DSUM($B$51:$X$63,N$51,$C$70:$D98)</f>
        <v>7.7208150975164189E-2</v>
      </c>
      <c r="O98" s="36">
        <f ca="1">DSUM($B$51:$X$63,O$51,$C$70:$D98)</f>
        <v>7.6800467940082981E-2</v>
      </c>
      <c r="P98" s="36">
        <f ca="1">DSUM($B$51:$X$63,P$51,$C$70:$D98)</f>
        <v>7.516813555785691E-2</v>
      </c>
      <c r="Q98" s="36">
        <f ca="1">DSUM($B$51:$X$63,Q$51,$C$70:$D98)</f>
        <v>7.2770615909400455E-2</v>
      </c>
      <c r="R98" s="36">
        <f ca="1">DSUM($B$51:$X$63,R$51,$C$70:$D98)</f>
        <v>7.1890090022164121E-2</v>
      </c>
      <c r="S98" s="36">
        <f ca="1">DSUM($B$51:$X$63,S$51,$C$70:$D98)</f>
        <v>7.1595882561605789E-2</v>
      </c>
      <c r="T98" s="36">
        <f ca="1">DSUM($B$51:$X$63,T$51,$C$70:$D98)</f>
        <v>7.0290143854601278E-2</v>
      </c>
      <c r="U98" s="36">
        <f ca="1">DSUM($B$51:$X$63,U$51,$C$70:$D98)</f>
        <v>6.7465249657299123E-2</v>
      </c>
      <c r="V98" s="36">
        <f ca="1">DSUM($B$51:$X$63,V$51,$C$70:$D98)</f>
        <v>6.6447671554427046E-2</v>
      </c>
      <c r="W98" s="36">
        <f ca="1">DSUM($B$51:$X$63,W$51,$C$70:$D98)</f>
        <v>6.5649684799012203E-2</v>
      </c>
      <c r="X98" s="36">
        <f ca="1">DSUM($B$51:$X$63,X$51,$C$70:$D98)</f>
        <v>6.5231361171718821E-2</v>
      </c>
      <c r="Y98" s="36"/>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B99" s="9" t="s">
        <v>554</v>
      </c>
      <c r="C99" s="58" t="s">
        <v>555</v>
      </c>
      <c r="D99" s="58" t="s">
        <v>556</v>
      </c>
      <c r="E99" s="36">
        <f ca="1">DSUM($B$51:$X$63,E$51,$C$70:$D99)</f>
        <v>4.699332719325109E-2</v>
      </c>
      <c r="F99" s="36">
        <f ca="1">DSUM($B$51:$X$63,F$51,$C$70:$D99)</f>
        <v>6.5648487628335597E-2</v>
      </c>
      <c r="G99" s="36">
        <f ca="1">DSUM($B$51:$X$63,G$51,$C$70:$D99)</f>
        <v>7.5319257274843815E-2</v>
      </c>
      <c r="H99" s="36">
        <f ca="1">DSUM($B$51:$X$63,H$51,$C$70:$D99)</f>
        <v>8.0222445210176477E-2</v>
      </c>
      <c r="I99" s="36">
        <f ca="1">DSUM($B$51:$X$63,I$51,$C$70:$D99)</f>
        <v>8.1852754038449105E-2</v>
      </c>
      <c r="J99" s="36">
        <f ca="1">DSUM($B$51:$X$63,J$51,$C$70:$D99)</f>
        <v>7.9787951326267384E-2</v>
      </c>
      <c r="K99" s="36">
        <f ca="1">DSUM($B$51:$X$63,K$51,$C$70:$D99)</f>
        <v>7.8054305325490028E-2</v>
      </c>
      <c r="L99" s="36">
        <f ca="1">DSUM($B$51:$X$63,L$51,$C$70:$D99)</f>
        <v>7.7591913033498758E-2</v>
      </c>
      <c r="M99" s="36">
        <f ca="1">DSUM($B$51:$X$63,M$51,$C$70:$D99)</f>
        <v>7.6565961313380157E-2</v>
      </c>
      <c r="N99" s="36">
        <f ca="1">DSUM($B$51:$X$63,N$51,$C$70:$D99)</f>
        <v>7.7208150975164189E-2</v>
      </c>
      <c r="O99" s="36">
        <f ca="1">DSUM($B$51:$X$63,O$51,$C$70:$D99)</f>
        <v>7.6800467940082981E-2</v>
      </c>
      <c r="P99" s="36">
        <f ca="1">DSUM($B$51:$X$63,P$51,$C$70:$D99)</f>
        <v>7.516813555785691E-2</v>
      </c>
      <c r="Q99" s="36">
        <f ca="1">DSUM($B$51:$X$63,Q$51,$C$70:$D99)</f>
        <v>7.2770615909400455E-2</v>
      </c>
      <c r="R99" s="36">
        <f ca="1">DSUM($B$51:$X$63,R$51,$C$70:$D99)</f>
        <v>7.1890090022164121E-2</v>
      </c>
      <c r="S99" s="36">
        <f ca="1">DSUM($B$51:$X$63,S$51,$C$70:$D99)</f>
        <v>7.1595882561605789E-2</v>
      </c>
      <c r="T99" s="36">
        <f ca="1">DSUM($B$51:$X$63,T$51,$C$70:$D99)</f>
        <v>7.0290143854601278E-2</v>
      </c>
      <c r="U99" s="36">
        <f ca="1">DSUM($B$51:$X$63,U$51,$C$70:$D99)</f>
        <v>6.7465249657299123E-2</v>
      </c>
      <c r="V99" s="36">
        <f ca="1">DSUM($B$51:$X$63,V$51,$C$70:$D99)</f>
        <v>6.6447671554427046E-2</v>
      </c>
      <c r="W99" s="36">
        <f ca="1">DSUM($B$51:$X$63,W$51,$C$70:$D99)</f>
        <v>6.5649684799012203E-2</v>
      </c>
      <c r="X99" s="36">
        <f ca="1">DSUM($B$51:$X$63,X$51,$C$70:$D99)</f>
        <v>6.5231361171718821E-2</v>
      </c>
      <c r="Y99" s="36"/>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c r="B100" s="9" t="s">
        <v>557</v>
      </c>
      <c r="C100" s="58" t="s">
        <v>558</v>
      </c>
      <c r="D100" s="58" t="s">
        <v>559</v>
      </c>
      <c r="E100" s="36">
        <f ca="1">DSUM($B$51:$X$63,E$51,$C$70:$D100)</f>
        <v>4.699332719325109E-2</v>
      </c>
      <c r="F100" s="36">
        <f ca="1">DSUM($B$51:$X$63,F$51,$C$70:$D100)</f>
        <v>6.5648487628335597E-2</v>
      </c>
      <c r="G100" s="36">
        <f ca="1">DSUM($B$51:$X$63,G$51,$C$70:$D100)</f>
        <v>7.5319257274843815E-2</v>
      </c>
      <c r="H100" s="36">
        <f ca="1">DSUM($B$51:$X$63,H$51,$C$70:$D100)</f>
        <v>8.0222445210176477E-2</v>
      </c>
      <c r="I100" s="36">
        <f ca="1">DSUM($B$51:$X$63,I$51,$C$70:$D100)</f>
        <v>8.1852754038449105E-2</v>
      </c>
      <c r="J100" s="36">
        <f ca="1">DSUM($B$51:$X$63,J$51,$C$70:$D100)</f>
        <v>7.9787951326267384E-2</v>
      </c>
      <c r="K100" s="36">
        <f ca="1">DSUM($B$51:$X$63,K$51,$C$70:$D100)</f>
        <v>7.8054305325490028E-2</v>
      </c>
      <c r="L100" s="36">
        <f ca="1">DSUM($B$51:$X$63,L$51,$C$70:$D100)</f>
        <v>7.7591913033498758E-2</v>
      </c>
      <c r="M100" s="36">
        <f ca="1">DSUM($B$51:$X$63,M$51,$C$70:$D100)</f>
        <v>7.6565961313380157E-2</v>
      </c>
      <c r="N100" s="36">
        <f ca="1">DSUM($B$51:$X$63,N$51,$C$70:$D100)</f>
        <v>7.7208150975164189E-2</v>
      </c>
      <c r="O100" s="36">
        <f ca="1">DSUM($B$51:$X$63,O$51,$C$70:$D100)</f>
        <v>7.6800467940082981E-2</v>
      </c>
      <c r="P100" s="36">
        <f ca="1">DSUM($B$51:$X$63,P$51,$C$70:$D100)</f>
        <v>7.516813555785691E-2</v>
      </c>
      <c r="Q100" s="36">
        <f ca="1">DSUM($B$51:$X$63,Q$51,$C$70:$D100)</f>
        <v>7.2770615909400455E-2</v>
      </c>
      <c r="R100" s="36">
        <f ca="1">DSUM($B$51:$X$63,R$51,$C$70:$D100)</f>
        <v>7.1890090022164121E-2</v>
      </c>
      <c r="S100" s="36">
        <f ca="1">DSUM($B$51:$X$63,S$51,$C$70:$D100)</f>
        <v>7.1595882561605789E-2</v>
      </c>
      <c r="T100" s="36">
        <f ca="1">DSUM($B$51:$X$63,T$51,$C$70:$D100)</f>
        <v>7.0290143854601278E-2</v>
      </c>
      <c r="U100" s="36">
        <f ca="1">DSUM($B$51:$X$63,U$51,$C$70:$D100)</f>
        <v>6.7465249657299123E-2</v>
      </c>
      <c r="V100" s="36">
        <f ca="1">DSUM($B$51:$X$63,V$51,$C$70:$D100)</f>
        <v>6.6447671554427046E-2</v>
      </c>
      <c r="W100" s="36">
        <f ca="1">DSUM($B$51:$X$63,W$51,$C$70:$D100)</f>
        <v>6.5649684799012203E-2</v>
      </c>
      <c r="X100" s="36">
        <f ca="1">DSUM($B$51:$X$63,X$51,$C$70:$D100)</f>
        <v>6.5231361171718821E-2</v>
      </c>
      <c r="Y100" s="36"/>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c r="B101" s="9" t="s">
        <v>560</v>
      </c>
      <c r="C101" s="58" t="s">
        <v>561</v>
      </c>
      <c r="D101" s="58" t="s">
        <v>562</v>
      </c>
      <c r="E101" s="36">
        <f ca="1">DSUM($B$51:$X$63,E$51,$C$70:$D101)</f>
        <v>4.699332719325109E-2</v>
      </c>
      <c r="F101" s="36">
        <f ca="1">DSUM($B$51:$X$63,F$51,$C$70:$D101)</f>
        <v>6.5648487628335597E-2</v>
      </c>
      <c r="G101" s="36">
        <f ca="1">DSUM($B$51:$X$63,G$51,$C$70:$D101)</f>
        <v>7.5319257274843815E-2</v>
      </c>
      <c r="H101" s="36">
        <f ca="1">DSUM($B$51:$X$63,H$51,$C$70:$D101)</f>
        <v>8.0222445210176477E-2</v>
      </c>
      <c r="I101" s="36">
        <f ca="1">DSUM($B$51:$X$63,I$51,$C$70:$D101)</f>
        <v>8.1852754038449105E-2</v>
      </c>
      <c r="J101" s="36">
        <f ca="1">DSUM($B$51:$X$63,J$51,$C$70:$D101)</f>
        <v>7.9787951326267384E-2</v>
      </c>
      <c r="K101" s="36">
        <f ca="1">DSUM($B$51:$X$63,K$51,$C$70:$D101)</f>
        <v>7.8054305325490028E-2</v>
      </c>
      <c r="L101" s="36">
        <f ca="1">DSUM($B$51:$X$63,L$51,$C$70:$D101)</f>
        <v>7.7591913033498758E-2</v>
      </c>
      <c r="M101" s="36">
        <f ca="1">DSUM($B$51:$X$63,M$51,$C$70:$D101)</f>
        <v>7.6565961313380157E-2</v>
      </c>
      <c r="N101" s="36">
        <f ca="1">DSUM($B$51:$X$63,N$51,$C$70:$D101)</f>
        <v>7.7208150975164189E-2</v>
      </c>
      <c r="O101" s="36">
        <f ca="1">DSUM($B$51:$X$63,O$51,$C$70:$D101)</f>
        <v>7.6800467940082981E-2</v>
      </c>
      <c r="P101" s="36">
        <f ca="1">DSUM($B$51:$X$63,P$51,$C$70:$D101)</f>
        <v>7.516813555785691E-2</v>
      </c>
      <c r="Q101" s="36">
        <f ca="1">DSUM($B$51:$X$63,Q$51,$C$70:$D101)</f>
        <v>7.2770615909400455E-2</v>
      </c>
      <c r="R101" s="36">
        <f ca="1">DSUM($B$51:$X$63,R$51,$C$70:$D101)</f>
        <v>7.1890090022164121E-2</v>
      </c>
      <c r="S101" s="36">
        <f ca="1">DSUM($B$51:$X$63,S$51,$C$70:$D101)</f>
        <v>7.1595882561605789E-2</v>
      </c>
      <c r="T101" s="36">
        <f ca="1">DSUM($B$51:$X$63,T$51,$C$70:$D101)</f>
        <v>7.0290143854601278E-2</v>
      </c>
      <c r="U101" s="36">
        <f ca="1">DSUM($B$51:$X$63,U$51,$C$70:$D101)</f>
        <v>6.7465249657299123E-2</v>
      </c>
      <c r="V101" s="36">
        <f ca="1">DSUM($B$51:$X$63,V$51,$C$70:$D101)</f>
        <v>6.6447671554427046E-2</v>
      </c>
      <c r="W101" s="36">
        <f ca="1">DSUM($B$51:$X$63,W$51,$C$70:$D101)</f>
        <v>6.5649684799012203E-2</v>
      </c>
      <c r="X101" s="36">
        <f ca="1">DSUM($B$51:$X$63,X$51,$C$70:$D101)</f>
        <v>6.5231361171718821E-2</v>
      </c>
      <c r="Y101" s="36"/>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c r="B102" s="9" t="s">
        <v>563</v>
      </c>
      <c r="C102" s="58" t="s">
        <v>564</v>
      </c>
      <c r="D102" s="58" t="s">
        <v>133</v>
      </c>
      <c r="E102" s="36">
        <f ca="1">DSUM($B$51:$X$63,E$51,$C$70:$D102)</f>
        <v>4.699332719325109E-2</v>
      </c>
      <c r="F102" s="36">
        <f ca="1">DSUM($B$51:$X$63,F$51,$C$70:$D102)</f>
        <v>6.5648487628335597E-2</v>
      </c>
      <c r="G102" s="36">
        <f ca="1">DSUM($B$51:$X$63,G$51,$C$70:$D102)</f>
        <v>7.5319257274843815E-2</v>
      </c>
      <c r="H102" s="36">
        <f ca="1">DSUM($B$51:$X$63,H$51,$C$70:$D102)</f>
        <v>8.0222445210176477E-2</v>
      </c>
      <c r="I102" s="36">
        <f ca="1">DSUM($B$51:$X$63,I$51,$C$70:$D102)</f>
        <v>8.1852754038449105E-2</v>
      </c>
      <c r="J102" s="36">
        <f ca="1">DSUM($B$51:$X$63,J$51,$C$70:$D102)</f>
        <v>7.9787951326267384E-2</v>
      </c>
      <c r="K102" s="36">
        <f ca="1">DSUM($B$51:$X$63,K$51,$C$70:$D102)</f>
        <v>7.8054305325490028E-2</v>
      </c>
      <c r="L102" s="36">
        <f ca="1">DSUM($B$51:$X$63,L$51,$C$70:$D102)</f>
        <v>7.7591913033498758E-2</v>
      </c>
      <c r="M102" s="36">
        <f ca="1">DSUM($B$51:$X$63,M$51,$C$70:$D102)</f>
        <v>7.6565961313380157E-2</v>
      </c>
      <c r="N102" s="36">
        <f ca="1">DSUM($B$51:$X$63,N$51,$C$70:$D102)</f>
        <v>7.7208150975164189E-2</v>
      </c>
      <c r="O102" s="36">
        <f ca="1">DSUM($B$51:$X$63,O$51,$C$70:$D102)</f>
        <v>7.6800467940082981E-2</v>
      </c>
      <c r="P102" s="36">
        <f ca="1">DSUM($B$51:$X$63,P$51,$C$70:$D102)</f>
        <v>7.516813555785691E-2</v>
      </c>
      <c r="Q102" s="36">
        <f ca="1">DSUM($B$51:$X$63,Q$51,$C$70:$D102)</f>
        <v>7.2770615909400455E-2</v>
      </c>
      <c r="R102" s="36">
        <f ca="1">DSUM($B$51:$X$63,R$51,$C$70:$D102)</f>
        <v>7.1890090022164121E-2</v>
      </c>
      <c r="S102" s="36">
        <f ca="1">DSUM($B$51:$X$63,S$51,$C$70:$D102)</f>
        <v>7.1595882561605789E-2</v>
      </c>
      <c r="T102" s="36">
        <f ca="1">DSUM($B$51:$X$63,T$51,$C$70:$D102)</f>
        <v>7.0290143854601278E-2</v>
      </c>
      <c r="U102" s="36">
        <f ca="1">DSUM($B$51:$X$63,U$51,$C$70:$D102)</f>
        <v>6.7465249657299123E-2</v>
      </c>
      <c r="V102" s="36">
        <f ca="1">DSUM($B$51:$X$63,V$51,$C$70:$D102)</f>
        <v>6.6447671554427046E-2</v>
      </c>
      <c r="W102" s="36">
        <f ca="1">DSUM($B$51:$X$63,W$51,$C$70:$D102)</f>
        <v>6.5649684799012203E-2</v>
      </c>
      <c r="X102" s="36">
        <f ca="1">DSUM($B$51:$X$63,X$51,$C$70:$D102)</f>
        <v>6.5231361171718821E-2</v>
      </c>
      <c r="Y102" s="36"/>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ht="15">
      <c r="A105" s="63" t="s">
        <v>134</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ht="15">
      <c r="C106" s="72" t="s">
        <v>139</v>
      </c>
      <c r="D106" s="72"/>
      <c r="E106" s="66">
        <f t="shared" ref="E106:X106" si="23">E11</f>
        <v>2016</v>
      </c>
      <c r="F106" s="67">
        <f t="shared" si="23"/>
        <v>2017</v>
      </c>
      <c r="G106" s="67">
        <f t="shared" si="23"/>
        <v>2018</v>
      </c>
      <c r="H106" s="67">
        <f t="shared" si="23"/>
        <v>2019</v>
      </c>
      <c r="I106" s="67">
        <f t="shared" si="23"/>
        <v>2020</v>
      </c>
      <c r="J106" s="67">
        <f t="shared" si="23"/>
        <v>2021</v>
      </c>
      <c r="K106" s="67">
        <f t="shared" si="23"/>
        <v>2022</v>
      </c>
      <c r="L106" s="67">
        <f t="shared" si="23"/>
        <v>2023</v>
      </c>
      <c r="M106" s="67">
        <f t="shared" si="23"/>
        <v>2024</v>
      </c>
      <c r="N106" s="67">
        <f t="shared" si="23"/>
        <v>2025</v>
      </c>
      <c r="O106" s="67">
        <f t="shared" si="23"/>
        <v>2026</v>
      </c>
      <c r="P106" s="67">
        <f t="shared" si="23"/>
        <v>2027</v>
      </c>
      <c r="Q106" s="67">
        <f t="shared" si="23"/>
        <v>2028</v>
      </c>
      <c r="R106" s="67">
        <f t="shared" si="23"/>
        <v>2029</v>
      </c>
      <c r="S106" s="67">
        <f t="shared" si="23"/>
        <v>2030</v>
      </c>
      <c r="T106" s="67">
        <f t="shared" si="23"/>
        <v>2031</v>
      </c>
      <c r="U106" s="67">
        <f t="shared" si="23"/>
        <v>2032</v>
      </c>
      <c r="V106" s="67">
        <f t="shared" si="23"/>
        <v>2033</v>
      </c>
      <c r="W106" s="67">
        <f t="shared" si="23"/>
        <v>2034</v>
      </c>
      <c r="X106" s="67">
        <f t="shared" si="23"/>
        <v>2035</v>
      </c>
      <c r="Y106" s="68" t="s">
        <v>59</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ht="15">
      <c r="C107" s="72" t="str">
        <f>C8</f>
        <v>Monitor</v>
      </c>
      <c r="D107" s="72"/>
      <c r="E107" s="69" t="str">
        <f t="shared" ref="E107:X107" si="24">CONCATENATE("aMW_",E$11)</f>
        <v>aMW_2016</v>
      </c>
      <c r="F107" s="70" t="str">
        <f t="shared" si="24"/>
        <v>aMW_2017</v>
      </c>
      <c r="G107" s="70" t="str">
        <f t="shared" si="24"/>
        <v>aMW_2018</v>
      </c>
      <c r="H107" s="70" t="str">
        <f t="shared" si="24"/>
        <v>aMW_2019</v>
      </c>
      <c r="I107" s="70" t="str">
        <f t="shared" si="24"/>
        <v>aMW_2020</v>
      </c>
      <c r="J107" s="70" t="str">
        <f t="shared" si="24"/>
        <v>aMW_2021</v>
      </c>
      <c r="K107" s="70" t="str">
        <f t="shared" si="24"/>
        <v>aMW_2022</v>
      </c>
      <c r="L107" s="70" t="str">
        <f t="shared" si="24"/>
        <v>aMW_2023</v>
      </c>
      <c r="M107" s="70" t="str">
        <f t="shared" si="24"/>
        <v>aMW_2024</v>
      </c>
      <c r="N107" s="70" t="str">
        <f t="shared" si="24"/>
        <v>aMW_2025</v>
      </c>
      <c r="O107" s="70" t="str">
        <f t="shared" si="24"/>
        <v>aMW_2026</v>
      </c>
      <c r="P107" s="70" t="str">
        <f t="shared" si="24"/>
        <v>aMW_2027</v>
      </c>
      <c r="Q107" s="70" t="str">
        <f t="shared" si="24"/>
        <v>aMW_2028</v>
      </c>
      <c r="R107" s="70" t="str">
        <f t="shared" si="24"/>
        <v>aMW_2029</v>
      </c>
      <c r="S107" s="70" t="str">
        <f t="shared" si="24"/>
        <v>aMW_2030</v>
      </c>
      <c r="T107" s="70" t="str">
        <f t="shared" si="24"/>
        <v>aMW_2031</v>
      </c>
      <c r="U107" s="70" t="str">
        <f t="shared" si="24"/>
        <v>aMW_2032</v>
      </c>
      <c r="V107" s="70" t="str">
        <f t="shared" si="24"/>
        <v>aMW_2033</v>
      </c>
      <c r="W107" s="70" t="str">
        <f t="shared" si="24"/>
        <v>aMW_2034</v>
      </c>
      <c r="X107" s="70" t="str">
        <f t="shared" si="24"/>
        <v>aMW_2035</v>
      </c>
      <c r="Y107" s="71" t="s">
        <v>59</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c r="C108" s="9" t="s">
        <v>68</v>
      </c>
      <c r="E108" s="36">
        <f t="shared" ref="E108:X108" si="25">E71</f>
        <v>0</v>
      </c>
      <c r="F108" s="36">
        <f t="shared" si="25"/>
        <v>0</v>
      </c>
      <c r="G108" s="36">
        <f t="shared" si="25"/>
        <v>0</v>
      </c>
      <c r="H108" s="36">
        <f t="shared" si="25"/>
        <v>0</v>
      </c>
      <c r="I108" s="36">
        <f t="shared" si="25"/>
        <v>0</v>
      </c>
      <c r="J108" s="36">
        <f t="shared" si="25"/>
        <v>0</v>
      </c>
      <c r="K108" s="36">
        <f t="shared" si="25"/>
        <v>0</v>
      </c>
      <c r="L108" s="36">
        <f t="shared" si="25"/>
        <v>0</v>
      </c>
      <c r="M108" s="36">
        <f t="shared" si="25"/>
        <v>0</v>
      </c>
      <c r="N108" s="36">
        <f t="shared" si="25"/>
        <v>0</v>
      </c>
      <c r="O108" s="36">
        <f t="shared" si="25"/>
        <v>0</v>
      </c>
      <c r="P108" s="36">
        <f t="shared" si="25"/>
        <v>0</v>
      </c>
      <c r="Q108" s="36">
        <f t="shared" si="25"/>
        <v>0</v>
      </c>
      <c r="R108" s="36">
        <f t="shared" si="25"/>
        <v>0</v>
      </c>
      <c r="S108" s="36">
        <f t="shared" si="25"/>
        <v>0</v>
      </c>
      <c r="T108" s="36">
        <f t="shared" si="25"/>
        <v>0</v>
      </c>
      <c r="U108" s="36">
        <f t="shared" si="25"/>
        <v>0</v>
      </c>
      <c r="V108" s="36">
        <f t="shared" si="25"/>
        <v>0</v>
      </c>
      <c r="W108" s="36">
        <f t="shared" si="25"/>
        <v>0</v>
      </c>
      <c r="X108" s="36">
        <f t="shared" si="25"/>
        <v>0</v>
      </c>
      <c r="Y108" s="36">
        <f>SUM(E108:X108)</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c r="C109" s="9" t="s">
        <v>572</v>
      </c>
      <c r="E109" s="36">
        <f t="shared" ref="E109:X121" si="26">E72-E71</f>
        <v>0</v>
      </c>
      <c r="F109" s="36">
        <f t="shared" si="26"/>
        <v>0</v>
      </c>
      <c r="G109" s="36">
        <f t="shared" si="26"/>
        <v>0</v>
      </c>
      <c r="H109" s="36">
        <f t="shared" si="26"/>
        <v>0</v>
      </c>
      <c r="I109" s="36">
        <f t="shared" si="26"/>
        <v>0</v>
      </c>
      <c r="J109" s="36">
        <f t="shared" si="26"/>
        <v>0</v>
      </c>
      <c r="K109" s="36">
        <f t="shared" si="26"/>
        <v>0</v>
      </c>
      <c r="L109" s="36">
        <f t="shared" si="26"/>
        <v>0</v>
      </c>
      <c r="M109" s="36">
        <f t="shared" si="26"/>
        <v>0</v>
      </c>
      <c r="N109" s="36">
        <f t="shared" si="26"/>
        <v>0</v>
      </c>
      <c r="O109" s="36">
        <f t="shared" si="26"/>
        <v>0</v>
      </c>
      <c r="P109" s="36">
        <f t="shared" si="26"/>
        <v>0</v>
      </c>
      <c r="Q109" s="36">
        <f t="shared" si="26"/>
        <v>0</v>
      </c>
      <c r="R109" s="36">
        <f t="shared" si="26"/>
        <v>0</v>
      </c>
      <c r="S109" s="36">
        <f t="shared" si="26"/>
        <v>0</v>
      </c>
      <c r="T109" s="36">
        <f t="shared" si="26"/>
        <v>0</v>
      </c>
      <c r="U109" s="36">
        <f t="shared" si="26"/>
        <v>0</v>
      </c>
      <c r="V109" s="36">
        <f t="shared" si="26"/>
        <v>0</v>
      </c>
      <c r="W109" s="36">
        <f t="shared" si="26"/>
        <v>0</v>
      </c>
      <c r="X109" s="36">
        <f t="shared" si="26"/>
        <v>0</v>
      </c>
      <c r="Y109" s="36">
        <f t="shared" ref="Y109:Y139" si="27">SUM(E109:X109)</f>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c r="C110" s="9" t="s">
        <v>74</v>
      </c>
      <c r="E110" s="36">
        <f t="shared" si="26"/>
        <v>0</v>
      </c>
      <c r="F110" s="36">
        <f t="shared" si="26"/>
        <v>0</v>
      </c>
      <c r="G110" s="36">
        <f t="shared" si="26"/>
        <v>0</v>
      </c>
      <c r="H110" s="36">
        <f t="shared" si="26"/>
        <v>0</v>
      </c>
      <c r="I110" s="36">
        <f t="shared" si="26"/>
        <v>0</v>
      </c>
      <c r="J110" s="36">
        <f t="shared" si="26"/>
        <v>0</v>
      </c>
      <c r="K110" s="36">
        <f t="shared" si="26"/>
        <v>0</v>
      </c>
      <c r="L110" s="36">
        <f t="shared" si="26"/>
        <v>0</v>
      </c>
      <c r="M110" s="36">
        <f t="shared" si="26"/>
        <v>0</v>
      </c>
      <c r="N110" s="36">
        <f t="shared" si="26"/>
        <v>0</v>
      </c>
      <c r="O110" s="36">
        <f t="shared" si="26"/>
        <v>0</v>
      </c>
      <c r="P110" s="36">
        <f t="shared" si="26"/>
        <v>0</v>
      </c>
      <c r="Q110" s="36">
        <f t="shared" si="26"/>
        <v>0</v>
      </c>
      <c r="R110" s="36">
        <f t="shared" si="26"/>
        <v>0</v>
      </c>
      <c r="S110" s="36">
        <f t="shared" si="26"/>
        <v>0</v>
      </c>
      <c r="T110" s="36">
        <f t="shared" si="26"/>
        <v>0</v>
      </c>
      <c r="U110" s="36">
        <f t="shared" si="26"/>
        <v>0</v>
      </c>
      <c r="V110" s="36">
        <f t="shared" si="26"/>
        <v>0</v>
      </c>
      <c r="W110" s="36">
        <f t="shared" si="26"/>
        <v>0</v>
      </c>
      <c r="X110" s="36">
        <f t="shared" si="26"/>
        <v>0</v>
      </c>
      <c r="Y110" s="36">
        <f>SUM(E110:X110)</f>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c r="C111" s="9" t="s">
        <v>77</v>
      </c>
      <c r="E111" s="36">
        <f t="shared" si="26"/>
        <v>0</v>
      </c>
      <c r="F111" s="36">
        <f t="shared" si="26"/>
        <v>0</v>
      </c>
      <c r="G111" s="36">
        <f t="shared" si="26"/>
        <v>0</v>
      </c>
      <c r="H111" s="36">
        <f t="shared" si="26"/>
        <v>0</v>
      </c>
      <c r="I111" s="36">
        <f t="shared" si="26"/>
        <v>0</v>
      </c>
      <c r="J111" s="36">
        <f t="shared" si="26"/>
        <v>0</v>
      </c>
      <c r="K111" s="36">
        <f t="shared" si="26"/>
        <v>0</v>
      </c>
      <c r="L111" s="36">
        <f t="shared" si="26"/>
        <v>0</v>
      </c>
      <c r="M111" s="36">
        <f t="shared" si="26"/>
        <v>0</v>
      </c>
      <c r="N111" s="36">
        <f t="shared" si="26"/>
        <v>0</v>
      </c>
      <c r="O111" s="36">
        <f t="shared" si="26"/>
        <v>0</v>
      </c>
      <c r="P111" s="36">
        <f t="shared" si="26"/>
        <v>0</v>
      </c>
      <c r="Q111" s="36">
        <f t="shared" si="26"/>
        <v>0</v>
      </c>
      <c r="R111" s="36">
        <f t="shared" si="26"/>
        <v>0</v>
      </c>
      <c r="S111" s="36">
        <f t="shared" si="26"/>
        <v>0</v>
      </c>
      <c r="T111" s="36">
        <f t="shared" si="26"/>
        <v>0</v>
      </c>
      <c r="U111" s="36">
        <f t="shared" si="26"/>
        <v>0</v>
      </c>
      <c r="V111" s="36">
        <f t="shared" si="26"/>
        <v>0</v>
      </c>
      <c r="W111" s="36">
        <f t="shared" si="26"/>
        <v>0</v>
      </c>
      <c r="X111" s="36">
        <f t="shared" si="26"/>
        <v>0</v>
      </c>
      <c r="Y111" s="36">
        <f t="shared" si="27"/>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c r="C112" s="9" t="s">
        <v>80</v>
      </c>
      <c r="E112" s="36">
        <f t="shared" si="26"/>
        <v>0</v>
      </c>
      <c r="F112" s="36">
        <f t="shared" si="26"/>
        <v>0</v>
      </c>
      <c r="G112" s="36">
        <f t="shared" si="26"/>
        <v>0</v>
      </c>
      <c r="H112" s="36">
        <f t="shared" si="26"/>
        <v>0</v>
      </c>
      <c r="I112" s="36">
        <f t="shared" si="26"/>
        <v>0</v>
      </c>
      <c r="J112" s="36">
        <f t="shared" si="26"/>
        <v>0</v>
      </c>
      <c r="K112" s="36">
        <f t="shared" si="26"/>
        <v>0</v>
      </c>
      <c r="L112" s="36">
        <f t="shared" si="26"/>
        <v>0</v>
      </c>
      <c r="M112" s="36">
        <f t="shared" si="26"/>
        <v>0</v>
      </c>
      <c r="N112" s="36">
        <f t="shared" si="26"/>
        <v>0</v>
      </c>
      <c r="O112" s="36">
        <f t="shared" si="26"/>
        <v>0</v>
      </c>
      <c r="P112" s="36">
        <f t="shared" si="26"/>
        <v>0</v>
      </c>
      <c r="Q112" s="36">
        <f t="shared" si="26"/>
        <v>0</v>
      </c>
      <c r="R112" s="36">
        <f t="shared" si="26"/>
        <v>0</v>
      </c>
      <c r="S112" s="36">
        <f t="shared" si="26"/>
        <v>0</v>
      </c>
      <c r="T112" s="36">
        <f t="shared" si="26"/>
        <v>0</v>
      </c>
      <c r="U112" s="36">
        <f t="shared" si="26"/>
        <v>0</v>
      </c>
      <c r="V112" s="36">
        <f t="shared" si="26"/>
        <v>0</v>
      </c>
      <c r="W112" s="36">
        <f t="shared" si="26"/>
        <v>0</v>
      </c>
      <c r="X112" s="36">
        <f t="shared" si="26"/>
        <v>0</v>
      </c>
      <c r="Y112" s="36">
        <f t="shared" si="27"/>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83</v>
      </c>
      <c r="E113" s="36">
        <f t="shared" ca="1" si="26"/>
        <v>4.699332719325109E-2</v>
      </c>
      <c r="F113" s="36">
        <f t="shared" ca="1" si="26"/>
        <v>6.5648487628335597E-2</v>
      </c>
      <c r="G113" s="36">
        <f t="shared" ca="1" si="26"/>
        <v>7.5319257274843815E-2</v>
      </c>
      <c r="H113" s="36">
        <f t="shared" ca="1" si="26"/>
        <v>8.0222445210176477E-2</v>
      </c>
      <c r="I113" s="36">
        <f t="shared" ca="1" si="26"/>
        <v>8.1852754038449105E-2</v>
      </c>
      <c r="J113" s="36">
        <f t="shared" ca="1" si="26"/>
        <v>7.9787951326267384E-2</v>
      </c>
      <c r="K113" s="36">
        <f t="shared" ca="1" si="26"/>
        <v>7.8054305325490028E-2</v>
      </c>
      <c r="L113" s="36">
        <f t="shared" ca="1" si="26"/>
        <v>7.7591913033498758E-2</v>
      </c>
      <c r="M113" s="36">
        <f t="shared" ca="1" si="26"/>
        <v>7.6565961313380157E-2</v>
      </c>
      <c r="N113" s="36">
        <f t="shared" ca="1" si="26"/>
        <v>7.7208150975164189E-2</v>
      </c>
      <c r="O113" s="36">
        <f t="shared" ca="1" si="26"/>
        <v>7.6800467940082981E-2</v>
      </c>
      <c r="P113" s="36">
        <f t="shared" ca="1" si="26"/>
        <v>7.516813555785691E-2</v>
      </c>
      <c r="Q113" s="36">
        <f t="shared" ca="1" si="26"/>
        <v>7.2770615909400455E-2</v>
      </c>
      <c r="R113" s="36">
        <f t="shared" ca="1" si="26"/>
        <v>7.1890090022164121E-2</v>
      </c>
      <c r="S113" s="36">
        <f t="shared" ca="1" si="26"/>
        <v>7.1595882561605789E-2</v>
      </c>
      <c r="T113" s="36">
        <f t="shared" ca="1" si="26"/>
        <v>7.0290143854601278E-2</v>
      </c>
      <c r="U113" s="36">
        <f t="shared" ca="1" si="26"/>
        <v>6.7465249657299123E-2</v>
      </c>
      <c r="V113" s="36">
        <f t="shared" ca="1" si="26"/>
        <v>6.6447671554427046E-2</v>
      </c>
      <c r="W113" s="36">
        <f t="shared" ca="1" si="26"/>
        <v>6.5649684799012203E-2</v>
      </c>
      <c r="X113" s="36">
        <f t="shared" ca="1" si="26"/>
        <v>6.5231361171718821E-2</v>
      </c>
      <c r="Y113" s="36">
        <f t="shared" ca="1" si="27"/>
        <v>1.4425538563470257</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86</v>
      </c>
      <c r="E114" s="36">
        <f t="shared" ca="1" si="26"/>
        <v>0</v>
      </c>
      <c r="F114" s="36">
        <f t="shared" ca="1" si="26"/>
        <v>0</v>
      </c>
      <c r="G114" s="36">
        <f t="shared" ca="1" si="26"/>
        <v>0</v>
      </c>
      <c r="H114" s="36">
        <f t="shared" ca="1" si="26"/>
        <v>0</v>
      </c>
      <c r="I114" s="36">
        <f t="shared" ca="1" si="26"/>
        <v>0</v>
      </c>
      <c r="J114" s="36">
        <f t="shared" ca="1" si="26"/>
        <v>0</v>
      </c>
      <c r="K114" s="36">
        <f t="shared" ca="1" si="26"/>
        <v>0</v>
      </c>
      <c r="L114" s="36">
        <f t="shared" ca="1" si="26"/>
        <v>0</v>
      </c>
      <c r="M114" s="36">
        <f t="shared" ca="1" si="26"/>
        <v>0</v>
      </c>
      <c r="N114" s="36">
        <f t="shared" ca="1" si="26"/>
        <v>0</v>
      </c>
      <c r="O114" s="36">
        <f t="shared" ca="1" si="26"/>
        <v>0</v>
      </c>
      <c r="P114" s="36">
        <f t="shared" ca="1" si="26"/>
        <v>0</v>
      </c>
      <c r="Q114" s="36">
        <f t="shared" ca="1" si="26"/>
        <v>0</v>
      </c>
      <c r="R114" s="36">
        <f t="shared" ca="1" si="26"/>
        <v>0</v>
      </c>
      <c r="S114" s="36">
        <f t="shared" ca="1" si="26"/>
        <v>0</v>
      </c>
      <c r="T114" s="36">
        <f t="shared" ca="1" si="26"/>
        <v>0</v>
      </c>
      <c r="U114" s="36">
        <f t="shared" ca="1" si="26"/>
        <v>0</v>
      </c>
      <c r="V114" s="36">
        <f t="shared" ca="1" si="26"/>
        <v>0</v>
      </c>
      <c r="W114" s="36">
        <f t="shared" ca="1" si="26"/>
        <v>0</v>
      </c>
      <c r="X114" s="36">
        <f t="shared" ca="1" si="26"/>
        <v>0</v>
      </c>
      <c r="Y114" s="36">
        <f t="shared" ca="1" si="27"/>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89</v>
      </c>
      <c r="E115" s="36">
        <f t="shared" ca="1" si="26"/>
        <v>0</v>
      </c>
      <c r="F115" s="36">
        <f t="shared" ca="1" si="26"/>
        <v>0</v>
      </c>
      <c r="G115" s="36">
        <f t="shared" ca="1" si="26"/>
        <v>0</v>
      </c>
      <c r="H115" s="36">
        <f t="shared" ca="1" si="26"/>
        <v>0</v>
      </c>
      <c r="I115" s="36">
        <f t="shared" ca="1" si="26"/>
        <v>0</v>
      </c>
      <c r="J115" s="36">
        <f t="shared" ca="1" si="26"/>
        <v>0</v>
      </c>
      <c r="K115" s="36">
        <f t="shared" ca="1" si="26"/>
        <v>0</v>
      </c>
      <c r="L115" s="36">
        <f t="shared" ca="1" si="26"/>
        <v>0</v>
      </c>
      <c r="M115" s="36">
        <f t="shared" ca="1" si="26"/>
        <v>0</v>
      </c>
      <c r="N115" s="36">
        <f t="shared" ca="1" si="26"/>
        <v>0</v>
      </c>
      <c r="O115" s="36">
        <f t="shared" ca="1" si="26"/>
        <v>0</v>
      </c>
      <c r="P115" s="36">
        <f t="shared" ca="1" si="26"/>
        <v>0</v>
      </c>
      <c r="Q115" s="36">
        <f t="shared" ca="1" si="26"/>
        <v>0</v>
      </c>
      <c r="R115" s="36">
        <f t="shared" ca="1" si="26"/>
        <v>0</v>
      </c>
      <c r="S115" s="36">
        <f t="shared" ca="1" si="26"/>
        <v>0</v>
      </c>
      <c r="T115" s="36">
        <f t="shared" ca="1" si="26"/>
        <v>0</v>
      </c>
      <c r="U115" s="36">
        <f t="shared" ca="1" si="26"/>
        <v>0</v>
      </c>
      <c r="V115" s="36">
        <f t="shared" ca="1" si="26"/>
        <v>0</v>
      </c>
      <c r="W115" s="36">
        <f t="shared" ca="1" si="26"/>
        <v>0</v>
      </c>
      <c r="X115" s="36">
        <f t="shared" ca="1" si="26"/>
        <v>0</v>
      </c>
      <c r="Y115" s="36">
        <f t="shared" ca="1" si="27"/>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92</v>
      </c>
      <c r="E116" s="36">
        <f t="shared" ca="1" si="26"/>
        <v>0</v>
      </c>
      <c r="F116" s="36">
        <f t="shared" ca="1" si="26"/>
        <v>0</v>
      </c>
      <c r="G116" s="36">
        <f t="shared" ca="1" si="26"/>
        <v>0</v>
      </c>
      <c r="H116" s="36">
        <f t="shared" ca="1" si="26"/>
        <v>0</v>
      </c>
      <c r="I116" s="36">
        <f t="shared" ca="1" si="26"/>
        <v>0</v>
      </c>
      <c r="J116" s="36">
        <f t="shared" ca="1" si="26"/>
        <v>0</v>
      </c>
      <c r="K116" s="36">
        <f t="shared" ca="1" si="26"/>
        <v>0</v>
      </c>
      <c r="L116" s="36">
        <f t="shared" ca="1" si="26"/>
        <v>0</v>
      </c>
      <c r="M116" s="36">
        <f t="shared" ca="1" si="26"/>
        <v>0</v>
      </c>
      <c r="N116" s="36">
        <f t="shared" ca="1" si="26"/>
        <v>0</v>
      </c>
      <c r="O116" s="36">
        <f t="shared" ca="1" si="26"/>
        <v>0</v>
      </c>
      <c r="P116" s="36">
        <f t="shared" ca="1" si="26"/>
        <v>0</v>
      </c>
      <c r="Q116" s="36">
        <f t="shared" ca="1" si="26"/>
        <v>0</v>
      </c>
      <c r="R116" s="36">
        <f t="shared" ca="1" si="26"/>
        <v>0</v>
      </c>
      <c r="S116" s="36">
        <f t="shared" ca="1" si="26"/>
        <v>0</v>
      </c>
      <c r="T116" s="36">
        <f t="shared" ca="1" si="26"/>
        <v>0</v>
      </c>
      <c r="U116" s="36">
        <f t="shared" ca="1" si="26"/>
        <v>0</v>
      </c>
      <c r="V116" s="36">
        <f t="shared" ca="1" si="26"/>
        <v>0</v>
      </c>
      <c r="W116" s="36">
        <f t="shared" ca="1" si="26"/>
        <v>0</v>
      </c>
      <c r="X116" s="36">
        <f t="shared" ca="1" si="26"/>
        <v>0</v>
      </c>
      <c r="Y116" s="36">
        <f t="shared" ca="1" si="27"/>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95</v>
      </c>
      <c r="E117" s="36">
        <f t="shared" ca="1" si="26"/>
        <v>0</v>
      </c>
      <c r="F117" s="36">
        <f t="shared" ca="1" si="26"/>
        <v>0</v>
      </c>
      <c r="G117" s="36">
        <f t="shared" ca="1" si="26"/>
        <v>0</v>
      </c>
      <c r="H117" s="36">
        <f t="shared" ca="1" si="26"/>
        <v>0</v>
      </c>
      <c r="I117" s="36">
        <f t="shared" ca="1" si="26"/>
        <v>0</v>
      </c>
      <c r="J117" s="36">
        <f t="shared" ca="1" si="26"/>
        <v>0</v>
      </c>
      <c r="K117" s="36">
        <f t="shared" ca="1" si="26"/>
        <v>0</v>
      </c>
      <c r="L117" s="36">
        <f t="shared" ca="1" si="26"/>
        <v>0</v>
      </c>
      <c r="M117" s="36">
        <f t="shared" ca="1" si="26"/>
        <v>0</v>
      </c>
      <c r="N117" s="36">
        <f t="shared" ca="1" si="26"/>
        <v>0</v>
      </c>
      <c r="O117" s="36">
        <f t="shared" ca="1" si="26"/>
        <v>0</v>
      </c>
      <c r="P117" s="36">
        <f t="shared" ca="1" si="26"/>
        <v>0</v>
      </c>
      <c r="Q117" s="36">
        <f t="shared" ca="1" si="26"/>
        <v>0</v>
      </c>
      <c r="R117" s="36">
        <f t="shared" ca="1" si="26"/>
        <v>0</v>
      </c>
      <c r="S117" s="36">
        <f t="shared" ca="1" si="26"/>
        <v>0</v>
      </c>
      <c r="T117" s="36">
        <f t="shared" ca="1" si="26"/>
        <v>0</v>
      </c>
      <c r="U117" s="36">
        <f t="shared" ca="1" si="26"/>
        <v>0</v>
      </c>
      <c r="V117" s="36">
        <f t="shared" ca="1" si="26"/>
        <v>0</v>
      </c>
      <c r="W117" s="36">
        <f t="shared" ca="1" si="26"/>
        <v>0</v>
      </c>
      <c r="X117" s="36">
        <f t="shared" ca="1" si="26"/>
        <v>0</v>
      </c>
      <c r="Y117" s="36">
        <f t="shared" ca="1" si="27"/>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98</v>
      </c>
      <c r="E118" s="36">
        <f t="shared" ca="1" si="26"/>
        <v>0</v>
      </c>
      <c r="F118" s="36">
        <f t="shared" ca="1" si="26"/>
        <v>0</v>
      </c>
      <c r="G118" s="36">
        <f t="shared" ca="1" si="26"/>
        <v>0</v>
      </c>
      <c r="H118" s="36">
        <f t="shared" ca="1" si="26"/>
        <v>0</v>
      </c>
      <c r="I118" s="36">
        <f t="shared" ca="1" si="26"/>
        <v>0</v>
      </c>
      <c r="J118" s="36">
        <f t="shared" ca="1" si="26"/>
        <v>0</v>
      </c>
      <c r="K118" s="36">
        <f t="shared" ca="1" si="26"/>
        <v>0</v>
      </c>
      <c r="L118" s="36">
        <f t="shared" ca="1" si="26"/>
        <v>0</v>
      </c>
      <c r="M118" s="36">
        <f t="shared" ca="1" si="26"/>
        <v>0</v>
      </c>
      <c r="N118" s="36">
        <f t="shared" ca="1" si="26"/>
        <v>0</v>
      </c>
      <c r="O118" s="36">
        <f t="shared" ca="1" si="26"/>
        <v>0</v>
      </c>
      <c r="P118" s="36">
        <f t="shared" ca="1" si="26"/>
        <v>0</v>
      </c>
      <c r="Q118" s="36">
        <f t="shared" ca="1" si="26"/>
        <v>0</v>
      </c>
      <c r="R118" s="36">
        <f t="shared" ca="1" si="26"/>
        <v>0</v>
      </c>
      <c r="S118" s="36">
        <f t="shared" ca="1" si="26"/>
        <v>0</v>
      </c>
      <c r="T118" s="36">
        <f t="shared" ca="1" si="26"/>
        <v>0</v>
      </c>
      <c r="U118" s="36">
        <f t="shared" ca="1" si="26"/>
        <v>0</v>
      </c>
      <c r="V118" s="36">
        <f t="shared" ca="1" si="26"/>
        <v>0</v>
      </c>
      <c r="W118" s="36">
        <f t="shared" ca="1" si="26"/>
        <v>0</v>
      </c>
      <c r="X118" s="36">
        <f t="shared" ca="1" si="26"/>
        <v>0</v>
      </c>
      <c r="Y118" s="36">
        <f t="shared" ca="1" si="27"/>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101</v>
      </c>
      <c r="E119" s="36">
        <f t="shared" ca="1" si="26"/>
        <v>0</v>
      </c>
      <c r="F119" s="36">
        <f t="shared" ca="1" si="26"/>
        <v>0</v>
      </c>
      <c r="G119" s="36">
        <f t="shared" ca="1" si="26"/>
        <v>0</v>
      </c>
      <c r="H119" s="36">
        <f t="shared" ca="1" si="26"/>
        <v>0</v>
      </c>
      <c r="I119" s="36">
        <f t="shared" ca="1" si="26"/>
        <v>0</v>
      </c>
      <c r="J119" s="36">
        <f t="shared" ca="1" si="26"/>
        <v>0</v>
      </c>
      <c r="K119" s="36">
        <f t="shared" ca="1" si="26"/>
        <v>0</v>
      </c>
      <c r="L119" s="36">
        <f t="shared" ca="1" si="26"/>
        <v>0</v>
      </c>
      <c r="M119" s="36">
        <f t="shared" ca="1" si="26"/>
        <v>0</v>
      </c>
      <c r="N119" s="36">
        <f t="shared" ca="1" si="26"/>
        <v>0</v>
      </c>
      <c r="O119" s="36">
        <f t="shared" ca="1" si="26"/>
        <v>0</v>
      </c>
      <c r="P119" s="36">
        <f t="shared" ca="1" si="26"/>
        <v>0</v>
      </c>
      <c r="Q119" s="36">
        <f t="shared" ca="1" si="26"/>
        <v>0</v>
      </c>
      <c r="R119" s="36">
        <f t="shared" ca="1" si="26"/>
        <v>0</v>
      </c>
      <c r="S119" s="36">
        <f t="shared" ca="1" si="26"/>
        <v>0</v>
      </c>
      <c r="T119" s="36">
        <f t="shared" ca="1" si="26"/>
        <v>0</v>
      </c>
      <c r="U119" s="36">
        <f t="shared" ca="1" si="26"/>
        <v>0</v>
      </c>
      <c r="V119" s="36">
        <f t="shared" ca="1" si="26"/>
        <v>0</v>
      </c>
      <c r="W119" s="36">
        <f t="shared" ca="1" si="26"/>
        <v>0</v>
      </c>
      <c r="X119" s="36">
        <f t="shared" ca="1" si="26"/>
        <v>0</v>
      </c>
      <c r="Y119" s="36">
        <f t="shared" ca="1" si="27"/>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104</v>
      </c>
      <c r="E120" s="36">
        <f t="shared" ca="1" si="26"/>
        <v>0</v>
      </c>
      <c r="F120" s="36">
        <f t="shared" ca="1" si="26"/>
        <v>0</v>
      </c>
      <c r="G120" s="36">
        <f t="shared" ca="1" si="26"/>
        <v>0</v>
      </c>
      <c r="H120" s="36">
        <f t="shared" ca="1" si="26"/>
        <v>0</v>
      </c>
      <c r="I120" s="36">
        <f t="shared" ca="1" si="26"/>
        <v>0</v>
      </c>
      <c r="J120" s="36">
        <f t="shared" ca="1" si="26"/>
        <v>0</v>
      </c>
      <c r="K120" s="36">
        <f t="shared" ca="1" si="26"/>
        <v>0</v>
      </c>
      <c r="L120" s="36">
        <f t="shared" ca="1" si="26"/>
        <v>0</v>
      </c>
      <c r="M120" s="36">
        <f t="shared" ca="1" si="26"/>
        <v>0</v>
      </c>
      <c r="N120" s="36">
        <f t="shared" ca="1" si="26"/>
        <v>0</v>
      </c>
      <c r="O120" s="36">
        <f t="shared" ca="1" si="26"/>
        <v>0</v>
      </c>
      <c r="P120" s="36">
        <f t="shared" ca="1" si="26"/>
        <v>0</v>
      </c>
      <c r="Q120" s="36">
        <f t="shared" ca="1" si="26"/>
        <v>0</v>
      </c>
      <c r="R120" s="36">
        <f t="shared" ca="1" si="26"/>
        <v>0</v>
      </c>
      <c r="S120" s="36">
        <f t="shared" ca="1" si="26"/>
        <v>0</v>
      </c>
      <c r="T120" s="36">
        <f t="shared" ca="1" si="26"/>
        <v>0</v>
      </c>
      <c r="U120" s="36">
        <f t="shared" ca="1" si="26"/>
        <v>0</v>
      </c>
      <c r="V120" s="36">
        <f t="shared" ca="1" si="26"/>
        <v>0</v>
      </c>
      <c r="W120" s="36">
        <f t="shared" ca="1" si="26"/>
        <v>0</v>
      </c>
      <c r="X120" s="36">
        <f t="shared" ca="1" si="26"/>
        <v>0</v>
      </c>
      <c r="Y120" s="36">
        <f t="shared" ca="1" si="27"/>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107</v>
      </c>
      <c r="E121" s="36">
        <f t="shared" ca="1" si="26"/>
        <v>0</v>
      </c>
      <c r="F121" s="36">
        <f t="shared" ca="1" si="26"/>
        <v>0</v>
      </c>
      <c r="G121" s="36">
        <f t="shared" ca="1" si="26"/>
        <v>0</v>
      </c>
      <c r="H121" s="36">
        <f t="shared" ref="H121:X121" ca="1" si="28">H84-H83</f>
        <v>0</v>
      </c>
      <c r="I121" s="36">
        <f t="shared" ca="1" si="28"/>
        <v>0</v>
      </c>
      <c r="J121" s="36">
        <f t="shared" ca="1" si="28"/>
        <v>0</v>
      </c>
      <c r="K121" s="36">
        <f t="shared" ca="1" si="28"/>
        <v>0</v>
      </c>
      <c r="L121" s="36">
        <f t="shared" ca="1" si="28"/>
        <v>0</v>
      </c>
      <c r="M121" s="36">
        <f t="shared" ca="1" si="28"/>
        <v>0</v>
      </c>
      <c r="N121" s="36">
        <f t="shared" ca="1" si="28"/>
        <v>0</v>
      </c>
      <c r="O121" s="36">
        <f t="shared" ca="1" si="28"/>
        <v>0</v>
      </c>
      <c r="P121" s="36">
        <f t="shared" ca="1" si="28"/>
        <v>0</v>
      </c>
      <c r="Q121" s="36">
        <f t="shared" ca="1" si="28"/>
        <v>0</v>
      </c>
      <c r="R121" s="36">
        <f t="shared" ca="1" si="28"/>
        <v>0</v>
      </c>
      <c r="S121" s="36">
        <f t="shared" ca="1" si="28"/>
        <v>0</v>
      </c>
      <c r="T121" s="36">
        <f t="shared" ca="1" si="28"/>
        <v>0</v>
      </c>
      <c r="U121" s="36">
        <f t="shared" ca="1" si="28"/>
        <v>0</v>
      </c>
      <c r="V121" s="36">
        <f t="shared" ca="1" si="28"/>
        <v>0</v>
      </c>
      <c r="W121" s="36">
        <f t="shared" ca="1" si="28"/>
        <v>0</v>
      </c>
      <c r="X121" s="36">
        <f t="shared" ca="1" si="28"/>
        <v>0</v>
      </c>
      <c r="Y121" s="36">
        <f t="shared" ca="1" si="27"/>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110</v>
      </c>
      <c r="E122" s="36">
        <f t="shared" ref="E122:X122" ca="1" si="29">E85-E84</f>
        <v>0</v>
      </c>
      <c r="F122" s="36">
        <f t="shared" ca="1" si="29"/>
        <v>0</v>
      </c>
      <c r="G122" s="36">
        <f t="shared" ca="1" si="29"/>
        <v>0</v>
      </c>
      <c r="H122" s="36">
        <f t="shared" ca="1" si="29"/>
        <v>0</v>
      </c>
      <c r="I122" s="36">
        <f t="shared" ca="1" si="29"/>
        <v>0</v>
      </c>
      <c r="J122" s="36">
        <f t="shared" ca="1" si="29"/>
        <v>0</v>
      </c>
      <c r="K122" s="36">
        <f t="shared" ca="1" si="29"/>
        <v>0</v>
      </c>
      <c r="L122" s="36">
        <f t="shared" ca="1" si="29"/>
        <v>0</v>
      </c>
      <c r="M122" s="36">
        <f t="shared" ca="1" si="29"/>
        <v>0</v>
      </c>
      <c r="N122" s="36">
        <f t="shared" ca="1" si="29"/>
        <v>0</v>
      </c>
      <c r="O122" s="36">
        <f t="shared" ca="1" si="29"/>
        <v>0</v>
      </c>
      <c r="P122" s="36">
        <f t="shared" ca="1" si="29"/>
        <v>0</v>
      </c>
      <c r="Q122" s="36">
        <f t="shared" ca="1" si="29"/>
        <v>0</v>
      </c>
      <c r="R122" s="36">
        <f t="shared" ca="1" si="29"/>
        <v>0</v>
      </c>
      <c r="S122" s="36">
        <f t="shared" ca="1" si="29"/>
        <v>0</v>
      </c>
      <c r="T122" s="36">
        <f t="shared" ca="1" si="29"/>
        <v>0</v>
      </c>
      <c r="U122" s="36">
        <f t="shared" ca="1" si="29"/>
        <v>0</v>
      </c>
      <c r="V122" s="36">
        <f t="shared" ca="1" si="29"/>
        <v>0</v>
      </c>
      <c r="W122" s="36">
        <f t="shared" ca="1" si="29"/>
        <v>0</v>
      </c>
      <c r="X122" s="36">
        <f t="shared" ca="1" si="29"/>
        <v>0</v>
      </c>
      <c r="Y122" s="36">
        <f t="shared" ca="1" si="27"/>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113</v>
      </c>
      <c r="E123" s="36">
        <f t="shared" ref="E123:X123" ca="1" si="30">E86-E85</f>
        <v>0</v>
      </c>
      <c r="F123" s="36">
        <f t="shared" ca="1" si="30"/>
        <v>0</v>
      </c>
      <c r="G123" s="36">
        <f t="shared" ca="1" si="30"/>
        <v>0</v>
      </c>
      <c r="H123" s="36">
        <f t="shared" ca="1" si="30"/>
        <v>0</v>
      </c>
      <c r="I123" s="36">
        <f t="shared" ca="1" si="30"/>
        <v>0</v>
      </c>
      <c r="J123" s="36">
        <f t="shared" ca="1" si="30"/>
        <v>0</v>
      </c>
      <c r="K123" s="36">
        <f t="shared" ca="1" si="30"/>
        <v>0</v>
      </c>
      <c r="L123" s="36">
        <f t="shared" ca="1" si="30"/>
        <v>0</v>
      </c>
      <c r="M123" s="36">
        <f t="shared" ca="1" si="30"/>
        <v>0</v>
      </c>
      <c r="N123" s="36">
        <f t="shared" ca="1" si="30"/>
        <v>0</v>
      </c>
      <c r="O123" s="36">
        <f t="shared" ca="1" si="30"/>
        <v>0</v>
      </c>
      <c r="P123" s="36">
        <f t="shared" ca="1" si="30"/>
        <v>0</v>
      </c>
      <c r="Q123" s="36">
        <f t="shared" ca="1" si="30"/>
        <v>0</v>
      </c>
      <c r="R123" s="36">
        <f t="shared" ca="1" si="30"/>
        <v>0</v>
      </c>
      <c r="S123" s="36">
        <f t="shared" ca="1" si="30"/>
        <v>0</v>
      </c>
      <c r="T123" s="36">
        <f t="shared" ca="1" si="30"/>
        <v>0</v>
      </c>
      <c r="U123" s="36">
        <f t="shared" ca="1" si="30"/>
        <v>0</v>
      </c>
      <c r="V123" s="36">
        <f t="shared" ca="1" si="30"/>
        <v>0</v>
      </c>
      <c r="W123" s="36">
        <f t="shared" ca="1" si="30"/>
        <v>0</v>
      </c>
      <c r="X123" s="36">
        <f t="shared" ca="1" si="30"/>
        <v>0</v>
      </c>
      <c r="Y123" s="36">
        <f t="shared" ca="1" si="27"/>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116</v>
      </c>
      <c r="E124" s="36">
        <f t="shared" ref="E124:X124" ca="1" si="31">E87-E86</f>
        <v>0</v>
      </c>
      <c r="F124" s="36">
        <f t="shared" ca="1" si="31"/>
        <v>0</v>
      </c>
      <c r="G124" s="36">
        <f t="shared" ca="1" si="31"/>
        <v>0</v>
      </c>
      <c r="H124" s="36">
        <f t="shared" ca="1" si="31"/>
        <v>0</v>
      </c>
      <c r="I124" s="36">
        <f t="shared" ca="1" si="31"/>
        <v>0</v>
      </c>
      <c r="J124" s="36">
        <f t="shared" ca="1" si="31"/>
        <v>0</v>
      </c>
      <c r="K124" s="36">
        <f t="shared" ca="1" si="31"/>
        <v>0</v>
      </c>
      <c r="L124" s="36">
        <f t="shared" ca="1" si="31"/>
        <v>0</v>
      </c>
      <c r="M124" s="36">
        <f t="shared" ca="1" si="31"/>
        <v>0</v>
      </c>
      <c r="N124" s="36">
        <f t="shared" ca="1" si="31"/>
        <v>0</v>
      </c>
      <c r="O124" s="36">
        <f t="shared" ca="1" si="31"/>
        <v>0</v>
      </c>
      <c r="P124" s="36">
        <f t="shared" ca="1" si="31"/>
        <v>0</v>
      </c>
      <c r="Q124" s="36">
        <f t="shared" ca="1" si="31"/>
        <v>0</v>
      </c>
      <c r="R124" s="36">
        <f t="shared" ca="1" si="31"/>
        <v>0</v>
      </c>
      <c r="S124" s="36">
        <f t="shared" ca="1" si="31"/>
        <v>0</v>
      </c>
      <c r="T124" s="36">
        <f t="shared" ca="1" si="31"/>
        <v>0</v>
      </c>
      <c r="U124" s="36">
        <f t="shared" ca="1" si="31"/>
        <v>0</v>
      </c>
      <c r="V124" s="36">
        <f t="shared" ca="1" si="31"/>
        <v>0</v>
      </c>
      <c r="W124" s="36">
        <f t="shared" ca="1" si="31"/>
        <v>0</v>
      </c>
      <c r="X124" s="36">
        <f t="shared" ca="1" si="31"/>
        <v>0</v>
      </c>
      <c r="Y124" s="36">
        <f t="shared" ca="1" si="27"/>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9" t="s">
        <v>119</v>
      </c>
      <c r="E125" s="36">
        <f t="shared" ref="E125:X125" ca="1" si="32">E88-E87</f>
        <v>0</v>
      </c>
      <c r="F125" s="36">
        <f t="shared" ca="1" si="32"/>
        <v>0</v>
      </c>
      <c r="G125" s="36">
        <f t="shared" ca="1" si="32"/>
        <v>0</v>
      </c>
      <c r="H125" s="36">
        <f t="shared" ca="1" si="32"/>
        <v>0</v>
      </c>
      <c r="I125" s="36">
        <f t="shared" ca="1" si="32"/>
        <v>0</v>
      </c>
      <c r="J125" s="36">
        <f t="shared" ca="1" si="32"/>
        <v>0</v>
      </c>
      <c r="K125" s="36">
        <f t="shared" ca="1" si="32"/>
        <v>0</v>
      </c>
      <c r="L125" s="36">
        <f t="shared" ca="1" si="32"/>
        <v>0</v>
      </c>
      <c r="M125" s="36">
        <f t="shared" ca="1" si="32"/>
        <v>0</v>
      </c>
      <c r="N125" s="36">
        <f t="shared" ca="1" si="32"/>
        <v>0</v>
      </c>
      <c r="O125" s="36">
        <f t="shared" ca="1" si="32"/>
        <v>0</v>
      </c>
      <c r="P125" s="36">
        <f t="shared" ca="1" si="32"/>
        <v>0</v>
      </c>
      <c r="Q125" s="36">
        <f t="shared" ca="1" si="32"/>
        <v>0</v>
      </c>
      <c r="R125" s="36">
        <f t="shared" ca="1" si="32"/>
        <v>0</v>
      </c>
      <c r="S125" s="36">
        <f t="shared" ca="1" si="32"/>
        <v>0</v>
      </c>
      <c r="T125" s="36">
        <f t="shared" ca="1" si="32"/>
        <v>0</v>
      </c>
      <c r="U125" s="36">
        <f t="shared" ca="1" si="32"/>
        <v>0</v>
      </c>
      <c r="V125" s="36">
        <f t="shared" ca="1" si="32"/>
        <v>0</v>
      </c>
      <c r="W125" s="36">
        <f t="shared" ca="1" si="32"/>
        <v>0</v>
      </c>
      <c r="X125" s="36">
        <f t="shared" ca="1" si="32"/>
        <v>0</v>
      </c>
      <c r="Y125" s="36">
        <f t="shared" ca="1" si="27"/>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9" t="s">
        <v>122</v>
      </c>
      <c r="E126" s="36">
        <f t="shared" ref="E126:X126" ca="1" si="33">E89-E88</f>
        <v>0</v>
      </c>
      <c r="F126" s="36">
        <f t="shared" ca="1" si="33"/>
        <v>0</v>
      </c>
      <c r="G126" s="36">
        <f t="shared" ca="1" si="33"/>
        <v>0</v>
      </c>
      <c r="H126" s="36">
        <f t="shared" ca="1" si="33"/>
        <v>0</v>
      </c>
      <c r="I126" s="36">
        <f t="shared" ca="1" si="33"/>
        <v>0</v>
      </c>
      <c r="J126" s="36">
        <f t="shared" ca="1" si="33"/>
        <v>0</v>
      </c>
      <c r="K126" s="36">
        <f t="shared" ca="1" si="33"/>
        <v>0</v>
      </c>
      <c r="L126" s="36">
        <f t="shared" ca="1" si="33"/>
        <v>0</v>
      </c>
      <c r="M126" s="36">
        <f t="shared" ca="1" si="33"/>
        <v>0</v>
      </c>
      <c r="N126" s="36">
        <f t="shared" ca="1" si="33"/>
        <v>0</v>
      </c>
      <c r="O126" s="36">
        <f t="shared" ca="1" si="33"/>
        <v>0</v>
      </c>
      <c r="P126" s="36">
        <f t="shared" ca="1" si="33"/>
        <v>0</v>
      </c>
      <c r="Q126" s="36">
        <f t="shared" ca="1" si="33"/>
        <v>0</v>
      </c>
      <c r="R126" s="36">
        <f t="shared" ca="1" si="33"/>
        <v>0</v>
      </c>
      <c r="S126" s="36">
        <f t="shared" ca="1" si="33"/>
        <v>0</v>
      </c>
      <c r="T126" s="36">
        <f t="shared" ca="1" si="33"/>
        <v>0</v>
      </c>
      <c r="U126" s="36">
        <f t="shared" ca="1" si="33"/>
        <v>0</v>
      </c>
      <c r="V126" s="36">
        <f t="shared" ca="1" si="33"/>
        <v>0</v>
      </c>
      <c r="W126" s="36">
        <f t="shared" ca="1" si="33"/>
        <v>0</v>
      </c>
      <c r="X126" s="36">
        <f t="shared" ca="1" si="33"/>
        <v>0</v>
      </c>
      <c r="Y126" s="36">
        <f t="shared" ca="1" si="27"/>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9" t="s">
        <v>125</v>
      </c>
      <c r="E127" s="36">
        <f t="shared" ref="E127:X127" ca="1" si="34">E90-E89</f>
        <v>0</v>
      </c>
      <c r="F127" s="36">
        <f t="shared" ca="1" si="34"/>
        <v>0</v>
      </c>
      <c r="G127" s="36">
        <f t="shared" ca="1" si="34"/>
        <v>0</v>
      </c>
      <c r="H127" s="36">
        <f t="shared" ca="1" si="34"/>
        <v>0</v>
      </c>
      <c r="I127" s="36">
        <f t="shared" ca="1" si="34"/>
        <v>0</v>
      </c>
      <c r="J127" s="36">
        <f t="shared" ca="1" si="34"/>
        <v>0</v>
      </c>
      <c r="K127" s="36">
        <f t="shared" ca="1" si="34"/>
        <v>0</v>
      </c>
      <c r="L127" s="36">
        <f t="shared" ca="1" si="34"/>
        <v>0</v>
      </c>
      <c r="M127" s="36">
        <f t="shared" ca="1" si="34"/>
        <v>0</v>
      </c>
      <c r="N127" s="36">
        <f t="shared" ca="1" si="34"/>
        <v>0</v>
      </c>
      <c r="O127" s="36">
        <f t="shared" ca="1" si="34"/>
        <v>0</v>
      </c>
      <c r="P127" s="36">
        <f t="shared" ca="1" si="34"/>
        <v>0</v>
      </c>
      <c r="Q127" s="36">
        <f t="shared" ca="1" si="34"/>
        <v>0</v>
      </c>
      <c r="R127" s="36">
        <f t="shared" ca="1" si="34"/>
        <v>0</v>
      </c>
      <c r="S127" s="36">
        <f t="shared" ca="1" si="34"/>
        <v>0</v>
      </c>
      <c r="T127" s="36">
        <f t="shared" ca="1" si="34"/>
        <v>0</v>
      </c>
      <c r="U127" s="36">
        <f t="shared" ca="1" si="34"/>
        <v>0</v>
      </c>
      <c r="V127" s="36">
        <f t="shared" ca="1" si="34"/>
        <v>0</v>
      </c>
      <c r="W127" s="36">
        <f t="shared" ca="1" si="34"/>
        <v>0</v>
      </c>
      <c r="X127" s="36">
        <f t="shared" ca="1" si="34"/>
        <v>0</v>
      </c>
      <c r="Y127" s="36">
        <f t="shared" ca="1" si="27"/>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9" t="s">
        <v>128</v>
      </c>
      <c r="E128" s="36">
        <f t="shared" ref="E128:X128" ca="1" si="35">E91-E90</f>
        <v>0</v>
      </c>
      <c r="F128" s="36">
        <f t="shared" ca="1" si="35"/>
        <v>0</v>
      </c>
      <c r="G128" s="36">
        <f t="shared" ca="1" si="35"/>
        <v>0</v>
      </c>
      <c r="H128" s="36">
        <f t="shared" ca="1" si="35"/>
        <v>0</v>
      </c>
      <c r="I128" s="36">
        <f t="shared" ca="1" si="35"/>
        <v>0</v>
      </c>
      <c r="J128" s="36">
        <f t="shared" ca="1" si="35"/>
        <v>0</v>
      </c>
      <c r="K128" s="36">
        <f t="shared" ca="1" si="35"/>
        <v>0</v>
      </c>
      <c r="L128" s="36">
        <f t="shared" ca="1" si="35"/>
        <v>0</v>
      </c>
      <c r="M128" s="36">
        <f t="shared" ca="1" si="35"/>
        <v>0</v>
      </c>
      <c r="N128" s="36">
        <f t="shared" ca="1" si="35"/>
        <v>0</v>
      </c>
      <c r="O128" s="36">
        <f t="shared" ca="1" si="35"/>
        <v>0</v>
      </c>
      <c r="P128" s="36">
        <f t="shared" ca="1" si="35"/>
        <v>0</v>
      </c>
      <c r="Q128" s="36">
        <f t="shared" ca="1" si="35"/>
        <v>0</v>
      </c>
      <c r="R128" s="36">
        <f t="shared" ca="1" si="35"/>
        <v>0</v>
      </c>
      <c r="S128" s="36">
        <f t="shared" ca="1" si="35"/>
        <v>0</v>
      </c>
      <c r="T128" s="36">
        <f t="shared" ca="1" si="35"/>
        <v>0</v>
      </c>
      <c r="U128" s="36">
        <f t="shared" ca="1" si="35"/>
        <v>0</v>
      </c>
      <c r="V128" s="36">
        <f t="shared" ca="1" si="35"/>
        <v>0</v>
      </c>
      <c r="W128" s="36">
        <f t="shared" ca="1" si="35"/>
        <v>0</v>
      </c>
      <c r="X128" s="36">
        <f t="shared" ca="1" si="35"/>
        <v>0</v>
      </c>
      <c r="Y128" s="36">
        <f t="shared" ca="1" si="27"/>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3:80">
      <c r="C129" s="9" t="s">
        <v>534</v>
      </c>
      <c r="E129" s="36">
        <f t="shared" ref="E129:X129" ca="1" si="36">E92-E91</f>
        <v>0</v>
      </c>
      <c r="F129" s="36">
        <f t="shared" ca="1" si="36"/>
        <v>0</v>
      </c>
      <c r="G129" s="36">
        <f t="shared" ca="1" si="36"/>
        <v>0</v>
      </c>
      <c r="H129" s="36">
        <f t="shared" ca="1" si="36"/>
        <v>0</v>
      </c>
      <c r="I129" s="36">
        <f t="shared" ca="1" si="36"/>
        <v>0</v>
      </c>
      <c r="J129" s="36">
        <f t="shared" ca="1" si="36"/>
        <v>0</v>
      </c>
      <c r="K129" s="36">
        <f t="shared" ca="1" si="36"/>
        <v>0</v>
      </c>
      <c r="L129" s="36">
        <f t="shared" ca="1" si="36"/>
        <v>0</v>
      </c>
      <c r="M129" s="36">
        <f t="shared" ca="1" si="36"/>
        <v>0</v>
      </c>
      <c r="N129" s="36">
        <f t="shared" ca="1" si="36"/>
        <v>0</v>
      </c>
      <c r="O129" s="36">
        <f t="shared" ca="1" si="36"/>
        <v>0</v>
      </c>
      <c r="P129" s="36">
        <f t="shared" ca="1" si="36"/>
        <v>0</v>
      </c>
      <c r="Q129" s="36">
        <f t="shared" ca="1" si="36"/>
        <v>0</v>
      </c>
      <c r="R129" s="36">
        <f t="shared" ca="1" si="36"/>
        <v>0</v>
      </c>
      <c r="S129" s="36">
        <f t="shared" ca="1" si="36"/>
        <v>0</v>
      </c>
      <c r="T129" s="36">
        <f t="shared" ca="1" si="36"/>
        <v>0</v>
      </c>
      <c r="U129" s="36">
        <f t="shared" ca="1" si="36"/>
        <v>0</v>
      </c>
      <c r="V129" s="36">
        <f t="shared" ca="1" si="36"/>
        <v>0</v>
      </c>
      <c r="W129" s="36">
        <f t="shared" ca="1" si="36"/>
        <v>0</v>
      </c>
      <c r="X129" s="36">
        <f t="shared" ca="1" si="36"/>
        <v>0</v>
      </c>
      <c r="Y129" s="36">
        <f t="shared" ca="1" si="27"/>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3:80">
      <c r="C130" s="9" t="s">
        <v>536</v>
      </c>
      <c r="E130" s="36">
        <f t="shared" ref="E130:X130" ca="1" si="37">E93-E92</f>
        <v>0</v>
      </c>
      <c r="F130" s="36">
        <f t="shared" ca="1" si="37"/>
        <v>0</v>
      </c>
      <c r="G130" s="36">
        <f t="shared" ca="1" si="37"/>
        <v>0</v>
      </c>
      <c r="H130" s="36">
        <f t="shared" ca="1" si="37"/>
        <v>0</v>
      </c>
      <c r="I130" s="36">
        <f t="shared" ca="1" si="37"/>
        <v>0</v>
      </c>
      <c r="J130" s="36">
        <f t="shared" ca="1" si="37"/>
        <v>0</v>
      </c>
      <c r="K130" s="36">
        <f t="shared" ca="1" si="37"/>
        <v>0</v>
      </c>
      <c r="L130" s="36">
        <f t="shared" ca="1" si="37"/>
        <v>0</v>
      </c>
      <c r="M130" s="36">
        <f t="shared" ca="1" si="37"/>
        <v>0</v>
      </c>
      <c r="N130" s="36">
        <f t="shared" ca="1" si="37"/>
        <v>0</v>
      </c>
      <c r="O130" s="36">
        <f t="shared" ca="1" si="37"/>
        <v>0</v>
      </c>
      <c r="P130" s="36">
        <f t="shared" ca="1" si="37"/>
        <v>0</v>
      </c>
      <c r="Q130" s="36">
        <f t="shared" ca="1" si="37"/>
        <v>0</v>
      </c>
      <c r="R130" s="36">
        <f t="shared" ca="1" si="37"/>
        <v>0</v>
      </c>
      <c r="S130" s="36">
        <f t="shared" ca="1" si="37"/>
        <v>0</v>
      </c>
      <c r="T130" s="36">
        <f t="shared" ca="1" si="37"/>
        <v>0</v>
      </c>
      <c r="U130" s="36">
        <f t="shared" ca="1" si="37"/>
        <v>0</v>
      </c>
      <c r="V130" s="36">
        <f t="shared" ca="1" si="37"/>
        <v>0</v>
      </c>
      <c r="W130" s="36">
        <f t="shared" ca="1" si="37"/>
        <v>0</v>
      </c>
      <c r="X130" s="36">
        <f t="shared" ca="1" si="37"/>
        <v>0</v>
      </c>
      <c r="Y130" s="36">
        <f t="shared" ca="1" si="27"/>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3:80">
      <c r="C131" s="9" t="s">
        <v>539</v>
      </c>
      <c r="E131" s="36">
        <f t="shared" ref="E131:X131" ca="1" si="38">E94-E93</f>
        <v>0</v>
      </c>
      <c r="F131" s="36">
        <f t="shared" ca="1" si="38"/>
        <v>0</v>
      </c>
      <c r="G131" s="36">
        <f t="shared" ca="1" si="38"/>
        <v>0</v>
      </c>
      <c r="H131" s="36">
        <f t="shared" ca="1" si="38"/>
        <v>0</v>
      </c>
      <c r="I131" s="36">
        <f t="shared" ca="1" si="38"/>
        <v>0</v>
      </c>
      <c r="J131" s="36">
        <f t="shared" ca="1" si="38"/>
        <v>0</v>
      </c>
      <c r="K131" s="36">
        <f t="shared" ca="1" si="38"/>
        <v>0</v>
      </c>
      <c r="L131" s="36">
        <f t="shared" ca="1" si="38"/>
        <v>0</v>
      </c>
      <c r="M131" s="36">
        <f t="shared" ca="1" si="38"/>
        <v>0</v>
      </c>
      <c r="N131" s="36">
        <f t="shared" ca="1" si="38"/>
        <v>0</v>
      </c>
      <c r="O131" s="36">
        <f t="shared" ca="1" si="38"/>
        <v>0</v>
      </c>
      <c r="P131" s="36">
        <f t="shared" ca="1" si="38"/>
        <v>0</v>
      </c>
      <c r="Q131" s="36">
        <f t="shared" ca="1" si="38"/>
        <v>0</v>
      </c>
      <c r="R131" s="36">
        <f t="shared" ca="1" si="38"/>
        <v>0</v>
      </c>
      <c r="S131" s="36">
        <f t="shared" ca="1" si="38"/>
        <v>0</v>
      </c>
      <c r="T131" s="36">
        <f t="shared" ca="1" si="38"/>
        <v>0</v>
      </c>
      <c r="U131" s="36">
        <f t="shared" ca="1" si="38"/>
        <v>0</v>
      </c>
      <c r="V131" s="36">
        <f t="shared" ca="1" si="38"/>
        <v>0</v>
      </c>
      <c r="W131" s="36">
        <f t="shared" ca="1" si="38"/>
        <v>0</v>
      </c>
      <c r="X131" s="36">
        <f t="shared" ca="1" si="38"/>
        <v>0</v>
      </c>
      <c r="Y131" s="36">
        <f t="shared" ca="1" si="27"/>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3:80">
      <c r="C132" s="9" t="s">
        <v>542</v>
      </c>
      <c r="E132" s="36">
        <f t="shared" ref="E132:X132" ca="1" si="39">E95-E94</f>
        <v>0</v>
      </c>
      <c r="F132" s="36">
        <f t="shared" ca="1" si="39"/>
        <v>0</v>
      </c>
      <c r="G132" s="36">
        <f t="shared" ca="1" si="39"/>
        <v>0</v>
      </c>
      <c r="H132" s="36">
        <f t="shared" ca="1" si="39"/>
        <v>0</v>
      </c>
      <c r="I132" s="36">
        <f t="shared" ca="1" si="39"/>
        <v>0</v>
      </c>
      <c r="J132" s="36">
        <f t="shared" ca="1" si="39"/>
        <v>0</v>
      </c>
      <c r="K132" s="36">
        <f t="shared" ca="1" si="39"/>
        <v>0</v>
      </c>
      <c r="L132" s="36">
        <f t="shared" ca="1" si="39"/>
        <v>0</v>
      </c>
      <c r="M132" s="36">
        <f t="shared" ca="1" si="39"/>
        <v>0</v>
      </c>
      <c r="N132" s="36">
        <f t="shared" ca="1" si="39"/>
        <v>0</v>
      </c>
      <c r="O132" s="36">
        <f t="shared" ca="1" si="39"/>
        <v>0</v>
      </c>
      <c r="P132" s="36">
        <f t="shared" ca="1" si="39"/>
        <v>0</v>
      </c>
      <c r="Q132" s="36">
        <f t="shared" ca="1" si="39"/>
        <v>0</v>
      </c>
      <c r="R132" s="36">
        <f t="shared" ca="1" si="39"/>
        <v>0</v>
      </c>
      <c r="S132" s="36">
        <f t="shared" ca="1" si="39"/>
        <v>0</v>
      </c>
      <c r="T132" s="36">
        <f t="shared" ca="1" si="39"/>
        <v>0</v>
      </c>
      <c r="U132" s="36">
        <f t="shared" ca="1" si="39"/>
        <v>0</v>
      </c>
      <c r="V132" s="36">
        <f t="shared" ca="1" si="39"/>
        <v>0</v>
      </c>
      <c r="W132" s="36">
        <f t="shared" ca="1" si="39"/>
        <v>0</v>
      </c>
      <c r="X132" s="36">
        <f t="shared" ca="1" si="39"/>
        <v>0</v>
      </c>
      <c r="Y132" s="36">
        <f t="shared" ca="1" si="27"/>
        <v>0</v>
      </c>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3:80">
      <c r="C133" s="9" t="s">
        <v>545</v>
      </c>
      <c r="E133" s="36">
        <f t="shared" ref="E133:X133" ca="1" si="40">E96-E95</f>
        <v>0</v>
      </c>
      <c r="F133" s="36">
        <f t="shared" ca="1" si="40"/>
        <v>0</v>
      </c>
      <c r="G133" s="36">
        <f t="shared" ca="1" si="40"/>
        <v>0</v>
      </c>
      <c r="H133" s="36">
        <f t="shared" ca="1" si="40"/>
        <v>0</v>
      </c>
      <c r="I133" s="36">
        <f t="shared" ca="1" si="40"/>
        <v>0</v>
      </c>
      <c r="J133" s="36">
        <f t="shared" ca="1" si="40"/>
        <v>0</v>
      </c>
      <c r="K133" s="36">
        <f t="shared" ca="1" si="40"/>
        <v>0</v>
      </c>
      <c r="L133" s="36">
        <f t="shared" ca="1" si="40"/>
        <v>0</v>
      </c>
      <c r="M133" s="36">
        <f t="shared" ca="1" si="40"/>
        <v>0</v>
      </c>
      <c r="N133" s="36">
        <f t="shared" ca="1" si="40"/>
        <v>0</v>
      </c>
      <c r="O133" s="36">
        <f t="shared" ca="1" si="40"/>
        <v>0</v>
      </c>
      <c r="P133" s="36">
        <f t="shared" ca="1" si="40"/>
        <v>0</v>
      </c>
      <c r="Q133" s="36">
        <f t="shared" ca="1" si="40"/>
        <v>0</v>
      </c>
      <c r="R133" s="36">
        <f t="shared" ca="1" si="40"/>
        <v>0</v>
      </c>
      <c r="S133" s="36">
        <f t="shared" ca="1" si="40"/>
        <v>0</v>
      </c>
      <c r="T133" s="36">
        <f t="shared" ca="1" si="40"/>
        <v>0</v>
      </c>
      <c r="U133" s="36">
        <f t="shared" ca="1" si="40"/>
        <v>0</v>
      </c>
      <c r="V133" s="36">
        <f t="shared" ca="1" si="40"/>
        <v>0</v>
      </c>
      <c r="W133" s="36">
        <f t="shared" ca="1" si="40"/>
        <v>0</v>
      </c>
      <c r="X133" s="36">
        <f t="shared" ca="1" si="40"/>
        <v>0</v>
      </c>
      <c r="Y133" s="36">
        <f t="shared" ca="1" si="27"/>
        <v>0</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3:80">
      <c r="C134" s="9" t="s">
        <v>548</v>
      </c>
      <c r="E134" s="36">
        <f t="shared" ref="E134:X134" ca="1" si="41">E97-E96</f>
        <v>0</v>
      </c>
      <c r="F134" s="36">
        <f t="shared" ca="1" si="41"/>
        <v>0</v>
      </c>
      <c r="G134" s="36">
        <f t="shared" ca="1" si="41"/>
        <v>0</v>
      </c>
      <c r="H134" s="36">
        <f t="shared" ca="1" si="41"/>
        <v>0</v>
      </c>
      <c r="I134" s="36">
        <f t="shared" ca="1" si="41"/>
        <v>0</v>
      </c>
      <c r="J134" s="36">
        <f t="shared" ca="1" si="41"/>
        <v>0</v>
      </c>
      <c r="K134" s="36">
        <f t="shared" ca="1" si="41"/>
        <v>0</v>
      </c>
      <c r="L134" s="36">
        <f t="shared" ca="1" si="41"/>
        <v>0</v>
      </c>
      <c r="M134" s="36">
        <f t="shared" ca="1" si="41"/>
        <v>0</v>
      </c>
      <c r="N134" s="36">
        <f t="shared" ca="1" si="41"/>
        <v>0</v>
      </c>
      <c r="O134" s="36">
        <f t="shared" ca="1" si="41"/>
        <v>0</v>
      </c>
      <c r="P134" s="36">
        <f t="shared" ca="1" si="41"/>
        <v>0</v>
      </c>
      <c r="Q134" s="36">
        <f t="shared" ca="1" si="41"/>
        <v>0</v>
      </c>
      <c r="R134" s="36">
        <f t="shared" ca="1" si="41"/>
        <v>0</v>
      </c>
      <c r="S134" s="36">
        <f t="shared" ca="1" si="41"/>
        <v>0</v>
      </c>
      <c r="T134" s="36">
        <f t="shared" ca="1" si="41"/>
        <v>0</v>
      </c>
      <c r="U134" s="36">
        <f t="shared" ca="1" si="41"/>
        <v>0</v>
      </c>
      <c r="V134" s="36">
        <f t="shared" ca="1" si="41"/>
        <v>0</v>
      </c>
      <c r="W134" s="36">
        <f t="shared" ca="1" si="41"/>
        <v>0</v>
      </c>
      <c r="X134" s="36">
        <f t="shared" ca="1" si="41"/>
        <v>0</v>
      </c>
      <c r="Y134" s="36">
        <f t="shared" ca="1" si="27"/>
        <v>0</v>
      </c>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5" spans="3:80">
      <c r="C135" s="9" t="s">
        <v>551</v>
      </c>
      <c r="E135" s="36">
        <f t="shared" ref="E135:X135" ca="1" si="42">E98-E97</f>
        <v>0</v>
      </c>
      <c r="F135" s="36">
        <f t="shared" ca="1" si="42"/>
        <v>0</v>
      </c>
      <c r="G135" s="36">
        <f t="shared" ca="1" si="42"/>
        <v>0</v>
      </c>
      <c r="H135" s="36">
        <f t="shared" ca="1" si="42"/>
        <v>0</v>
      </c>
      <c r="I135" s="36">
        <f t="shared" ca="1" si="42"/>
        <v>0</v>
      </c>
      <c r="J135" s="36">
        <f t="shared" ca="1" si="42"/>
        <v>0</v>
      </c>
      <c r="K135" s="36">
        <f t="shared" ca="1" si="42"/>
        <v>0</v>
      </c>
      <c r="L135" s="36">
        <f t="shared" ca="1" si="42"/>
        <v>0</v>
      </c>
      <c r="M135" s="36">
        <f t="shared" ca="1" si="42"/>
        <v>0</v>
      </c>
      <c r="N135" s="36">
        <f t="shared" ca="1" si="42"/>
        <v>0</v>
      </c>
      <c r="O135" s="36">
        <f t="shared" ca="1" si="42"/>
        <v>0</v>
      </c>
      <c r="P135" s="36">
        <f t="shared" ca="1" si="42"/>
        <v>0</v>
      </c>
      <c r="Q135" s="36">
        <f t="shared" ca="1" si="42"/>
        <v>0</v>
      </c>
      <c r="R135" s="36">
        <f t="shared" ca="1" si="42"/>
        <v>0</v>
      </c>
      <c r="S135" s="36">
        <f t="shared" ca="1" si="42"/>
        <v>0</v>
      </c>
      <c r="T135" s="36">
        <f t="shared" ca="1" si="42"/>
        <v>0</v>
      </c>
      <c r="U135" s="36">
        <f t="shared" ca="1" si="42"/>
        <v>0</v>
      </c>
      <c r="V135" s="36">
        <f t="shared" ca="1" si="42"/>
        <v>0</v>
      </c>
      <c r="W135" s="36">
        <f t="shared" ca="1" si="42"/>
        <v>0</v>
      </c>
      <c r="X135" s="36">
        <f t="shared" ca="1" si="42"/>
        <v>0</v>
      </c>
      <c r="Y135" s="36">
        <f t="shared" ca="1" si="27"/>
        <v>0</v>
      </c>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row>
    <row r="136" spans="3:80">
      <c r="C136" s="9" t="s">
        <v>554</v>
      </c>
      <c r="E136" s="36">
        <f t="shared" ref="E136:X136" ca="1" si="43">E99-E98</f>
        <v>0</v>
      </c>
      <c r="F136" s="36">
        <f t="shared" ca="1" si="43"/>
        <v>0</v>
      </c>
      <c r="G136" s="36">
        <f t="shared" ca="1" si="43"/>
        <v>0</v>
      </c>
      <c r="H136" s="36">
        <f t="shared" ca="1" si="43"/>
        <v>0</v>
      </c>
      <c r="I136" s="36">
        <f t="shared" ca="1" si="43"/>
        <v>0</v>
      </c>
      <c r="J136" s="36">
        <f t="shared" ca="1" si="43"/>
        <v>0</v>
      </c>
      <c r="K136" s="36">
        <f t="shared" ca="1" si="43"/>
        <v>0</v>
      </c>
      <c r="L136" s="36">
        <f t="shared" ca="1" si="43"/>
        <v>0</v>
      </c>
      <c r="M136" s="36">
        <f t="shared" ca="1" si="43"/>
        <v>0</v>
      </c>
      <c r="N136" s="36">
        <f t="shared" ca="1" si="43"/>
        <v>0</v>
      </c>
      <c r="O136" s="36">
        <f t="shared" ca="1" si="43"/>
        <v>0</v>
      </c>
      <c r="P136" s="36">
        <f t="shared" ca="1" si="43"/>
        <v>0</v>
      </c>
      <c r="Q136" s="36">
        <f t="shared" ca="1" si="43"/>
        <v>0</v>
      </c>
      <c r="R136" s="36">
        <f t="shared" ca="1" si="43"/>
        <v>0</v>
      </c>
      <c r="S136" s="36">
        <f t="shared" ca="1" si="43"/>
        <v>0</v>
      </c>
      <c r="T136" s="36">
        <f t="shared" ca="1" si="43"/>
        <v>0</v>
      </c>
      <c r="U136" s="36">
        <f t="shared" ca="1" si="43"/>
        <v>0</v>
      </c>
      <c r="V136" s="36">
        <f t="shared" ca="1" si="43"/>
        <v>0</v>
      </c>
      <c r="W136" s="36">
        <f t="shared" ca="1" si="43"/>
        <v>0</v>
      </c>
      <c r="X136" s="36">
        <f t="shared" ca="1" si="43"/>
        <v>0</v>
      </c>
      <c r="Y136" s="36">
        <f t="shared" ca="1" si="27"/>
        <v>0</v>
      </c>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row>
    <row r="137" spans="3:80">
      <c r="C137" s="9" t="s">
        <v>557</v>
      </c>
      <c r="E137" s="36">
        <f t="shared" ref="E137:X137" ca="1" si="44">E100-E99</f>
        <v>0</v>
      </c>
      <c r="F137" s="36">
        <f t="shared" ca="1" si="44"/>
        <v>0</v>
      </c>
      <c r="G137" s="36">
        <f t="shared" ca="1" si="44"/>
        <v>0</v>
      </c>
      <c r="H137" s="36">
        <f t="shared" ca="1" si="44"/>
        <v>0</v>
      </c>
      <c r="I137" s="36">
        <f t="shared" ca="1" si="44"/>
        <v>0</v>
      </c>
      <c r="J137" s="36">
        <f t="shared" ca="1" si="44"/>
        <v>0</v>
      </c>
      <c r="K137" s="36">
        <f t="shared" ca="1" si="44"/>
        <v>0</v>
      </c>
      <c r="L137" s="36">
        <f t="shared" ca="1" si="44"/>
        <v>0</v>
      </c>
      <c r="M137" s="36">
        <f t="shared" ca="1" si="44"/>
        <v>0</v>
      </c>
      <c r="N137" s="36">
        <f t="shared" ca="1" si="44"/>
        <v>0</v>
      </c>
      <c r="O137" s="36">
        <f t="shared" ca="1" si="44"/>
        <v>0</v>
      </c>
      <c r="P137" s="36">
        <f t="shared" ca="1" si="44"/>
        <v>0</v>
      </c>
      <c r="Q137" s="36">
        <f t="shared" ca="1" si="44"/>
        <v>0</v>
      </c>
      <c r="R137" s="36">
        <f t="shared" ca="1" si="44"/>
        <v>0</v>
      </c>
      <c r="S137" s="36">
        <f t="shared" ca="1" si="44"/>
        <v>0</v>
      </c>
      <c r="T137" s="36">
        <f t="shared" ca="1" si="44"/>
        <v>0</v>
      </c>
      <c r="U137" s="36">
        <f t="shared" ca="1" si="44"/>
        <v>0</v>
      </c>
      <c r="V137" s="36">
        <f t="shared" ca="1" si="44"/>
        <v>0</v>
      </c>
      <c r="W137" s="36">
        <f t="shared" ca="1" si="44"/>
        <v>0</v>
      </c>
      <c r="X137" s="36">
        <f t="shared" ca="1" si="44"/>
        <v>0</v>
      </c>
      <c r="Y137" s="36">
        <f t="shared" ca="1" si="27"/>
        <v>0</v>
      </c>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3:80">
      <c r="C138" s="9" t="s">
        <v>560</v>
      </c>
      <c r="E138" s="36">
        <f t="shared" ref="E138:X138" ca="1" si="45">E101-E100</f>
        <v>0</v>
      </c>
      <c r="F138" s="36">
        <f t="shared" ca="1" si="45"/>
        <v>0</v>
      </c>
      <c r="G138" s="36">
        <f t="shared" ca="1" si="45"/>
        <v>0</v>
      </c>
      <c r="H138" s="36">
        <f t="shared" ca="1" si="45"/>
        <v>0</v>
      </c>
      <c r="I138" s="36">
        <f t="shared" ca="1" si="45"/>
        <v>0</v>
      </c>
      <c r="J138" s="36">
        <f t="shared" ca="1" si="45"/>
        <v>0</v>
      </c>
      <c r="K138" s="36">
        <f t="shared" ca="1" si="45"/>
        <v>0</v>
      </c>
      <c r="L138" s="36">
        <f t="shared" ca="1" si="45"/>
        <v>0</v>
      </c>
      <c r="M138" s="36">
        <f t="shared" ca="1" si="45"/>
        <v>0</v>
      </c>
      <c r="N138" s="36">
        <f t="shared" ca="1" si="45"/>
        <v>0</v>
      </c>
      <c r="O138" s="36">
        <f t="shared" ca="1" si="45"/>
        <v>0</v>
      </c>
      <c r="P138" s="36">
        <f t="shared" ca="1" si="45"/>
        <v>0</v>
      </c>
      <c r="Q138" s="36">
        <f t="shared" ca="1" si="45"/>
        <v>0</v>
      </c>
      <c r="R138" s="36">
        <f t="shared" ca="1" si="45"/>
        <v>0</v>
      </c>
      <c r="S138" s="36">
        <f t="shared" ca="1" si="45"/>
        <v>0</v>
      </c>
      <c r="T138" s="36">
        <f t="shared" ca="1" si="45"/>
        <v>0</v>
      </c>
      <c r="U138" s="36">
        <f t="shared" ca="1" si="45"/>
        <v>0</v>
      </c>
      <c r="V138" s="36">
        <f t="shared" ca="1" si="45"/>
        <v>0</v>
      </c>
      <c r="W138" s="36">
        <f t="shared" ca="1" si="45"/>
        <v>0</v>
      </c>
      <c r="X138" s="36">
        <f t="shared" ca="1" si="45"/>
        <v>0</v>
      </c>
      <c r="Y138" s="36">
        <f t="shared" ca="1" si="27"/>
        <v>0</v>
      </c>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row>
    <row r="139" spans="3:80">
      <c r="C139" s="9" t="s">
        <v>563</v>
      </c>
      <c r="E139" s="36">
        <f t="shared" ref="E139:X139" ca="1" si="46">E102-E91</f>
        <v>0</v>
      </c>
      <c r="F139" s="36">
        <f t="shared" ca="1" si="46"/>
        <v>0</v>
      </c>
      <c r="G139" s="36">
        <f t="shared" ca="1" si="46"/>
        <v>0</v>
      </c>
      <c r="H139" s="36">
        <f t="shared" ca="1" si="46"/>
        <v>0</v>
      </c>
      <c r="I139" s="36">
        <f t="shared" ca="1" si="46"/>
        <v>0</v>
      </c>
      <c r="J139" s="36">
        <f t="shared" ca="1" si="46"/>
        <v>0</v>
      </c>
      <c r="K139" s="36">
        <f t="shared" ca="1" si="46"/>
        <v>0</v>
      </c>
      <c r="L139" s="36">
        <f t="shared" ca="1" si="46"/>
        <v>0</v>
      </c>
      <c r="M139" s="36">
        <f t="shared" ca="1" si="46"/>
        <v>0</v>
      </c>
      <c r="N139" s="36">
        <f t="shared" ca="1" si="46"/>
        <v>0</v>
      </c>
      <c r="O139" s="36">
        <f t="shared" ca="1" si="46"/>
        <v>0</v>
      </c>
      <c r="P139" s="36">
        <f t="shared" ca="1" si="46"/>
        <v>0</v>
      </c>
      <c r="Q139" s="36">
        <f t="shared" ca="1" si="46"/>
        <v>0</v>
      </c>
      <c r="R139" s="36">
        <f t="shared" ca="1" si="46"/>
        <v>0</v>
      </c>
      <c r="S139" s="36">
        <f t="shared" ca="1" si="46"/>
        <v>0</v>
      </c>
      <c r="T139" s="36">
        <f t="shared" ca="1" si="46"/>
        <v>0</v>
      </c>
      <c r="U139" s="36">
        <f t="shared" ca="1" si="46"/>
        <v>0</v>
      </c>
      <c r="V139" s="36">
        <f t="shared" ca="1" si="46"/>
        <v>0</v>
      </c>
      <c r="W139" s="36">
        <f t="shared" ca="1" si="46"/>
        <v>0</v>
      </c>
      <c r="X139" s="36">
        <f t="shared" ca="1" si="46"/>
        <v>0</v>
      </c>
      <c r="Y139" s="36">
        <f t="shared" ca="1" si="27"/>
        <v>0</v>
      </c>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3:8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row>
    <row r="141" spans="3:80" ht="15">
      <c r="C141" s="73" t="s">
        <v>135</v>
      </c>
      <c r="D141" s="74"/>
      <c r="E141" s="74">
        <f t="shared" ref="E141:X141" ca="1" si="47">SUM(E108:E139)</f>
        <v>4.699332719325109E-2</v>
      </c>
      <c r="F141" s="74">
        <f t="shared" ca="1" si="47"/>
        <v>6.5648487628335597E-2</v>
      </c>
      <c r="G141" s="74">
        <f t="shared" ca="1" si="47"/>
        <v>7.5319257274843815E-2</v>
      </c>
      <c r="H141" s="74">
        <f t="shared" ca="1" si="47"/>
        <v>8.0222445210176477E-2</v>
      </c>
      <c r="I141" s="74">
        <f t="shared" ca="1" si="47"/>
        <v>8.1852754038449105E-2</v>
      </c>
      <c r="J141" s="74">
        <f t="shared" ca="1" si="47"/>
        <v>7.9787951326267384E-2</v>
      </c>
      <c r="K141" s="74">
        <f t="shared" ca="1" si="47"/>
        <v>7.8054305325490028E-2</v>
      </c>
      <c r="L141" s="74">
        <f t="shared" ca="1" si="47"/>
        <v>7.7591913033498758E-2</v>
      </c>
      <c r="M141" s="74">
        <f t="shared" ca="1" si="47"/>
        <v>7.6565961313380157E-2</v>
      </c>
      <c r="N141" s="74">
        <f t="shared" ca="1" si="47"/>
        <v>7.7208150975164189E-2</v>
      </c>
      <c r="O141" s="74">
        <f t="shared" ca="1" si="47"/>
        <v>7.6800467940082981E-2</v>
      </c>
      <c r="P141" s="74">
        <f t="shared" ca="1" si="47"/>
        <v>7.516813555785691E-2</v>
      </c>
      <c r="Q141" s="74">
        <f t="shared" ca="1" si="47"/>
        <v>7.2770615909400455E-2</v>
      </c>
      <c r="R141" s="74">
        <f t="shared" ca="1" si="47"/>
        <v>7.1890090022164121E-2</v>
      </c>
      <c r="S141" s="74">
        <f t="shared" ca="1" si="47"/>
        <v>7.1595882561605789E-2</v>
      </c>
      <c r="T141" s="74">
        <f t="shared" ca="1" si="47"/>
        <v>7.0290143854601278E-2</v>
      </c>
      <c r="U141" s="74">
        <f t="shared" ca="1" si="47"/>
        <v>6.7465249657299123E-2</v>
      </c>
      <c r="V141" s="74">
        <f t="shared" ca="1" si="47"/>
        <v>6.6447671554427046E-2</v>
      </c>
      <c r="W141" s="74">
        <f t="shared" ca="1" si="47"/>
        <v>6.5649684799012203E-2</v>
      </c>
      <c r="X141" s="74">
        <f t="shared" ca="1" si="47"/>
        <v>6.5231361171718821E-2</v>
      </c>
      <c r="Y141" s="74"/>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3:80" ht="15">
      <c r="C142" s="73" t="s">
        <v>136</v>
      </c>
      <c r="D142" s="74"/>
      <c r="E142" s="74">
        <f ca="1">E141</f>
        <v>4.699332719325109E-2</v>
      </c>
      <c r="F142" s="74">
        <f t="shared" ref="F142:X142" ca="1" si="48">E142+F141</f>
        <v>0.11264181482158669</v>
      </c>
      <c r="G142" s="74">
        <f t="shared" ca="1" si="48"/>
        <v>0.18796107209643051</v>
      </c>
      <c r="H142" s="74">
        <f t="shared" ca="1" si="48"/>
        <v>0.268183517306607</v>
      </c>
      <c r="I142" s="74">
        <f t="shared" ca="1" si="48"/>
        <v>0.3500362713450561</v>
      </c>
      <c r="J142" s="74">
        <f t="shared" ca="1" si="48"/>
        <v>0.42982422267132347</v>
      </c>
      <c r="K142" s="74">
        <f t="shared" ca="1" si="48"/>
        <v>0.50787852799681354</v>
      </c>
      <c r="L142" s="74">
        <f t="shared" ca="1" si="48"/>
        <v>0.58547044103031232</v>
      </c>
      <c r="M142" s="74">
        <f t="shared" ca="1" si="48"/>
        <v>0.66203640234369243</v>
      </c>
      <c r="N142" s="74">
        <f t="shared" ca="1" si="48"/>
        <v>0.73924455331885663</v>
      </c>
      <c r="O142" s="74">
        <f t="shared" ca="1" si="48"/>
        <v>0.81604502125893963</v>
      </c>
      <c r="P142" s="74">
        <f t="shared" ca="1" si="48"/>
        <v>0.89121315681679658</v>
      </c>
      <c r="Q142" s="74">
        <f t="shared" ca="1" si="48"/>
        <v>0.96398377272619706</v>
      </c>
      <c r="R142" s="74">
        <f t="shared" ca="1" si="48"/>
        <v>1.0358738627483612</v>
      </c>
      <c r="S142" s="74">
        <f t="shared" ca="1" si="48"/>
        <v>1.1074697453099671</v>
      </c>
      <c r="T142" s="74">
        <f t="shared" ca="1" si="48"/>
        <v>1.1777598891645684</v>
      </c>
      <c r="U142" s="74">
        <f t="shared" ca="1" si="48"/>
        <v>1.2452251388218676</v>
      </c>
      <c r="V142" s="74">
        <f t="shared" ca="1" si="48"/>
        <v>1.3116728103762947</v>
      </c>
      <c r="W142" s="74">
        <f t="shared" ca="1" si="48"/>
        <v>1.3773224951753069</v>
      </c>
      <c r="X142" s="74">
        <f t="shared" ca="1" si="48"/>
        <v>1.4425538563470257</v>
      </c>
      <c r="Y142" s="74">
        <f ca="1">SUM(Y108:Y139)</f>
        <v>1.4425538563470257</v>
      </c>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row>
    <row r="145" spans="1:27">
      <c r="A145" s="9" t="s">
        <v>140</v>
      </c>
    </row>
    <row r="147" spans="1:27">
      <c r="E147" s="42"/>
      <c r="F147" s="42"/>
      <c r="G147" s="42"/>
      <c r="H147" s="42"/>
      <c r="I147" s="42"/>
      <c r="J147" s="42"/>
      <c r="K147" s="42"/>
      <c r="L147" s="42"/>
      <c r="M147" s="42"/>
      <c r="N147" s="42"/>
      <c r="O147" s="42"/>
      <c r="P147" s="42"/>
      <c r="Q147" s="42"/>
      <c r="R147" s="42"/>
      <c r="S147" s="42"/>
      <c r="T147" s="42"/>
      <c r="U147" s="42"/>
      <c r="V147" s="42"/>
      <c r="W147" s="42"/>
      <c r="X147" s="42"/>
      <c r="Y147" s="42"/>
    </row>
    <row r="148" spans="1:27">
      <c r="E148" s="42"/>
      <c r="F148" s="42"/>
      <c r="G148" s="42"/>
      <c r="H148" s="42"/>
      <c r="I148" s="42"/>
      <c r="J148" s="42"/>
      <c r="K148" s="42"/>
      <c r="L148" s="42"/>
      <c r="M148" s="42"/>
      <c r="N148" s="42"/>
      <c r="O148" s="42"/>
      <c r="P148" s="42"/>
      <c r="Q148" s="42"/>
      <c r="R148" s="42"/>
      <c r="S148" s="42"/>
      <c r="T148" s="42"/>
      <c r="U148" s="42"/>
      <c r="V148" s="42"/>
      <c r="W148" s="42"/>
      <c r="X148" s="42"/>
      <c r="Y148" s="42"/>
    </row>
    <row r="149" spans="1:27" ht="15">
      <c r="A149" s="63" t="s">
        <v>141</v>
      </c>
      <c r="E149" s="42"/>
      <c r="F149" s="42"/>
      <c r="G149" s="42"/>
      <c r="H149" s="42"/>
      <c r="I149" s="42"/>
      <c r="J149" s="42"/>
      <c r="K149" s="42"/>
      <c r="L149" s="42"/>
      <c r="M149" s="42"/>
      <c r="N149" s="42"/>
      <c r="O149" s="42"/>
      <c r="P149" s="42"/>
      <c r="Q149" s="42"/>
      <c r="R149" s="42"/>
      <c r="S149" s="42"/>
      <c r="T149" s="42"/>
      <c r="U149" s="42"/>
      <c r="V149" s="42"/>
      <c r="W149" s="42"/>
      <c r="X149" s="42"/>
      <c r="Y149" s="42"/>
    </row>
    <row r="150" spans="1:27">
      <c r="A150" s="9" t="s">
        <v>142</v>
      </c>
      <c r="C150"/>
      <c r="D150"/>
      <c r="E150" s="9" t="s">
        <v>143</v>
      </c>
    </row>
    <row r="151" spans="1:27" ht="15">
      <c r="C151" s="53"/>
      <c r="D151" s="53"/>
      <c r="E151" s="72" t="str">
        <f>E12</f>
        <v>HOMES_2016</v>
      </c>
      <c r="F151" s="72" t="str">
        <f t="shared" ref="F151:X151" si="49">F12</f>
        <v>HOMES_2017</v>
      </c>
      <c r="G151" s="72" t="str">
        <f t="shared" si="49"/>
        <v>HOMES_2018</v>
      </c>
      <c r="H151" s="72" t="str">
        <f t="shared" si="49"/>
        <v>HOMES_2019</v>
      </c>
      <c r="I151" s="72" t="str">
        <f t="shared" si="49"/>
        <v>HOMES_2020</v>
      </c>
      <c r="J151" s="72" t="str">
        <f t="shared" si="49"/>
        <v>HOMES_2021</v>
      </c>
      <c r="K151" s="72" t="str">
        <f t="shared" si="49"/>
        <v>HOMES_2022</v>
      </c>
      <c r="L151" s="72" t="str">
        <f t="shared" si="49"/>
        <v>HOMES_2023</v>
      </c>
      <c r="M151" s="72" t="str">
        <f t="shared" si="49"/>
        <v>HOMES_2024</v>
      </c>
      <c r="N151" s="72" t="str">
        <f t="shared" si="49"/>
        <v>HOMES_2025</v>
      </c>
      <c r="O151" s="72" t="str">
        <f t="shared" si="49"/>
        <v>HOMES_2026</v>
      </c>
      <c r="P151" s="72" t="str">
        <f t="shared" si="49"/>
        <v>HOMES_2027</v>
      </c>
      <c r="Q151" s="72" t="str">
        <f t="shared" si="49"/>
        <v>HOMES_2028</v>
      </c>
      <c r="R151" s="72" t="str">
        <f t="shared" si="49"/>
        <v>HOMES_2029</v>
      </c>
      <c r="S151" s="72" t="str">
        <f t="shared" si="49"/>
        <v>HOMES_2030</v>
      </c>
      <c r="T151" s="72" t="str">
        <f t="shared" si="49"/>
        <v>HOMES_2031</v>
      </c>
      <c r="U151" s="72" t="str">
        <f t="shared" si="49"/>
        <v>HOMES_2032</v>
      </c>
      <c r="V151" s="72" t="str">
        <f t="shared" si="49"/>
        <v>HOMES_2033</v>
      </c>
      <c r="W151" s="72" t="str">
        <f t="shared" si="49"/>
        <v>HOMES_2034</v>
      </c>
      <c r="X151" s="72" t="str">
        <f t="shared" si="49"/>
        <v>HOMES_2035</v>
      </c>
      <c r="Y151" s="72"/>
    </row>
    <row r="152" spans="1:27">
      <c r="C152" s="9" t="str">
        <f>C13</f>
        <v>Single Family</v>
      </c>
      <c r="E152" s="42">
        <f t="shared" ref="E152:X152" ca="1" si="50">(E13-E41/$B23)</f>
        <v>52363.851145543369</v>
      </c>
      <c r="F152" s="42">
        <f t="shared" ca="1" si="50"/>
        <v>45640.483763754499</v>
      </c>
      <c r="G152" s="42">
        <f t="shared" ca="1" si="50"/>
        <v>40563.490175281695</v>
      </c>
      <c r="H152" s="42">
        <f t="shared" ca="1" si="50"/>
        <v>37668.833017729346</v>
      </c>
      <c r="I152" s="42">
        <f t="shared" ca="1" si="50"/>
        <v>35729.722904145819</v>
      </c>
      <c r="J152" s="42">
        <f t="shared" ca="1" si="50"/>
        <v>33707.40157510963</v>
      </c>
      <c r="K152" s="42">
        <f t="shared" ca="1" si="50"/>
        <v>32731.283554330006</v>
      </c>
      <c r="L152" s="42">
        <f t="shared" ca="1" si="50"/>
        <v>32672.580039219669</v>
      </c>
      <c r="M152" s="42">
        <f t="shared" ca="1" si="50"/>
        <v>32487.488219005121</v>
      </c>
      <c r="N152" s="42">
        <f t="shared" ca="1" si="50"/>
        <v>33239.48613803467</v>
      </c>
      <c r="O152" s="42">
        <f t="shared" ca="1" si="50"/>
        <v>33653.665643200526</v>
      </c>
      <c r="P152" s="42">
        <f t="shared" ca="1" si="50"/>
        <v>33401.409133948466</v>
      </c>
      <c r="Q152" s="42">
        <f t="shared" ca="1" si="50"/>
        <v>32690.234958471174</v>
      </c>
      <c r="R152" s="42">
        <f t="shared" ca="1" si="50"/>
        <v>32895.894809703212</v>
      </c>
      <c r="S152" s="42">
        <f t="shared" ca="1" si="50"/>
        <v>33451.307983659048</v>
      </c>
      <c r="T152" s="42">
        <f t="shared" ca="1" si="50"/>
        <v>33477.510802801153</v>
      </c>
      <c r="U152" s="42">
        <f t="shared" ca="1" si="50"/>
        <v>32531.35896348254</v>
      </c>
      <c r="V152" s="42">
        <f t="shared" ca="1" si="50"/>
        <v>32634.555083807219</v>
      </c>
      <c r="W152" s="42">
        <f t="shared" ca="1" si="50"/>
        <v>32874.344179059204</v>
      </c>
      <c r="X152" s="42">
        <f t="shared" ca="1" si="50"/>
        <v>33253.507311739435</v>
      </c>
      <c r="Y152" s="42"/>
      <c r="AA152" s="42">
        <f t="shared" ref="AA152:AA155" ca="1" si="51">SUM(E152:Y152)</f>
        <v>707668.40940202586</v>
      </c>
    </row>
    <row r="153" spans="1:27">
      <c r="C153" s="9" t="str">
        <f>C14</f>
        <v>Multifamily - Low Rise</v>
      </c>
      <c r="E153" s="42">
        <f t="shared" ref="E153:X153" ca="1" si="52">(E14-E42/$B24)</f>
        <v>19446.97886179138</v>
      </c>
      <c r="F153" s="42">
        <f t="shared" ca="1" si="52"/>
        <v>17519.928191462586</v>
      </c>
      <c r="G153" s="42">
        <f t="shared" ca="1" si="52"/>
        <v>16281.068779635836</v>
      </c>
      <c r="H153" s="42">
        <f t="shared" ca="1" si="52"/>
        <v>15130.449684773266</v>
      </c>
      <c r="I153" s="42">
        <f t="shared" ca="1" si="52"/>
        <v>13901.163631771909</v>
      </c>
      <c r="J153" s="42">
        <f t="shared" ca="1" si="52"/>
        <v>13269.70894853519</v>
      </c>
      <c r="K153" s="42">
        <f t="shared" ca="1" si="52"/>
        <v>13134.227684062329</v>
      </c>
      <c r="L153" s="42">
        <f t="shared" ca="1" si="52"/>
        <v>13418.631051269716</v>
      </c>
      <c r="M153" s="42">
        <f t="shared" ca="1" si="52"/>
        <v>13809.622113882346</v>
      </c>
      <c r="N153" s="42">
        <f t="shared" ca="1" si="52"/>
        <v>14259.886185248008</v>
      </c>
      <c r="O153" s="42">
        <f t="shared" ca="1" si="52"/>
        <v>14397.302945204661</v>
      </c>
      <c r="P153" s="42">
        <f t="shared" ca="1" si="52"/>
        <v>14479.201283002305</v>
      </c>
      <c r="Q153" s="42">
        <f t="shared" ca="1" si="52"/>
        <v>14579.824377673529</v>
      </c>
      <c r="R153" s="42">
        <f t="shared" ca="1" si="52"/>
        <v>14496.805860103756</v>
      </c>
      <c r="S153" s="42">
        <f t="shared" ca="1" si="52"/>
        <v>14395.902032862487</v>
      </c>
      <c r="T153" s="42">
        <f t="shared" ca="1" si="52"/>
        <v>14172.855941430178</v>
      </c>
      <c r="U153" s="42">
        <f t="shared" ca="1" si="52"/>
        <v>14000.652762711023</v>
      </c>
      <c r="V153" s="42">
        <f t="shared" ca="1" si="52"/>
        <v>13890.775690034639</v>
      </c>
      <c r="W153" s="42">
        <f t="shared" ca="1" si="52"/>
        <v>13688.662636076358</v>
      </c>
      <c r="X153" s="42">
        <f t="shared" ca="1" si="52"/>
        <v>13701.145752143573</v>
      </c>
      <c r="Y153" s="42"/>
      <c r="AA153" s="42">
        <f t="shared" ca="1" si="51"/>
        <v>291974.79441367503</v>
      </c>
    </row>
    <row r="154" spans="1:27">
      <c r="C154" s="9" t="str">
        <f>C15</f>
        <v>Multifamily - High Rise</v>
      </c>
      <c r="E154" s="42">
        <f t="shared" ref="E154:X154" ca="1" si="53">(E15-E43/$B25)</f>
        <v>4365.6803691723971</v>
      </c>
      <c r="F154" s="42">
        <f t="shared" ca="1" si="53"/>
        <v>3988.4404975029538</v>
      </c>
      <c r="G154" s="42">
        <f t="shared" ca="1" si="53"/>
        <v>3762.1970974771739</v>
      </c>
      <c r="H154" s="42">
        <f t="shared" ca="1" si="53"/>
        <v>3415.6907479211541</v>
      </c>
      <c r="I154" s="42">
        <f t="shared" ca="1" si="53"/>
        <v>3077.3960041992195</v>
      </c>
      <c r="J154" s="42">
        <f t="shared" ca="1" si="53"/>
        <v>2981.6016697603109</v>
      </c>
      <c r="K154" s="42">
        <f t="shared" ca="1" si="53"/>
        <v>2959.8230211795926</v>
      </c>
      <c r="L154" s="42">
        <f t="shared" ca="1" si="53"/>
        <v>3061.502849869913</v>
      </c>
      <c r="M154" s="42">
        <f t="shared" ca="1" si="53"/>
        <v>3128.5581883064788</v>
      </c>
      <c r="N154" s="42">
        <f t="shared" ca="1" si="53"/>
        <v>3230.227134379259</v>
      </c>
      <c r="O154" s="42">
        <f t="shared" ca="1" si="53"/>
        <v>3222.0958514986742</v>
      </c>
      <c r="P154" s="42">
        <f t="shared" ca="1" si="53"/>
        <v>3234.1555831260375</v>
      </c>
      <c r="Q154" s="42">
        <f t="shared" ca="1" si="53"/>
        <v>3228.5383428175892</v>
      </c>
      <c r="R154" s="42">
        <f t="shared" ca="1" si="53"/>
        <v>3235.3045579377967</v>
      </c>
      <c r="S154" s="42">
        <f t="shared" ca="1" si="53"/>
        <v>3228.0905649803053</v>
      </c>
      <c r="T154" s="42">
        <f t="shared" ca="1" si="53"/>
        <v>3175.8246559168447</v>
      </c>
      <c r="U154" s="42">
        <f t="shared" ca="1" si="53"/>
        <v>3141.0018551080889</v>
      </c>
      <c r="V154" s="42">
        <f t="shared" ca="1" si="53"/>
        <v>3083.6694524730433</v>
      </c>
      <c r="W154" s="42">
        <f t="shared" ca="1" si="53"/>
        <v>3086.6326880106517</v>
      </c>
      <c r="X154" s="42">
        <f t="shared" ca="1" si="53"/>
        <v>3087.051461113203</v>
      </c>
      <c r="Y154" s="42"/>
      <c r="AA154" s="42">
        <f t="shared" ca="1" si="51"/>
        <v>65693.482592750675</v>
      </c>
    </row>
    <row r="155" spans="1:27">
      <c r="C155" s="9" t="str">
        <f>C16</f>
        <v>Manufactured</v>
      </c>
      <c r="E155" s="42">
        <f t="shared" ref="E155:X155" ca="1" si="54">(E16-E44/$B26)</f>
        <v>1561.7290079815011</v>
      </c>
      <c r="F155" s="42">
        <f t="shared" ca="1" si="54"/>
        <v>1432.3472771432478</v>
      </c>
      <c r="G155" s="42">
        <f t="shared" ca="1" si="54"/>
        <v>1391.1331618914205</v>
      </c>
      <c r="H155" s="42">
        <f t="shared" ca="1" si="54"/>
        <v>1384.6656537779511</v>
      </c>
      <c r="I155" s="42">
        <f t="shared" ca="1" si="54"/>
        <v>1308.4641693066228</v>
      </c>
      <c r="J155" s="42">
        <f t="shared" ca="1" si="54"/>
        <v>1275.1017345081377</v>
      </c>
      <c r="K155" s="42">
        <f t="shared" ca="1" si="54"/>
        <v>1277.8798708669958</v>
      </c>
      <c r="L155" s="42">
        <f t="shared" ca="1" si="54"/>
        <v>1288.9399069326091</v>
      </c>
      <c r="M155" s="42">
        <f t="shared" ca="1" si="54"/>
        <v>1302.1010760848303</v>
      </c>
      <c r="N155" s="42">
        <f t="shared" ca="1" si="54"/>
        <v>1309.8057357892428</v>
      </c>
      <c r="O155" s="42">
        <f t="shared" ca="1" si="54"/>
        <v>1309.8214589436764</v>
      </c>
      <c r="P155" s="42">
        <f t="shared" ca="1" si="54"/>
        <v>1315.5255956462288</v>
      </c>
      <c r="Q155" s="42">
        <f t="shared" ca="1" si="54"/>
        <v>1324.4323498976305</v>
      </c>
      <c r="R155" s="42">
        <f t="shared" ca="1" si="54"/>
        <v>1332.8636294853695</v>
      </c>
      <c r="S155" s="42">
        <f t="shared" ca="1" si="54"/>
        <v>1340.2194157221325</v>
      </c>
      <c r="T155" s="42">
        <f t="shared" ca="1" si="54"/>
        <v>1346.3521436099422</v>
      </c>
      <c r="U155" s="42">
        <f t="shared" ca="1" si="54"/>
        <v>1352.1414472421066</v>
      </c>
      <c r="V155" s="42">
        <f t="shared" ca="1" si="54"/>
        <v>1358.9054515550217</v>
      </c>
      <c r="W155" s="42">
        <f t="shared" ca="1" si="54"/>
        <v>1365.8374242404129</v>
      </c>
      <c r="X155" s="42">
        <f t="shared" ca="1" si="54"/>
        <v>1372.4363592521929</v>
      </c>
      <c r="Y155" s="42"/>
      <c r="AA155" s="42">
        <f t="shared" ca="1" si="51"/>
        <v>26950.702869877274</v>
      </c>
    </row>
    <row r="156" spans="1:27">
      <c r="E156" s="42"/>
      <c r="F156" s="42"/>
      <c r="G156" s="42"/>
      <c r="H156" s="42"/>
      <c r="I156" s="42"/>
      <c r="J156" s="42"/>
      <c r="K156" s="42"/>
      <c r="L156" s="42"/>
      <c r="M156" s="42"/>
      <c r="N156" s="42"/>
      <c r="O156" s="42"/>
      <c r="P156" s="42"/>
      <c r="Q156" s="42"/>
      <c r="R156" s="42"/>
      <c r="S156" s="42"/>
      <c r="T156" s="42"/>
      <c r="U156" s="42"/>
      <c r="V156" s="42"/>
      <c r="W156" s="42"/>
      <c r="X156" s="42"/>
      <c r="Y156" s="42"/>
    </row>
    <row r="157" spans="1:27">
      <c r="C157" s="9" t="s">
        <v>144</v>
      </c>
      <c r="E157" s="42">
        <f t="shared" ref="E157:X157" ca="1" si="55">SUM(E152:E155)</f>
        <v>77738.239384488639</v>
      </c>
      <c r="F157" s="42">
        <f t="shared" ca="1" si="55"/>
        <v>68581.199729863292</v>
      </c>
      <c r="G157" s="42">
        <f t="shared" ca="1" si="55"/>
        <v>61997.88921428613</v>
      </c>
      <c r="H157" s="42">
        <f t="shared" ca="1" si="55"/>
        <v>57599.639104201713</v>
      </c>
      <c r="I157" s="42">
        <f t="shared" ca="1" si="55"/>
        <v>54016.746709423569</v>
      </c>
      <c r="J157" s="42">
        <f t="shared" ca="1" si="55"/>
        <v>51233.813927913267</v>
      </c>
      <c r="K157" s="42">
        <f t="shared" ca="1" si="55"/>
        <v>50103.214130438922</v>
      </c>
      <c r="L157" s="42">
        <f t="shared" ca="1" si="55"/>
        <v>50441.653847291906</v>
      </c>
      <c r="M157" s="42">
        <f t="shared" ca="1" si="55"/>
        <v>50727.769597278777</v>
      </c>
      <c r="N157" s="42">
        <f t="shared" ca="1" si="55"/>
        <v>52039.405193451174</v>
      </c>
      <c r="O157" s="42">
        <f t="shared" ca="1" si="55"/>
        <v>52582.885898847533</v>
      </c>
      <c r="P157" s="42">
        <f t="shared" ca="1" si="55"/>
        <v>52430.291595723036</v>
      </c>
      <c r="Q157" s="42">
        <f t="shared" ca="1" si="55"/>
        <v>51823.030028859925</v>
      </c>
      <c r="R157" s="42">
        <f t="shared" ca="1" si="55"/>
        <v>51960.868857230133</v>
      </c>
      <c r="S157" s="42">
        <f t="shared" ca="1" si="55"/>
        <v>52415.519997223972</v>
      </c>
      <c r="T157" s="42">
        <f t="shared" ca="1" si="55"/>
        <v>52172.543543758118</v>
      </c>
      <c r="U157" s="42">
        <f t="shared" ca="1" si="55"/>
        <v>51025.155028543762</v>
      </c>
      <c r="V157" s="42">
        <f t="shared" ca="1" si="55"/>
        <v>50967.905677869923</v>
      </c>
      <c r="W157" s="42">
        <f t="shared" ca="1" si="55"/>
        <v>51015.476927386626</v>
      </c>
      <c r="X157" s="42">
        <f t="shared" ca="1" si="55"/>
        <v>51414.140884248402</v>
      </c>
      <c r="Y157" s="42"/>
      <c r="AA157" s="42">
        <f ca="1">SUM(E157:Y157)</f>
        <v>1092287.3892783287</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5"/>
  <dimension ref="A1:CB161"/>
  <sheetViews>
    <sheetView topLeftCell="B1" workbookViewId="0">
      <selection activeCell="B16" sqref="B16"/>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50" t="s">
        <v>53</v>
      </c>
      <c r="B1" s="421" t="s">
        <v>304</v>
      </c>
      <c r="C1" s="421"/>
      <c r="D1" s="421"/>
      <c r="E1" s="421"/>
      <c r="F1" s="421"/>
      <c r="G1" s="421"/>
      <c r="H1" s="421"/>
      <c r="I1" s="421"/>
      <c r="J1" s="421"/>
      <c r="K1" s="421"/>
      <c r="L1" s="421"/>
      <c r="M1" s="421"/>
      <c r="N1" s="421"/>
      <c r="O1" s="421"/>
      <c r="P1" s="421"/>
      <c r="Q1" s="421"/>
      <c r="R1" s="421"/>
      <c r="S1" s="421"/>
      <c r="T1" s="421"/>
    </row>
    <row r="2" spans="1:69">
      <c r="A2" s="51" t="s">
        <v>328</v>
      </c>
      <c r="B2" s="421"/>
      <c r="C2" s="421"/>
      <c r="D2" s="421"/>
      <c r="E2" s="421"/>
      <c r="F2" s="421"/>
      <c r="G2" s="421"/>
      <c r="H2" s="421"/>
      <c r="I2" s="421"/>
      <c r="J2" s="421"/>
      <c r="K2" s="421"/>
      <c r="L2" s="421"/>
      <c r="M2" s="421"/>
      <c r="N2" s="421"/>
      <c r="O2" s="421"/>
      <c r="P2" s="421"/>
      <c r="Q2" s="421"/>
      <c r="R2" s="421"/>
      <c r="S2" s="421"/>
      <c r="T2" s="421"/>
    </row>
    <row r="3" spans="1:69">
      <c r="B3" s="421"/>
      <c r="C3" s="421"/>
      <c r="D3" s="421"/>
      <c r="E3" s="421"/>
      <c r="F3" s="421"/>
      <c r="G3" s="421"/>
      <c r="H3" s="421"/>
      <c r="I3" s="421"/>
      <c r="J3" s="421"/>
      <c r="K3" s="421"/>
      <c r="L3" s="421"/>
      <c r="M3" s="421"/>
      <c r="N3" s="421"/>
      <c r="O3" s="421"/>
      <c r="P3" s="421"/>
      <c r="Q3" s="421"/>
      <c r="R3" s="421"/>
      <c r="S3" s="421"/>
      <c r="T3" s="421"/>
    </row>
    <row r="4" spans="1:69">
      <c r="B4" s="421"/>
      <c r="C4" s="421"/>
      <c r="D4" s="421"/>
      <c r="E4" s="421"/>
      <c r="F4" s="421"/>
      <c r="G4" s="421"/>
      <c r="H4" s="421"/>
      <c r="I4" s="421"/>
      <c r="J4" s="421"/>
      <c r="K4" s="421"/>
      <c r="L4" s="421"/>
      <c r="M4" s="421"/>
      <c r="N4" s="421"/>
      <c r="O4" s="421"/>
      <c r="P4" s="421"/>
      <c r="Q4" s="421"/>
      <c r="R4" s="421"/>
      <c r="S4" s="421"/>
      <c r="T4" s="421"/>
    </row>
    <row r="5" spans="1:69">
      <c r="B5" s="421"/>
      <c r="C5" s="421"/>
      <c r="D5" s="421"/>
      <c r="E5" s="421"/>
      <c r="F5" s="421"/>
      <c r="G5" s="421"/>
      <c r="H5" s="421"/>
      <c r="I5" s="421"/>
      <c r="J5" s="421"/>
      <c r="K5" s="421"/>
      <c r="L5" s="421"/>
      <c r="M5" s="421"/>
      <c r="N5" s="421"/>
      <c r="O5" s="421"/>
      <c r="P5" s="421"/>
      <c r="Q5" s="421"/>
      <c r="R5" s="421"/>
      <c r="S5" s="421"/>
      <c r="T5" s="421"/>
    </row>
    <row r="6" spans="1:69">
      <c r="B6" s="421"/>
      <c r="C6" s="421"/>
      <c r="D6" s="421"/>
      <c r="E6" s="421"/>
      <c r="F6" s="421"/>
      <c r="G6" s="421"/>
      <c r="H6" s="421"/>
      <c r="I6" s="421"/>
      <c r="J6" s="421"/>
      <c r="K6" s="421"/>
      <c r="L6" s="421"/>
      <c r="M6" s="421"/>
      <c r="N6" s="421"/>
      <c r="O6" s="421"/>
      <c r="P6" s="421"/>
      <c r="Q6" s="421"/>
      <c r="R6" s="421"/>
      <c r="S6" s="421"/>
      <c r="T6" s="421"/>
    </row>
    <row r="7" spans="1:69">
      <c r="A7" s="406"/>
      <c r="B7" s="406" t="s">
        <v>47</v>
      </c>
      <c r="C7" s="61" t="s">
        <v>52</v>
      </c>
      <c r="D7" s="61"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406" t="s">
        <v>580</v>
      </c>
      <c r="B8" s="406" t="s">
        <v>54</v>
      </c>
      <c r="C8" s="61" t="str">
        <f>[2]MLIST!$B$43</f>
        <v>Computer</v>
      </c>
      <c r="D8" s="6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406" t="str">
        <f>INDEX([2]ACHIEV!$A$19:$B$100,MATCH(CONCATENATE($C$8," - ",$C$7),[2]ACHIEV!$B$19:$B$100,0),1)</f>
        <v>Electronics</v>
      </c>
      <c r="B9" s="407" t="s">
        <v>55</v>
      </c>
      <c r="C9" s="61">
        <f>[2]FILES!$H$4</f>
        <v>2035</v>
      </c>
      <c r="D9" s="6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406"/>
      <c r="B10" s="406" t="s">
        <v>606</v>
      </c>
      <c r="C10" s="420">
        <f ca="1">MIN(SUM(E69:X69),Y69)</f>
        <v>5.8580236209685363</v>
      </c>
      <c r="D10" s="62"/>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3" t="str">
        <f>CONCATENATE("# HOMES AVAILABLE FOR MEASURE -",$C$8)</f>
        <v># HOMES AVAILABLE FOR MEASURE -Computer</v>
      </c>
      <c r="C11" s="9" t="s">
        <v>137</v>
      </c>
      <c r="E11" s="66">
        <v>2016</v>
      </c>
      <c r="F11" s="67">
        <v>2017</v>
      </c>
      <c r="G11" s="67">
        <v>2018</v>
      </c>
      <c r="H11" s="67">
        <v>2019</v>
      </c>
      <c r="I11" s="67">
        <v>2020</v>
      </c>
      <c r="J11" s="67">
        <v>2021</v>
      </c>
      <c r="K11" s="67">
        <v>2022</v>
      </c>
      <c r="L11" s="67">
        <v>2023</v>
      </c>
      <c r="M11" s="67">
        <v>2024</v>
      </c>
      <c r="N11" s="67">
        <v>2025</v>
      </c>
      <c r="O11" s="67">
        <v>2026</v>
      </c>
      <c r="P11" s="67">
        <v>2027</v>
      </c>
      <c r="Q11" s="67">
        <v>2028</v>
      </c>
      <c r="R11" s="67">
        <v>2029</v>
      </c>
      <c r="S11" s="67">
        <v>2030</v>
      </c>
      <c r="T11" s="67">
        <v>2031</v>
      </c>
      <c r="U11" s="67">
        <v>2032</v>
      </c>
      <c r="V11" s="67">
        <v>2033</v>
      </c>
      <c r="W11" s="67">
        <v>2034</v>
      </c>
      <c r="X11" s="67">
        <v>2035</v>
      </c>
      <c r="Y11" s="67"/>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9" t="str">
        <f>CONCATENATE("HOMES_",E11)</f>
        <v>HOMES_2016</v>
      </c>
      <c r="F12" s="70" t="str">
        <f t="shared" ref="F12:X12" si="0">CONCATENATE("HOMES_",F11)</f>
        <v>HOMES_2017</v>
      </c>
      <c r="G12" s="70" t="str">
        <f t="shared" si="0"/>
        <v>HOMES_2018</v>
      </c>
      <c r="H12" s="70" t="str">
        <f t="shared" si="0"/>
        <v>HOMES_2019</v>
      </c>
      <c r="I12" s="70" t="str">
        <f t="shared" si="0"/>
        <v>HOMES_2020</v>
      </c>
      <c r="J12" s="70" t="str">
        <f t="shared" si="0"/>
        <v>HOMES_2021</v>
      </c>
      <c r="K12" s="70" t="str">
        <f t="shared" si="0"/>
        <v>HOMES_2022</v>
      </c>
      <c r="L12" s="70" t="str">
        <f t="shared" si="0"/>
        <v>HOMES_2023</v>
      </c>
      <c r="M12" s="70" t="str">
        <f t="shared" si="0"/>
        <v>HOMES_2024</v>
      </c>
      <c r="N12" s="70" t="str">
        <f t="shared" si="0"/>
        <v>HOMES_2025</v>
      </c>
      <c r="O12" s="70" t="str">
        <f t="shared" si="0"/>
        <v>HOMES_2026</v>
      </c>
      <c r="P12" s="70" t="str">
        <f t="shared" si="0"/>
        <v>HOMES_2027</v>
      </c>
      <c r="Q12" s="70" t="str">
        <f t="shared" si="0"/>
        <v>HOMES_2028</v>
      </c>
      <c r="R12" s="70" t="str">
        <f t="shared" si="0"/>
        <v>HOMES_2029</v>
      </c>
      <c r="S12" s="70" t="str">
        <f t="shared" si="0"/>
        <v>HOMES_2030</v>
      </c>
      <c r="T12" s="70" t="str">
        <f t="shared" si="0"/>
        <v>HOMES_2031</v>
      </c>
      <c r="U12" s="70" t="str">
        <f t="shared" si="0"/>
        <v>HOMES_2032</v>
      </c>
      <c r="V12" s="70" t="str">
        <f t="shared" si="0"/>
        <v>HOMES_2033</v>
      </c>
      <c r="W12" s="70" t="str">
        <f t="shared" si="0"/>
        <v>HOMES_2034</v>
      </c>
      <c r="X12" s="70" t="str">
        <f t="shared" si="0"/>
        <v>HOMES_2035</v>
      </c>
      <c r="Y12" s="71"/>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52</v>
      </c>
      <c r="C13" s="9" t="s">
        <v>48</v>
      </c>
      <c r="E13" s="42">
        <f ca="1">INDEX([1]!tbl_Forecast,MATCH($D$8&amp;$C13&amp;$D$7,[1]!rng_ForecastRowLookup,0),MATCH(E$11,[1]!rng_ForecastColumnLookup,0))</f>
        <v>62685.758999999998</v>
      </c>
      <c r="F13" s="42">
        <f ca="1">INDEX([1]!tbl_Forecast,MATCH($D$8&amp;$C13&amp;$D$7,[1]!rng_ForecastRowLookup,0),MATCH(F$11,[1]!rng_ForecastColumnLookup,0))</f>
        <v>59961.781000000003</v>
      </c>
      <c r="G13" s="42">
        <f ca="1">INDEX([1]!tbl_Forecast,MATCH($D$8&amp;$C13&amp;$D$7,[1]!rng_ForecastRowLookup,0),MATCH(G$11,[1]!rng_ForecastColumnLookup,0))</f>
        <v>56834.012000000002</v>
      </c>
      <c r="H13" s="42">
        <f ca="1">INDEX([1]!tbl_Forecast,MATCH($D$8&amp;$C13&amp;$D$7,[1]!rng_ForecastRowLookup,0),MATCH(H$11,[1]!rng_ForecastColumnLookup,0))</f>
        <v>54985.192999999999</v>
      </c>
      <c r="I13" s="42">
        <f ca="1">INDEX([1]!tbl_Forecast,MATCH($D$8&amp;$C13&amp;$D$7,[1]!rng_ForecastRowLookup,0),MATCH(I$11,[1]!rng_ForecastColumnLookup,0))</f>
        <v>53507.474000000002</v>
      </c>
      <c r="J13" s="42">
        <f ca="1">INDEX([1]!tbl_Forecast,MATCH($D$8&amp;$C13&amp;$D$7,[1]!rng_ForecastRowLookup,0),MATCH(J$11,[1]!rng_ForecastColumnLookup,0))</f>
        <v>50982.05</v>
      </c>
      <c r="K13" s="42">
        <f ca="1">INDEX([1]!tbl_Forecast,MATCH($D$8&amp;$C13&amp;$D$7,[1]!rng_ForecastRowLookup,0),MATCH(K$11,[1]!rng_ForecastColumnLookup,0))</f>
        <v>49561.669000000002</v>
      </c>
      <c r="L13" s="42">
        <f ca="1">INDEX([1]!tbl_Forecast,MATCH($D$8&amp;$C13&amp;$D$7,[1]!rng_ForecastRowLookup,0),MATCH(L$11,[1]!rng_ForecastColumnLookup,0))</f>
        <v>49324.517999999996</v>
      </c>
      <c r="M13" s="42">
        <f ca="1">INDEX([1]!tbl_Forecast,MATCH($D$8&amp;$C13&amp;$D$7,[1]!rng_ForecastRowLookup,0),MATCH(M$11,[1]!rng_ForecastColumnLookup,0))</f>
        <v>48815.77</v>
      </c>
      <c r="N13" s="42">
        <f ca="1">INDEX([1]!tbl_Forecast,MATCH($D$8&amp;$C13&amp;$D$7,[1]!rng_ForecastRowLookup,0),MATCH(N$11,[1]!rng_ForecastColumnLookup,0))</f>
        <v>49683.252</v>
      </c>
      <c r="O13" s="42">
        <f ca="1">INDEX([1]!tbl_Forecast,MATCH($D$8&amp;$C13&amp;$D$7,[1]!rng_ForecastRowLookup,0),MATCH(O$11,[1]!rng_ForecastColumnLookup,0))</f>
        <v>50030.137000000002</v>
      </c>
      <c r="P13" s="42">
        <f ca="1">INDEX([1]!tbl_Forecast,MATCH($D$8&amp;$C13&amp;$D$7,[1]!rng_ForecastRowLookup,0),MATCH(P$11,[1]!rng_ForecastColumnLookup,0))</f>
        <v>49387.762999999999</v>
      </c>
      <c r="Q13" s="42">
        <f ca="1">INDEX([1]!tbl_Forecast,MATCH($D$8&amp;$C13&amp;$D$7,[1]!rng_ForecastRowLookup,0),MATCH(Q$11,[1]!rng_ForecastColumnLookup,0))</f>
        <v>48079.345999999998</v>
      </c>
      <c r="R13" s="42">
        <f ca="1">INDEX([1]!tbl_Forecast,MATCH($D$8&amp;$C13&amp;$D$7,[1]!rng_ForecastRowLookup,0),MATCH(R$11,[1]!rng_ForecastColumnLookup,0))</f>
        <v>48129.050999999999</v>
      </c>
      <c r="S13" s="42">
        <f ca="1">INDEX([1]!tbl_Forecast,MATCH($D$8&amp;$C13&amp;$D$7,[1]!rng_ForecastRowLookup,0),MATCH(S$11,[1]!rng_ForecastColumnLookup,0))</f>
        <v>48690.569000000003</v>
      </c>
      <c r="T13" s="42">
        <f ca="1">INDEX([1]!tbl_Forecast,MATCH($D$8&amp;$C13&amp;$D$7,[1]!rng_ForecastRowLookup,0),MATCH(T$11,[1]!rng_ForecastColumnLookup,0))</f>
        <v>48482.864000000001</v>
      </c>
      <c r="U13" s="42">
        <f ca="1">INDEX([1]!tbl_Forecast,MATCH($D$8&amp;$C13&amp;$D$7,[1]!rng_ForecastRowLookup,0),MATCH(U$11,[1]!rng_ForecastColumnLookup,0))</f>
        <v>46879.000999999997</v>
      </c>
      <c r="V13" s="42">
        <f ca="1">INDEX([1]!tbl_Forecast,MATCH($D$8&amp;$C13&amp;$D$7,[1]!rng_ForecastRowLookup,0),MATCH(V$11,[1]!rng_ForecastColumnLookup,0))</f>
        <v>46798.777999999998</v>
      </c>
      <c r="W13" s="42">
        <f ca="1">INDEX([1]!tbl_Forecast,MATCH($D$8&amp;$C13&amp;$D$7,[1]!rng_ForecastRowLookup,0),MATCH(W$11,[1]!rng_ForecastColumnLookup,0))</f>
        <v>46917.627</v>
      </c>
      <c r="X13" s="42">
        <f ca="1">INDEX([1]!tbl_Forecast,MATCH($D$8&amp;$C13&amp;$D$7,[1]!rng_ForecastRowLookup,0),MATCH(X$11,[1]!rng_ForecastColumnLookup,0))</f>
        <v>47236.144999999997</v>
      </c>
      <c r="Y13" s="42"/>
      <c r="AA13" s="42">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52</v>
      </c>
      <c r="C14" s="9" t="s">
        <v>49</v>
      </c>
      <c r="E14" s="42">
        <f ca="1">INDEX([1]!tbl_Forecast,MATCH($D$8&amp;$C14&amp;$D$7,[1]!rng_ForecastRowLookup,0),MATCH(E$11,[1]!rng_ForecastColumnLookup,0))</f>
        <v>23280.347100904564</v>
      </c>
      <c r="F14" s="42">
        <f ca="1">INDEX([1]!tbl_Forecast,MATCH($D$8&amp;$C14&amp;$D$7,[1]!rng_ForecastRowLookup,0),MATCH(F$11,[1]!rng_ForecastColumnLookup,0))</f>
        <v>23017.418106038647</v>
      </c>
      <c r="G14" s="42">
        <f ca="1">INDEX([1]!tbl_Forecast,MATCH($D$8&amp;$C14&amp;$D$7,[1]!rng_ForecastRowLookup,0),MATCH(G$11,[1]!rng_ForecastColumnLookup,0))</f>
        <v>22811.60852767331</v>
      </c>
      <c r="H14" s="42">
        <f ca="1">INDEX([1]!tbl_Forecast,MATCH($D$8&amp;$C14&amp;$D$7,[1]!rng_ForecastRowLookup,0),MATCH(H$11,[1]!rng_ForecastColumnLookup,0))</f>
        <v>22085.916378202593</v>
      </c>
      <c r="I14" s="42">
        <f ca="1">INDEX([1]!tbl_Forecast,MATCH($D$8&amp;$C14&amp;$D$7,[1]!rng_ForecastRowLookup,0),MATCH(I$11,[1]!rng_ForecastColumnLookup,0))</f>
        <v>20817.853908138593</v>
      </c>
      <c r="J14" s="42">
        <f ca="1">INDEX([1]!tbl_Forecast,MATCH($D$8&amp;$C14&amp;$D$7,[1]!rng_ForecastRowLookup,0),MATCH(J$11,[1]!rng_ForecastColumnLookup,0))</f>
        <v>20070.279329962508</v>
      </c>
      <c r="K14" s="42">
        <f ca="1">INDEX([1]!tbl_Forecast,MATCH($D$8&amp;$C14&amp;$D$7,[1]!rng_ForecastRowLookup,0),MATCH(K$11,[1]!rng_ForecastColumnLookup,0))</f>
        <v>19887.831284331631</v>
      </c>
      <c r="L14" s="42">
        <f ca="1">INDEX([1]!tbl_Forecast,MATCH($D$8&amp;$C14&amp;$D$7,[1]!rng_ForecastRowLookup,0),MATCH(L$11,[1]!rng_ForecastColumnLookup,0))</f>
        <v>20257.583209811291</v>
      </c>
      <c r="M14" s="42">
        <f ca="1">INDEX([1]!tbl_Forecast,MATCH($D$8&amp;$C14&amp;$D$7,[1]!rng_ForecastRowLookup,0),MATCH(M$11,[1]!rng_ForecastColumnLookup,0))</f>
        <v>20750.368029493613</v>
      </c>
      <c r="N14" s="42">
        <f ca="1">INDEX([1]!tbl_Forecast,MATCH($D$8&amp;$C14&amp;$D$7,[1]!rng_ForecastRowLookup,0),MATCH(N$11,[1]!rng_ForecastColumnLookup,0))</f>
        <v>21314.334279744231</v>
      </c>
      <c r="O14" s="42">
        <f ca="1">INDEX([1]!tbl_Forecast,MATCH($D$8&amp;$C14&amp;$D$7,[1]!rng_ForecastRowLookup,0),MATCH(O$11,[1]!rng_ForecastColumnLookup,0))</f>
        <v>21403.286239774712</v>
      </c>
      <c r="P14" s="42">
        <f ca="1">INDEX([1]!tbl_Forecast,MATCH($D$8&amp;$C14&amp;$D$7,[1]!rng_ForecastRowLookup,0),MATCH(P$11,[1]!rng_ForecastColumnLookup,0))</f>
        <v>21409.137516518917</v>
      </c>
      <c r="Q14" s="42">
        <f ca="1">INDEX([1]!tbl_Forecast,MATCH($D$8&amp;$C14&amp;$D$7,[1]!rng_ForecastRowLookup,0),MATCH(Q$11,[1]!rng_ForecastColumnLookup,0))</f>
        <v>21443.358292282628</v>
      </c>
      <c r="R14" s="42">
        <f ca="1">INDEX([1]!tbl_Forecast,MATCH($D$8&amp;$C14&amp;$D$7,[1]!rng_ForecastRowLookup,0),MATCH(R$11,[1]!rng_ForecastColumnLookup,0))</f>
        <v>21209.865626522758</v>
      </c>
      <c r="S14" s="42">
        <f ca="1">INDEX([1]!tbl_Forecast,MATCH($D$8&amp;$C14&amp;$D$7,[1]!rng_ForecastRowLookup,0),MATCH(S$11,[1]!rng_ForecastColumnLookup,0))</f>
        <v>20954.17798283829</v>
      </c>
      <c r="T14" s="42">
        <f ca="1">INDEX([1]!tbl_Forecast,MATCH($D$8&amp;$C14&amp;$D$7,[1]!rng_ForecastRowLookup,0),MATCH(T$11,[1]!rng_ForecastColumnLookup,0))</f>
        <v>20525.44023202754</v>
      </c>
      <c r="U14" s="42">
        <f ca="1">INDEX([1]!tbl_Forecast,MATCH($D$8&amp;$C14&amp;$D$7,[1]!rng_ForecastRowLookup,0),MATCH(U$11,[1]!rng_ForecastColumnLookup,0))</f>
        <v>20175.505597554071</v>
      </c>
      <c r="V14" s="42">
        <f ca="1">INDEX([1]!tbl_Forecast,MATCH($D$8&amp;$C14&amp;$D$7,[1]!rng_ForecastRowLookup,0),MATCH(V$11,[1]!rng_ForecastColumnLookup,0))</f>
        <v>19919.723927484571</v>
      </c>
      <c r="W14" s="42">
        <f ca="1">INDEX([1]!tbl_Forecast,MATCH($D$8&amp;$C14&amp;$D$7,[1]!rng_ForecastRowLookup,0),MATCH(W$11,[1]!rng_ForecastColumnLookup,0))</f>
        <v>19536.194066416414</v>
      </c>
      <c r="X14" s="42">
        <f ca="1">INDEX([1]!tbl_Forecast,MATCH($D$8&amp;$C14&amp;$D$7,[1]!rng_ForecastRowLookup,0),MATCH(X$11,[1]!rng_ForecastColumnLookup,0))</f>
        <v>19462.287131015248</v>
      </c>
      <c r="Y14" s="42"/>
      <c r="AA14" s="42">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52</v>
      </c>
      <c r="C15" s="9" t="s">
        <v>50</v>
      </c>
      <c r="E15" s="42">
        <f ca="1">INDEX([1]!tbl_Forecast,MATCH($D$8&amp;$C15&amp;$D$7,[1]!rng_ForecastRowLookup,0),MATCH(E$11,[1]!rng_ForecastColumnLookup,0))</f>
        <v>5226.2387411561367</v>
      </c>
      <c r="F15" s="42">
        <f ca="1">INDEX([1]!tbl_Forecast,MATCH($D$8&amp;$C15&amp;$D$7,[1]!rng_ForecastRowLookup,0),MATCH(F$11,[1]!rng_ForecastColumnLookup,0))</f>
        <v>5239.95312759432</v>
      </c>
      <c r="G15" s="42">
        <f ca="1">INDEX([1]!tbl_Forecast,MATCH($D$8&amp;$C15&amp;$D$7,[1]!rng_ForecastRowLookup,0),MATCH(G$11,[1]!rng_ForecastColumnLookup,0))</f>
        <v>5271.2612760989568</v>
      </c>
      <c r="H15" s="42">
        <f ca="1">INDEX([1]!tbl_Forecast,MATCH($D$8&amp;$C15&amp;$D$7,[1]!rng_ForecastRowLookup,0),MATCH(H$11,[1]!rng_ForecastColumnLookup,0))</f>
        <v>4985.883552972361</v>
      </c>
      <c r="I15" s="42">
        <f ca="1">INDEX([1]!tbl_Forecast,MATCH($D$8&amp;$C15&amp;$D$7,[1]!rng_ForecastRowLookup,0),MATCH(I$11,[1]!rng_ForecastColumnLookup,0))</f>
        <v>4608.5912035798974</v>
      </c>
      <c r="J15" s="42">
        <f ca="1">INDEX([1]!tbl_Forecast,MATCH($D$8&amp;$C15&amp;$D$7,[1]!rng_ForecastRowLookup,0),MATCH(J$11,[1]!rng_ForecastColumnLookup,0))</f>
        <v>4509.6375960361838</v>
      </c>
      <c r="K15" s="42">
        <f ca="1">INDEX([1]!tbl_Forecast,MATCH($D$8&amp;$C15&amp;$D$7,[1]!rng_ForecastRowLookup,0),MATCH(K$11,[1]!rng_ForecastColumnLookup,0))</f>
        <v>4481.760351096189</v>
      </c>
      <c r="L15" s="42">
        <f ca="1">INDEX([1]!tbl_Forecast,MATCH($D$8&amp;$C15&amp;$D$7,[1]!rng_ForecastRowLookup,0),MATCH(L$11,[1]!rng_ForecastColumnLookup,0))</f>
        <v>4621.8312800578688</v>
      </c>
      <c r="M15" s="42">
        <f ca="1">INDEX([1]!tbl_Forecast,MATCH($D$8&amp;$C15&amp;$D$7,[1]!rng_ForecastRowLookup,0),MATCH(M$11,[1]!rng_ForecastColumnLookup,0))</f>
        <v>4700.9782942419988</v>
      </c>
      <c r="N15" s="42">
        <f ca="1">INDEX([1]!tbl_Forecast,MATCH($D$8&amp;$C15&amp;$D$7,[1]!rng_ForecastRowLookup,0),MATCH(N$11,[1]!rng_ForecastColumnLookup,0))</f>
        <v>4828.2391631488581</v>
      </c>
      <c r="O15" s="42">
        <f ca="1">INDEX([1]!tbl_Forecast,MATCH($D$8&amp;$C15&amp;$D$7,[1]!rng_ForecastRowLookup,0),MATCH(O$11,[1]!rng_ForecastColumnLookup,0))</f>
        <v>4790.0249139778334</v>
      </c>
      <c r="P15" s="42">
        <f ca="1">INDEX([1]!tbl_Forecast,MATCH($D$8&amp;$C15&amp;$D$7,[1]!rng_ForecastRowLookup,0),MATCH(P$11,[1]!rng_ForecastColumnLookup,0))</f>
        <v>4782.0649962402858</v>
      </c>
      <c r="Q15" s="42">
        <f ca="1">INDEX([1]!tbl_Forecast,MATCH($D$8&amp;$C15&amp;$D$7,[1]!rng_ForecastRowLookup,0),MATCH(Q$11,[1]!rng_ForecastColumnLookup,0))</f>
        <v>4748.3908346265653</v>
      </c>
      <c r="R15" s="42">
        <f ca="1">INDEX([1]!tbl_Forecast,MATCH($D$8&amp;$C15&amp;$D$7,[1]!rng_ForecastRowLookup,0),MATCH(R$11,[1]!rng_ForecastColumnLookup,0))</f>
        <v>4733.4823682495089</v>
      </c>
      <c r="S15" s="42">
        <f ca="1">INDEX([1]!tbl_Forecast,MATCH($D$8&amp;$C15&amp;$D$7,[1]!rng_ForecastRowLookup,0),MATCH(S$11,[1]!rng_ForecastColumnLookup,0))</f>
        <v>4698.697177079107</v>
      </c>
      <c r="T15" s="42">
        <f ca="1">INDEX([1]!tbl_Forecast,MATCH($D$8&amp;$C15&amp;$D$7,[1]!rng_ForecastRowLookup,0),MATCH(T$11,[1]!rng_ForecastColumnLookup,0))</f>
        <v>4599.2987885998937</v>
      </c>
      <c r="U15" s="42">
        <f ca="1">INDEX([1]!tbl_Forecast,MATCH($D$8&amp;$C15&amp;$D$7,[1]!rng_ForecastRowLookup,0),MATCH(U$11,[1]!rng_ForecastColumnLookup,0))</f>
        <v>4526.3104216428001</v>
      </c>
      <c r="V15" s="42">
        <f ca="1">INDEX([1]!tbl_Forecast,MATCH($D$8&amp;$C15&amp;$D$7,[1]!rng_ForecastRowLookup,0),MATCH(V$11,[1]!rng_ForecastColumnLookup,0))</f>
        <v>4422.0600452822764</v>
      </c>
      <c r="W15" s="42">
        <f ca="1">INDEX([1]!tbl_Forecast,MATCH($D$8&amp;$C15&amp;$D$7,[1]!rng_ForecastRowLookup,0),MATCH(W$11,[1]!rng_ForecastColumnLookup,0))</f>
        <v>4405.182362066379</v>
      </c>
      <c r="X15" s="42">
        <f ca="1">INDEX([1]!tbl_Forecast,MATCH($D$8&amp;$C15&amp;$D$7,[1]!rng_ForecastRowLookup,0),MATCH(X$11,[1]!rng_ForecastColumnLookup,0))</f>
        <v>4385.1136986120664</v>
      </c>
      <c r="Y15" s="42"/>
      <c r="AA15" s="42">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52</v>
      </c>
      <c r="C16" s="9" t="s">
        <v>51</v>
      </c>
      <c r="E16" s="42">
        <f ca="1">INDEX([1]!tbl_Forecast,MATCH($D$8&amp;$C16&amp;$D$7,[1]!rng_ForecastRowLookup,0),MATCH(E$11,[1]!rng_ForecastColumnLookup,0))</f>
        <v>1869.5754050925925</v>
      </c>
      <c r="F16" s="42">
        <f ca="1">INDEX([1]!tbl_Forecast,MATCH($D$8&amp;$C16&amp;$D$7,[1]!rng_ForecastRowLookup,0),MATCH(F$11,[1]!rng_ForecastColumnLookup,0))</f>
        <v>1881.796305941358</v>
      </c>
      <c r="G16" s="42">
        <f ca="1">INDEX([1]!tbl_Forecast,MATCH($D$8&amp;$C16&amp;$D$7,[1]!rng_ForecastRowLookup,0),MATCH(G$11,[1]!rng_ForecastColumnLookup,0))</f>
        <v>1949.1340235982509</v>
      </c>
      <c r="H16" s="42">
        <f ca="1">INDEX([1]!tbl_Forecast,MATCH($D$8&amp;$C16&amp;$D$7,[1]!rng_ForecastRowLookup,0),MATCH(H$11,[1]!rng_ForecastColumnLookup,0))</f>
        <v>2021.1963608646258</v>
      </c>
      <c r="I16" s="42">
        <f ca="1">INDEX([1]!tbl_Forecast,MATCH($D$8&amp;$C16&amp;$D$7,[1]!rng_ForecastRowLookup,0),MATCH(I$11,[1]!rng_ForecastColumnLookup,0))</f>
        <v>1959.5061710087307</v>
      </c>
      <c r="J16" s="42">
        <f ca="1">INDEX([1]!tbl_Forecast,MATCH($D$8&amp;$C16&amp;$D$7,[1]!rng_ForecastRowLookup,0),MATCH(J$11,[1]!rng_ForecastColumnLookup,0))</f>
        <v>1928.5764356212967</v>
      </c>
      <c r="K16" s="42">
        <f ca="1">INDEX([1]!tbl_Forecast,MATCH($D$8&amp;$C16&amp;$D$7,[1]!rng_ForecastRowLookup,0),MATCH(K$11,[1]!rng_ForecastColumnLookup,0))</f>
        <v>1934.9641170211423</v>
      </c>
      <c r="L16" s="42">
        <f ca="1">INDEX([1]!tbl_Forecast,MATCH($D$8&amp;$C16&amp;$D$7,[1]!rng_ForecastRowLookup,0),MATCH(L$11,[1]!rng_ForecastColumnLookup,0))</f>
        <v>1945.862235675901</v>
      </c>
      <c r="M16" s="42">
        <f ca="1">INDEX([1]!tbl_Forecast,MATCH($D$8&amp;$C16&amp;$D$7,[1]!rng_ForecastRowLookup,0),MATCH(M$11,[1]!rng_ForecastColumnLookup,0))</f>
        <v>1956.539890631658</v>
      </c>
      <c r="N16" s="42">
        <f ca="1">INDEX([1]!tbl_Forecast,MATCH($D$8&amp;$C16&amp;$D$7,[1]!rng_ForecastRowLookup,0),MATCH(N$11,[1]!rng_ForecastColumnLookup,0))</f>
        <v>1957.7742018038925</v>
      </c>
      <c r="O16" s="42">
        <f ca="1">INDEX([1]!tbl_Forecast,MATCH($D$8&amp;$C16&amp;$D$7,[1]!rng_ForecastRowLookup,0),MATCH(O$11,[1]!rng_ForecastColumnLookup,0))</f>
        <v>1947.2038419604366</v>
      </c>
      <c r="P16" s="42">
        <f ca="1">INDEX([1]!tbl_Forecast,MATCH($D$8&amp;$C16&amp;$D$7,[1]!rng_ForecastRowLookup,0),MATCH(P$11,[1]!rng_ForecastColumnLookup,0))</f>
        <v>1945.153453785721</v>
      </c>
      <c r="Q16" s="42">
        <f ca="1">INDEX([1]!tbl_Forecast,MATCH($D$8&amp;$C16&amp;$D$7,[1]!rng_ForecastRowLookup,0),MATCH(Q$11,[1]!rng_ForecastColumnLookup,0))</f>
        <v>1947.9162901464586</v>
      </c>
      <c r="R16" s="42">
        <f ca="1">INDEX([1]!tbl_Forecast,MATCH($D$8&amp;$C16&amp;$D$7,[1]!rng_ForecastRowLookup,0),MATCH(R$11,[1]!rng_ForecastColumnLookup,0))</f>
        <v>1950.0749856673444</v>
      </c>
      <c r="S16" s="42">
        <f ca="1">INDEX([1]!tbl_Forecast,MATCH($D$8&amp;$C16&amp;$D$7,[1]!rng_ForecastRowLookup,0),MATCH(S$11,[1]!rng_ForecastColumnLookup,0))</f>
        <v>1950.7771106659191</v>
      </c>
      <c r="T16" s="42">
        <f ca="1">INDEX([1]!tbl_Forecast,MATCH($D$8&amp;$C16&amp;$D$7,[1]!rng_ForecastRowLookup,0),MATCH(T$11,[1]!rng_ForecastColumnLookup,0))</f>
        <v>1949.8166473382953</v>
      </c>
      <c r="U16" s="42">
        <f ca="1">INDEX([1]!tbl_Forecast,MATCH($D$8&amp;$C16&amp;$D$7,[1]!rng_ForecastRowLookup,0),MATCH(U$11,[1]!rng_ForecastColumnLookup,0))</f>
        <v>1948.4903882606959</v>
      </c>
      <c r="V16" s="42">
        <f ca="1">INDEX([1]!tbl_Forecast,MATCH($D$8&amp;$C16&amp;$D$7,[1]!rng_ForecastRowLookup,0),MATCH(V$11,[1]!rng_ForecastColumnLookup,0))</f>
        <v>1948.7048126440727</v>
      </c>
      <c r="W16" s="42">
        <f ca="1">INDEX([1]!tbl_Forecast,MATCH($D$8&amp;$C16&amp;$D$7,[1]!rng_ForecastRowLookup,0),MATCH(W$11,[1]!rng_ForecastColumnLookup,0))</f>
        <v>1949.296705787131</v>
      </c>
      <c r="X16" s="42">
        <f ca="1">INDEX([1]!tbl_Forecast,MATCH($D$8&amp;$C16&amp;$D$7,[1]!rng_ForecastRowLookup,0),MATCH(X$11,[1]!rng_ForecastColumnLookup,0))</f>
        <v>1949.5267750605763</v>
      </c>
      <c r="Y16" s="42"/>
      <c r="AA16" s="42">
        <f t="shared" ca="1" si="1"/>
        <v>38891.88615857609</v>
      </c>
    </row>
    <row r="17" spans="1:27">
      <c r="E17" s="42"/>
      <c r="F17" s="42"/>
      <c r="G17" s="42"/>
      <c r="H17" s="42"/>
      <c r="I17" s="42"/>
      <c r="J17" s="42"/>
      <c r="K17" s="42"/>
      <c r="L17" s="42"/>
      <c r="M17" s="42"/>
      <c r="N17" s="42"/>
      <c r="O17" s="42"/>
      <c r="P17" s="42"/>
      <c r="Q17" s="42"/>
      <c r="R17" s="42"/>
      <c r="S17" s="42"/>
      <c r="T17" s="42"/>
      <c r="U17" s="42"/>
      <c r="V17" s="42"/>
      <c r="W17" s="42"/>
      <c r="X17" s="42"/>
      <c r="Y17" s="42"/>
    </row>
    <row r="18" spans="1:27">
      <c r="B18" s="9" t="s">
        <v>138</v>
      </c>
      <c r="C18" s="9" t="s">
        <v>57</v>
      </c>
      <c r="E18" s="42">
        <f ca="1">SUM(E13:E16)</f>
        <v>93061.920247153292</v>
      </c>
      <c r="F18" s="42">
        <f t="shared" ref="F18:X18" ca="1" si="2">SUM(F13:F16)</f>
        <v>90100.948539574325</v>
      </c>
      <c r="G18" s="42">
        <f t="shared" ca="1" si="2"/>
        <v>86866.015827370516</v>
      </c>
      <c r="H18" s="42">
        <f t="shared" ca="1" si="2"/>
        <v>84078.189292039577</v>
      </c>
      <c r="I18" s="42">
        <f t="shared" ca="1" si="2"/>
        <v>80893.425282727228</v>
      </c>
      <c r="J18" s="42">
        <f t="shared" ca="1" si="2"/>
        <v>77490.543361619988</v>
      </c>
      <c r="K18" s="42">
        <f t="shared" ca="1" si="2"/>
        <v>75866.224752448965</v>
      </c>
      <c r="L18" s="42">
        <f t="shared" ca="1" si="2"/>
        <v>76149.794725545056</v>
      </c>
      <c r="M18" s="42">
        <f t="shared" ca="1" si="2"/>
        <v>76223.656214367264</v>
      </c>
      <c r="N18" s="42">
        <f t="shared" ca="1" si="2"/>
        <v>77783.59964469698</v>
      </c>
      <c r="O18" s="42">
        <f t="shared" ca="1" si="2"/>
        <v>78170.651995712979</v>
      </c>
      <c r="P18" s="42">
        <f t="shared" ca="1" si="2"/>
        <v>77524.11896654492</v>
      </c>
      <c r="Q18" s="42">
        <f t="shared" ca="1" si="2"/>
        <v>76219.011417055648</v>
      </c>
      <c r="R18" s="42">
        <f t="shared" ca="1" si="2"/>
        <v>76022.473980439609</v>
      </c>
      <c r="S18" s="42">
        <f t="shared" ca="1" si="2"/>
        <v>76294.221270583323</v>
      </c>
      <c r="T18" s="42">
        <f t="shared" ca="1" si="2"/>
        <v>75557.419667965733</v>
      </c>
      <c r="U18" s="42">
        <f t="shared" ca="1" si="2"/>
        <v>73529.307407457556</v>
      </c>
      <c r="V18" s="42">
        <f t="shared" ca="1" si="2"/>
        <v>73089.266785410931</v>
      </c>
      <c r="W18" s="42">
        <f t="shared" ca="1" si="2"/>
        <v>72808.300134269928</v>
      </c>
      <c r="X18" s="42">
        <f t="shared" ca="1" si="2"/>
        <v>73033.072604687884</v>
      </c>
      <c r="Y18" s="42"/>
      <c r="AA18" s="42">
        <f ca="1">SUM(E18:Y18)</f>
        <v>1570762.1621176719</v>
      </c>
    </row>
    <row r="19" spans="1:27">
      <c r="E19" s="42"/>
      <c r="F19" s="42"/>
      <c r="G19" s="42"/>
      <c r="H19" s="42"/>
      <c r="I19" s="42"/>
      <c r="J19" s="42"/>
      <c r="K19" s="42"/>
      <c r="L19" s="42"/>
      <c r="M19" s="42"/>
      <c r="N19" s="42"/>
      <c r="O19" s="42"/>
      <c r="P19" s="42"/>
      <c r="Q19" s="42"/>
      <c r="R19" s="42"/>
      <c r="S19" s="42"/>
      <c r="T19" s="42"/>
      <c r="U19" s="42"/>
      <c r="V19" s="42"/>
      <c r="W19" s="42"/>
      <c r="X19" s="42"/>
      <c r="Y19" s="42"/>
    </row>
    <row r="20" spans="1:27">
      <c r="E20" s="42"/>
      <c r="F20" s="42"/>
      <c r="G20" s="42"/>
      <c r="H20" s="42"/>
      <c r="I20" s="42"/>
      <c r="J20" s="42"/>
      <c r="K20" s="42"/>
      <c r="L20" s="42"/>
      <c r="M20" s="42"/>
      <c r="N20" s="42"/>
      <c r="O20" s="42"/>
      <c r="P20" s="42"/>
      <c r="Q20" s="42"/>
      <c r="R20" s="42"/>
      <c r="S20" s="42"/>
      <c r="T20" s="42"/>
      <c r="U20" s="42"/>
      <c r="V20" s="42"/>
      <c r="W20" s="42"/>
      <c r="X20" s="42"/>
      <c r="Y20" s="42"/>
    </row>
    <row r="21" spans="1:27" ht="15">
      <c r="A21" s="63" t="str">
        <f>CONCATENATE("# HOMES APPLICABLE BY YEAR FOR MEASURE - ",C22)</f>
        <v># HOMES APPLICABLE BY YEAR FOR MEASURE - Computer - New</v>
      </c>
      <c r="E21" s="42"/>
      <c r="F21" s="42"/>
      <c r="G21" s="42"/>
      <c r="H21" s="42"/>
      <c r="I21" s="42"/>
      <c r="J21" s="42"/>
      <c r="K21" s="42"/>
      <c r="L21" s="42"/>
      <c r="M21" s="42"/>
      <c r="N21" s="42"/>
      <c r="O21" s="42"/>
      <c r="P21" s="42"/>
      <c r="Q21" s="42"/>
      <c r="R21" s="42"/>
      <c r="S21" s="42"/>
      <c r="T21" s="42"/>
      <c r="U21" s="42"/>
      <c r="V21" s="42"/>
      <c r="W21" s="42"/>
      <c r="X21" s="42"/>
      <c r="Y21" s="42"/>
    </row>
    <row r="22" spans="1:27" ht="15">
      <c r="A22" s="72" t="s">
        <v>58</v>
      </c>
      <c r="B22" s="72" t="s">
        <v>342</v>
      </c>
      <c r="C22" s="72" t="str">
        <f>CONCATENATE(C8," - ",C7)</f>
        <v>Computer - New</v>
      </c>
      <c r="D22" s="72"/>
      <c r="E22" s="9">
        <v>3</v>
      </c>
      <c r="F22" s="9">
        <v>4</v>
      </c>
      <c r="G22" s="9">
        <v>5</v>
      </c>
      <c r="H22" s="30">
        <v>6</v>
      </c>
      <c r="I22" s="9">
        <v>7</v>
      </c>
      <c r="J22" s="9">
        <v>8</v>
      </c>
      <c r="K22" s="9">
        <v>9</v>
      </c>
      <c r="L22" s="30">
        <v>10</v>
      </c>
      <c r="M22" s="9">
        <v>11</v>
      </c>
      <c r="N22" s="9">
        <v>12</v>
      </c>
      <c r="O22" s="9">
        <v>13</v>
      </c>
      <c r="P22" s="30">
        <v>14</v>
      </c>
      <c r="Q22" s="9">
        <v>15</v>
      </c>
      <c r="R22" s="9">
        <v>16</v>
      </c>
      <c r="S22" s="9">
        <v>17</v>
      </c>
      <c r="T22" s="30">
        <v>18</v>
      </c>
      <c r="U22" s="9">
        <v>19</v>
      </c>
      <c r="V22" s="9">
        <v>20</v>
      </c>
      <c r="W22" s="9">
        <v>21</v>
      </c>
      <c r="X22" s="30">
        <v>22</v>
      </c>
    </row>
    <row r="23" spans="1:27">
      <c r="A23" s="64"/>
      <c r="B23" s="78"/>
      <c r="E23" s="42"/>
      <c r="F23" s="42"/>
      <c r="G23" s="42"/>
      <c r="H23" s="42"/>
      <c r="I23" s="42"/>
      <c r="J23" s="42"/>
      <c r="K23" s="42"/>
      <c r="L23" s="42"/>
      <c r="M23" s="42"/>
      <c r="N23" s="42"/>
      <c r="O23" s="42"/>
      <c r="P23" s="42"/>
      <c r="Q23" s="42"/>
      <c r="R23" s="42"/>
      <c r="S23" s="42"/>
      <c r="T23" s="42"/>
      <c r="U23" s="42"/>
      <c r="V23" s="42"/>
      <c r="W23" s="42"/>
      <c r="X23" s="42"/>
      <c r="Y23" s="42"/>
      <c r="AA23" s="42"/>
    </row>
    <row r="24" spans="1:27">
      <c r="A24" s="64"/>
      <c r="B24" s="78"/>
      <c r="E24" s="42"/>
      <c r="F24" s="42"/>
      <c r="G24" s="42"/>
      <c r="H24" s="42"/>
      <c r="I24" s="42"/>
      <c r="J24" s="42"/>
      <c r="K24" s="42"/>
      <c r="L24" s="42"/>
      <c r="M24" s="42"/>
      <c r="N24" s="42"/>
      <c r="O24" s="42"/>
      <c r="P24" s="42"/>
      <c r="Q24" s="42"/>
      <c r="R24" s="42"/>
      <c r="S24" s="42"/>
      <c r="T24" s="42"/>
      <c r="U24" s="42"/>
      <c r="V24" s="42"/>
      <c r="W24" s="42"/>
      <c r="X24" s="42"/>
      <c r="Y24" s="42"/>
      <c r="AA24" s="42"/>
    </row>
    <row r="25" spans="1:27">
      <c r="A25" s="64"/>
      <c r="B25" s="78"/>
      <c r="E25" s="42"/>
      <c r="F25" s="42"/>
      <c r="G25" s="42"/>
      <c r="H25" s="42"/>
      <c r="I25" s="42"/>
      <c r="J25" s="42"/>
      <c r="K25" s="42"/>
      <c r="L25" s="42"/>
      <c r="M25" s="42"/>
      <c r="N25" s="42"/>
      <c r="O25" s="42"/>
      <c r="P25" s="42"/>
      <c r="Q25" s="42"/>
      <c r="R25" s="42"/>
      <c r="S25" s="42"/>
      <c r="T25" s="42"/>
      <c r="U25" s="42"/>
      <c r="V25" s="42"/>
      <c r="W25" s="42"/>
      <c r="X25" s="42"/>
      <c r="Y25" s="42"/>
      <c r="AA25" s="42"/>
    </row>
    <row r="26" spans="1:27">
      <c r="A26" s="64"/>
      <c r="B26" s="78"/>
      <c r="C26"/>
      <c r="E26" s="42"/>
      <c r="F26" s="42"/>
      <c r="G26" s="42"/>
      <c r="H26" s="42"/>
      <c r="I26" s="42"/>
      <c r="J26" s="42"/>
      <c r="K26" s="42"/>
      <c r="L26" s="42"/>
      <c r="M26" s="42"/>
      <c r="N26" s="42"/>
      <c r="O26" s="42"/>
      <c r="P26" s="42"/>
      <c r="Q26" s="42"/>
      <c r="R26" s="42"/>
      <c r="S26" s="42"/>
      <c r="T26" s="42"/>
      <c r="U26" s="42"/>
      <c r="V26" s="42"/>
      <c r="W26" s="42"/>
      <c r="X26" s="42"/>
      <c r="Y26" s="42"/>
      <c r="AA26" s="42"/>
    </row>
    <row r="27" spans="1:27">
      <c r="A27" s="64">
        <f>INDEX([2]!ResApplic,MATCH($D27&amp;" - "&amp;$C$7,[2]APPLIC!$B$9:$B$120,0)+1,MATCH($C27,[2]APPLIC!$C$8:$F$8,0)+1)</f>
        <v>0.75</v>
      </c>
      <c r="B27" s="78">
        <f>VLOOKUP($D27,'Units per home'!$A$18:$E$20,MATCH($C27,'Units per home'!$B$17:$E$17,0)+1,FALSE)</f>
        <v>0.96428380745963449</v>
      </c>
      <c r="C27" s="9" t="str">
        <f>C13</f>
        <v>Single Family</v>
      </c>
      <c r="D27" s="9" t="s">
        <v>157</v>
      </c>
      <c r="E27" s="42">
        <f ca="1">$A27*$B27*VLOOKUP($C27,$C$13:$Y$16,E$22,FALSE)*VLOOKUP($D27,'Units per home'!$A$32:$U$34,'SC-New'!E$22-1,FALSE)</f>
        <v>44673.832723349675</v>
      </c>
      <c r="F27" s="42">
        <f ca="1">$A27*$B27*VLOOKUP($C27,$C$13:$Y$16,F$22,FALSE)*VLOOKUP($D27,'Units per home'!$A$32:$U$34,'SC-New'!F$22-1,FALSE)</f>
        <v>42321.803568563912</v>
      </c>
      <c r="G27" s="42">
        <f ca="1">$A27*$B27*VLOOKUP($C27,$C$13:$Y$16,G$22,FALSE)*VLOOKUP($D27,'Units per home'!$A$32:$U$34,'SC-New'!G$22-1,FALSE)</f>
        <v>39724.859132454607</v>
      </c>
      <c r="H27" s="42">
        <f ca="1">$A27*$B27*VLOOKUP($C27,$C$13:$Y$16,H$22,FALSE)*VLOOKUP($D27,'Units per home'!$A$32:$U$34,'SC-New'!H$22-1,FALSE)</f>
        <v>38055.943779514026</v>
      </c>
      <c r="I27" s="42">
        <f ca="1">$A27*$B27*VLOOKUP($C27,$C$13:$Y$16,I$22,FALSE)*VLOOKUP($D27,'Units per home'!$A$32:$U$34,'SC-New'!I$22-1,FALSE)</f>
        <v>36666.658862356999</v>
      </c>
      <c r="J27" s="42">
        <f ca="1">$A27*$B27*VLOOKUP($C27,$C$13:$Y$16,J$22,FALSE)*VLOOKUP($D27,'Units per home'!$A$32:$U$34,'SC-New'!J$22-1,FALSE)</f>
        <v>34621.227146150944</v>
      </c>
      <c r="K27" s="42">
        <f ca="1">$A27*$B27*VLOOKUP($C27,$C$13:$Y$16,K$22,FALSE)*VLOOKUP($D27,'Units per home'!$A$32:$U$34,'SC-New'!K$22-1,FALSE)</f>
        <v>33350.583730127706</v>
      </c>
      <c r="L27" s="42">
        <f ca="1">$A27*$B27*VLOOKUP($C27,$C$13:$Y$16,L$22,FALSE)*VLOOKUP($D27,'Units per home'!$A$32:$U$34,'SC-New'!L$22-1,FALSE)</f>
        <v>32886.385137670542</v>
      </c>
      <c r="M27" s="42">
        <f ca="1">$A27*$B27*VLOOKUP($C27,$C$13:$Y$16,M$22,FALSE)*VLOOKUP($D27,'Units per home'!$A$32:$U$34,'SC-New'!M$22-1,FALSE)</f>
        <v>32245.709809210832</v>
      </c>
      <c r="N27" s="42">
        <f ca="1">$A27*$B27*VLOOKUP($C27,$C$13:$Y$16,N$22,FALSE)*VLOOKUP($D27,'Units per home'!$A$32:$U$34,'SC-New'!N$22-1,FALSE)</f>
        <v>32511.900516154328</v>
      </c>
      <c r="O27" s="42">
        <f ca="1">$A27*$B27*VLOOKUP($C27,$C$13:$Y$16,O$22,FALSE)*VLOOKUP($D27,'Units per home'!$A$32:$U$34,'SC-New'!O$22-1,FALSE)</f>
        <v>32429.92147710135</v>
      </c>
      <c r="P27" s="42">
        <f ca="1">$A27*$B27*VLOOKUP($C27,$C$13:$Y$16,P$22,FALSE)*VLOOKUP($D27,'Units per home'!$A$32:$U$34,'SC-New'!P$22-1,FALSE)</f>
        <v>31708.521981976097</v>
      </c>
      <c r="Q27" s="42">
        <f ca="1">$A27*$B27*VLOOKUP($C27,$C$13:$Y$16,Q$22,FALSE)*VLOOKUP($D27,'Units per home'!$A$32:$U$34,'SC-New'!Q$22-1,FALSE)</f>
        <v>30571.54924407299</v>
      </c>
      <c r="R27" s="42">
        <f ca="1">$A27*$B27*VLOOKUP($C27,$C$13:$Y$16,R$22,FALSE)*VLOOKUP($D27,'Units per home'!$A$32:$U$34,'SC-New'!R$22-1,FALSE)</f>
        <v>30305.920293808063</v>
      </c>
      <c r="S27" s="42">
        <f ca="1">$A27*$B27*VLOOKUP($C27,$C$13:$Y$16,S$22,FALSE)*VLOOKUP($D27,'Units per home'!$A$32:$U$34,'SC-New'!S$22-1,FALSE)</f>
        <v>30358.795184708073</v>
      </c>
      <c r="T27" s="42">
        <f ca="1">$A27*$B27*VLOOKUP($C27,$C$13:$Y$16,T$22,FALSE)*VLOOKUP($D27,'Units per home'!$A$32:$U$34,'SC-New'!T$22-1,FALSE)</f>
        <v>29864.257146395132</v>
      </c>
      <c r="U27" s="42">
        <f ca="1">$A27*$B27*VLOOKUP($C27,$C$13:$Y$16,U$22,FALSE)*VLOOKUP($D27,'Units per home'!$A$32:$U$34,'SC-New'!U$22-1,FALSE)</f>
        <v>28523.359466240261</v>
      </c>
      <c r="V27" s="42">
        <f ca="1">$A27*$B27*VLOOKUP($C27,$C$13:$Y$16,V$22,FALSE)*VLOOKUP($D27,'Units per home'!$A$32:$U$34,'SC-New'!V$22-1,FALSE)</f>
        <v>28122.19473677771</v>
      </c>
      <c r="W27" s="42">
        <f ca="1">$A27*$B27*VLOOKUP($C27,$C$13:$Y$16,W$22,FALSE)*VLOOKUP($D27,'Units per home'!$A$32:$U$34,'SC-New'!W$22-1,FALSE)</f>
        <v>27840.364994027186</v>
      </c>
      <c r="X27" s="42">
        <f ca="1">$A27*$B27*VLOOKUP($C27,$C$13:$Y$16,X$22,FALSE)*VLOOKUP($D27,'Units per home'!$A$32:$U$34,'SC-New'!X$22-1,FALSE)</f>
        <v>28029.369808298095</v>
      </c>
      <c r="Y27" s="42"/>
      <c r="AA27" s="42">
        <f t="shared" ref="AA27:AA30" ca="1" si="3">SUM(E27:Y27)</f>
        <v>664813.15873895853</v>
      </c>
    </row>
    <row r="28" spans="1:27">
      <c r="A28" s="64">
        <f>INDEX([2]!ResApplic,MATCH($D28&amp;" - "&amp;$C$7,[2]APPLIC!$B$9:$B$120,0)+1,MATCH($C28,[2]APPLIC!$C$8:$F$8,0)+1)</f>
        <v>0.75</v>
      </c>
      <c r="B28" s="78">
        <f>VLOOKUP($D28,'Units per home'!$A$18:$E$20,MATCH($C28,'Units per home'!$B$17:$E$17,0)+1,FALSE)</f>
        <v>0.44414870578030757</v>
      </c>
      <c r="C28" s="9" t="str">
        <f t="shared" ref="C28:C30" si="4">C14</f>
        <v>Multifamily - Low Rise</v>
      </c>
      <c r="D28" s="9" t="s">
        <v>157</v>
      </c>
      <c r="E28" s="42">
        <f ca="1">$A28*$B28*VLOOKUP($C28,$C$13:$Y$16,E$22,FALSE)*VLOOKUP($D28,'Units per home'!$A$32:$U$34,'SC-New'!E$22-1,FALSE)</f>
        <v>7641.8287855951585</v>
      </c>
      <c r="F28" s="42">
        <f ca="1">$A28*$B28*VLOOKUP($C28,$C$13:$Y$16,F$22,FALSE)*VLOOKUP($D28,'Units per home'!$A$32:$U$34,'SC-New'!F$22-1,FALSE)</f>
        <v>7482.8971634833215</v>
      </c>
      <c r="G28" s="42">
        <f ca="1">$A28*$B28*VLOOKUP($C28,$C$13:$Y$16,G$22,FALSE)*VLOOKUP($D28,'Units per home'!$A$32:$U$34,'SC-New'!G$22-1,FALSE)</f>
        <v>7344.0138652215383</v>
      </c>
      <c r="H28" s="42">
        <f ca="1">$A28*$B28*VLOOKUP($C28,$C$13:$Y$16,H$22,FALSE)*VLOOKUP($D28,'Units per home'!$A$32:$U$34,'SC-New'!H$22-1,FALSE)</f>
        <v>7040.6976295631375</v>
      </c>
      <c r="I28" s="42">
        <f ca="1">$A28*$B28*VLOOKUP($C28,$C$13:$Y$16,I$22,FALSE)*VLOOKUP($D28,'Units per home'!$A$32:$U$34,'SC-New'!I$22-1,FALSE)</f>
        <v>6570.7716137868001</v>
      </c>
      <c r="J28" s="42">
        <f ca="1">$A28*$B28*VLOOKUP($C28,$C$13:$Y$16,J$22,FALSE)*VLOOKUP($D28,'Units per home'!$A$32:$U$34,'SC-New'!J$22-1,FALSE)</f>
        <v>6277.722388579672</v>
      </c>
      <c r="K28" s="42">
        <f ca="1">$A28*$B28*VLOOKUP($C28,$C$13:$Y$16,K$22,FALSE)*VLOOKUP($D28,'Units per home'!$A$32:$U$34,'SC-New'!K$22-1,FALSE)</f>
        <v>6164.0828985057969</v>
      </c>
      <c r="L28" s="42">
        <f ca="1">$A28*$B28*VLOOKUP($C28,$C$13:$Y$16,L$22,FALSE)*VLOOKUP($D28,'Units per home'!$A$32:$U$34,'SC-New'!L$22-1,FALSE)</f>
        <v>6221.0608163103707</v>
      </c>
      <c r="M28" s="42">
        <f ca="1">$A28*$B28*VLOOKUP($C28,$C$13:$Y$16,M$22,FALSE)*VLOOKUP($D28,'Units per home'!$A$32:$U$34,'SC-New'!M$22-1,FALSE)</f>
        <v>6313.3683379911399</v>
      </c>
      <c r="N28" s="42">
        <f ca="1">$A28*$B28*VLOOKUP($C28,$C$13:$Y$16,N$22,FALSE)*VLOOKUP($D28,'Units per home'!$A$32:$U$34,'SC-New'!N$22-1,FALSE)</f>
        <v>6424.3270551536471</v>
      </c>
      <c r="O28" s="42">
        <f ca="1">$A28*$B28*VLOOKUP($C28,$C$13:$Y$16,O$22,FALSE)*VLOOKUP($D28,'Units per home'!$A$32:$U$34,'SC-New'!O$22-1,FALSE)</f>
        <v>6390.2550398326912</v>
      </c>
      <c r="P28" s="42">
        <f ca="1">$A28*$B28*VLOOKUP($C28,$C$13:$Y$16,P$22,FALSE)*VLOOKUP($D28,'Units per home'!$A$32:$U$34,'SC-New'!P$22-1,FALSE)</f>
        <v>6331.1024620410954</v>
      </c>
      <c r="Q28" s="42">
        <f ca="1">$A28*$B28*VLOOKUP($C28,$C$13:$Y$16,Q$22,FALSE)*VLOOKUP($D28,'Units per home'!$A$32:$U$34,'SC-New'!Q$22-1,FALSE)</f>
        <v>6280.2253149904363</v>
      </c>
      <c r="R28" s="42">
        <f ca="1">$A28*$B28*VLOOKUP($C28,$C$13:$Y$16,R$22,FALSE)*VLOOKUP($D28,'Units per home'!$A$32:$U$34,'SC-New'!R$22-1,FALSE)</f>
        <v>6151.5084125335552</v>
      </c>
      <c r="S28" s="42">
        <f ca="1">$A28*$B28*VLOOKUP($C28,$C$13:$Y$16,S$22,FALSE)*VLOOKUP($D28,'Units per home'!$A$32:$U$34,'SC-New'!S$22-1,FALSE)</f>
        <v>6017.7457913898334</v>
      </c>
      <c r="T28" s="42">
        <f ca="1">$A28*$B28*VLOOKUP($C28,$C$13:$Y$16,T$22,FALSE)*VLOOKUP($D28,'Units per home'!$A$32:$U$34,'SC-New'!T$22-1,FALSE)</f>
        <v>5823.4380166463134</v>
      </c>
      <c r="U28" s="42">
        <f ca="1">$A28*$B28*VLOOKUP($C28,$C$13:$Y$16,U$22,FALSE)*VLOOKUP($D28,'Units per home'!$A$32:$U$34,'SC-New'!U$22-1,FALSE)</f>
        <v>5654.1884720812723</v>
      </c>
      <c r="V28" s="42">
        <f ca="1">$A28*$B28*VLOOKUP($C28,$C$13:$Y$16,V$22,FALSE)*VLOOKUP($D28,'Units per home'!$A$32:$U$34,'SC-New'!V$22-1,FALSE)</f>
        <v>5513.4258775250273</v>
      </c>
      <c r="W28" s="42">
        <f ca="1">$A28*$B28*VLOOKUP($C28,$C$13:$Y$16,W$22,FALSE)*VLOOKUP($D28,'Units per home'!$A$32:$U$34,'SC-New'!W$22-1,FALSE)</f>
        <v>5339.5219247795985</v>
      </c>
      <c r="X28" s="42">
        <f ca="1">$A28*$B28*VLOOKUP($C28,$C$13:$Y$16,X$22,FALSE)*VLOOKUP($D28,'Units per home'!$A$32:$U$34,'SC-New'!X$22-1,FALSE)</f>
        <v>5319.3220997458047</v>
      </c>
      <c r="Y28" s="42"/>
      <c r="AA28" s="42">
        <f t="shared" ca="1" si="3"/>
        <v>126301.50396575619</v>
      </c>
    </row>
    <row r="29" spans="1:27">
      <c r="A29" s="64">
        <f>INDEX([2]!ResApplic,MATCH($D29&amp;" - "&amp;$C$7,[2]APPLIC!$B$9:$B$120,0)+1,MATCH($C29,[2]APPLIC!$C$8:$F$8,0)+1)</f>
        <v>0.75</v>
      </c>
      <c r="B29" s="78">
        <f>VLOOKUP($D29,'Units per home'!$A$18:$E$20,MATCH($C29,'Units per home'!$B$17:$E$17,0)+1,FALSE)</f>
        <v>0.44414870578030757</v>
      </c>
      <c r="C29" s="9" t="str">
        <f t="shared" si="4"/>
        <v>Multifamily - High Rise</v>
      </c>
      <c r="D29" s="9" t="s">
        <v>157</v>
      </c>
      <c r="E29" s="42">
        <f ca="1">$A29*$B29*VLOOKUP($C29,$C$13:$Y$16,E$22,FALSE)*VLOOKUP($D29,'Units per home'!$A$32:$U$34,'SC-New'!E$22-1,FALSE)</f>
        <v>1715.5251800780825</v>
      </c>
      <c r="F29" s="42">
        <f ca="1">$A29*$B29*VLOOKUP($C29,$C$13:$Y$16,F$22,FALSE)*VLOOKUP($D29,'Units per home'!$A$32:$U$34,'SC-New'!F$22-1,FALSE)</f>
        <v>1703.4938590690283</v>
      </c>
      <c r="G29" s="42">
        <f ca="1">$A29*$B29*VLOOKUP($C29,$C$13:$Y$16,G$22,FALSE)*VLOOKUP($D29,'Units per home'!$A$32:$U$34,'SC-New'!G$22-1,FALSE)</f>
        <v>1697.040164963089</v>
      </c>
      <c r="H29" s="42">
        <f ca="1">$A29*$B29*VLOOKUP($C29,$C$13:$Y$16,H$22,FALSE)*VLOOKUP($D29,'Units per home'!$A$32:$U$34,'SC-New'!H$22-1,FALSE)</f>
        <v>1589.4336423068171</v>
      </c>
      <c r="I29" s="42">
        <f ca="1">$A29*$B29*VLOOKUP($C29,$C$13:$Y$16,I$22,FALSE)*VLOOKUP($D29,'Units per home'!$A$32:$U$34,'SC-New'!I$22-1,FALSE)</f>
        <v>1454.6168108227428</v>
      </c>
      <c r="J29" s="42">
        <f ca="1">$A29*$B29*VLOOKUP($C29,$C$13:$Y$16,J$22,FALSE)*VLOOKUP($D29,'Units per home'!$A$32:$U$34,'SC-New'!J$22-1,FALSE)</f>
        <v>1410.5559985282898</v>
      </c>
      <c r="K29" s="42">
        <f ca="1">$A29*$B29*VLOOKUP($C29,$C$13:$Y$16,K$22,FALSE)*VLOOKUP($D29,'Units per home'!$A$32:$U$34,'SC-New'!K$22-1,FALSE)</f>
        <v>1389.0877260789159</v>
      </c>
      <c r="L29" s="42">
        <f ca="1">$A29*$B29*VLOOKUP($C29,$C$13:$Y$16,L$22,FALSE)*VLOOKUP($D29,'Units per home'!$A$32:$U$34,'SC-New'!L$22-1,FALSE)</f>
        <v>1419.3545783901759</v>
      </c>
      <c r="M29" s="42">
        <f ca="1">$A29*$B29*VLOOKUP($C29,$C$13:$Y$16,M$22,FALSE)*VLOOKUP($D29,'Units per home'!$A$32:$U$34,'SC-New'!M$22-1,FALSE)</f>
        <v>1430.2882473345371</v>
      </c>
      <c r="N29" s="42">
        <f ca="1">$A29*$B29*VLOOKUP($C29,$C$13:$Y$16,N$22,FALSE)*VLOOKUP($D29,'Units per home'!$A$32:$U$34,'SC-New'!N$22-1,FALSE)</f>
        <v>1455.273576808228</v>
      </c>
      <c r="O29" s="42">
        <f ca="1">$A29*$B29*VLOOKUP($C29,$C$13:$Y$16,O$22,FALSE)*VLOOKUP($D29,'Units per home'!$A$32:$U$34,'SC-New'!O$22-1,FALSE)</f>
        <v>1430.1299578280648</v>
      </c>
      <c r="P29" s="42">
        <f ca="1">$A29*$B29*VLOOKUP($C29,$C$13:$Y$16,P$22,FALSE)*VLOOKUP($D29,'Units per home'!$A$32:$U$34,'SC-New'!P$22-1,FALSE)</f>
        <v>1414.1505442700427</v>
      </c>
      <c r="Q29" s="42">
        <f ca="1">$A29*$B29*VLOOKUP($C29,$C$13:$Y$16,Q$22,FALSE)*VLOOKUP($D29,'Units per home'!$A$32:$U$34,'SC-New'!Q$22-1,FALSE)</f>
        <v>1390.6853543468867</v>
      </c>
      <c r="R29" s="42">
        <f ca="1">$A29*$B29*VLOOKUP($C29,$C$13:$Y$16,R$22,FALSE)*VLOOKUP($D29,'Units per home'!$A$32:$U$34,'SC-New'!R$22-1,FALSE)</f>
        <v>1372.8543651146108</v>
      </c>
      <c r="S29" s="42">
        <f ca="1">$A29*$B29*VLOOKUP($C29,$C$13:$Y$16,S$22,FALSE)*VLOOKUP($D29,'Units per home'!$A$32:$U$34,'SC-New'!S$22-1,FALSE)</f>
        <v>1349.3998755542257</v>
      </c>
      <c r="T29" s="42">
        <f ca="1">$A29*$B29*VLOOKUP($C29,$C$13:$Y$16,T$22,FALSE)*VLOOKUP($D29,'Units per home'!$A$32:$U$34,'SC-New'!T$22-1,FALSE)</f>
        <v>1304.9041147314874</v>
      </c>
      <c r="U29" s="42">
        <f ca="1">$A29*$B29*VLOOKUP($C29,$C$13:$Y$16,U$22,FALSE)*VLOOKUP($D29,'Units per home'!$A$32:$U$34,'SC-New'!U$22-1,FALSE)</f>
        <v>1268.4991750698282</v>
      </c>
      <c r="V29" s="42">
        <f ca="1">$A29*$B29*VLOOKUP($C29,$C$13:$Y$16,V$22,FALSE)*VLOOKUP($D29,'Units per home'!$A$32:$U$34,'SC-New'!V$22-1,FALSE)</f>
        <v>1223.9476999974443</v>
      </c>
      <c r="W29" s="42">
        <f ca="1">$A29*$B29*VLOOKUP($C29,$C$13:$Y$16,W$22,FALSE)*VLOOKUP($D29,'Units per home'!$A$32:$U$34,'SC-New'!W$22-1,FALSE)</f>
        <v>1203.9994957533938</v>
      </c>
      <c r="X29" s="42">
        <f ca="1">$A29*$B29*VLOOKUP($C29,$C$13:$Y$16,X$22,FALSE)*VLOOKUP($D29,'Units per home'!$A$32:$U$34,'SC-New'!X$22-1,FALSE)</f>
        <v>1198.5144423109969</v>
      </c>
      <c r="Y29" s="42"/>
      <c r="AA29" s="42">
        <f t="shared" ca="1" si="3"/>
        <v>28421.75480935688</v>
      </c>
    </row>
    <row r="30" spans="1:27">
      <c r="A30" s="64">
        <f>INDEX([2]!ResApplic,MATCH($D30&amp;" - "&amp;$C$7,[2]APPLIC!$B$9:$B$120,0)+1,MATCH($C30,[2]APPLIC!$C$8:$F$8,0)+1)</f>
        <v>0.75</v>
      </c>
      <c r="B30" s="78">
        <f>VLOOKUP($D30,'Units per home'!$A$18:$E$20,MATCH($C30,'Units per home'!$B$17:$E$17,0)+1,FALSE)</f>
        <v>0.70646803257015534</v>
      </c>
      <c r="C30" s="9" t="str">
        <f t="shared" si="4"/>
        <v>Manufactured</v>
      </c>
      <c r="D30" s="9" t="s">
        <v>157</v>
      </c>
      <c r="E30" s="42">
        <f ca="1">$A30*$B30*VLOOKUP($C30,$C$13:$Y$16,E$22,FALSE)*VLOOKUP($D30,'Units per home'!$A$32:$U$34,'SC-New'!E$22-1,FALSE)</f>
        <v>976.14638907517121</v>
      </c>
      <c r="F30" s="42">
        <f ca="1">$A30*$B30*VLOOKUP($C30,$C$13:$Y$16,F$22,FALSE)*VLOOKUP($D30,'Units per home'!$A$32:$U$34,'SC-New'!F$22-1,FALSE)</f>
        <v>973.08302340227544</v>
      </c>
      <c r="G30" s="42">
        <f ca="1">$A30*$B30*VLOOKUP($C30,$C$13:$Y$16,G$22,FALSE)*VLOOKUP($D30,'Units per home'!$A$32:$U$34,'SC-New'!G$22-1,FALSE)</f>
        <v>998.12146329447751</v>
      </c>
      <c r="H30" s="42">
        <f ca="1">$A30*$B30*VLOOKUP($C30,$C$13:$Y$16,H$22,FALSE)*VLOOKUP($D30,'Units per home'!$A$32:$U$34,'SC-New'!H$22-1,FALSE)</f>
        <v>1024.8797012886862</v>
      </c>
      <c r="I30" s="42">
        <f ca="1">$A30*$B30*VLOOKUP($C30,$C$13:$Y$16,I$22,FALSE)*VLOOKUP($D30,'Units per home'!$A$32:$U$34,'SC-New'!I$22-1,FALSE)</f>
        <v>983.76454241227873</v>
      </c>
      <c r="J30" s="42">
        <f ca="1">$A30*$B30*VLOOKUP($C30,$C$13:$Y$16,J$22,FALSE)*VLOOKUP($D30,'Units per home'!$A$32:$U$34,'SC-New'!J$22-1,FALSE)</f>
        <v>959.51034116638743</v>
      </c>
      <c r="K30" s="42">
        <f ca="1">$A30*$B30*VLOOKUP($C30,$C$13:$Y$16,K$22,FALSE)*VLOOKUP($D30,'Units per home'!$A$32:$U$34,'SC-New'!K$22-1,FALSE)</f>
        <v>953.93344042896229</v>
      </c>
      <c r="L30" s="42">
        <f ca="1">$A30*$B30*VLOOKUP($C30,$C$13:$Y$16,L$22,FALSE)*VLOOKUP($D30,'Units per home'!$A$32:$U$34,'SC-New'!L$22-1,FALSE)</f>
        <v>950.50196510555952</v>
      </c>
      <c r="M30" s="42">
        <f ca="1">$A30*$B30*VLOOKUP($C30,$C$13:$Y$16,M$22,FALSE)*VLOOKUP($D30,'Units per home'!$A$32:$U$34,'SC-New'!M$22-1,FALSE)</f>
        <v>946.86517762829487</v>
      </c>
      <c r="N30" s="42">
        <f ca="1">$A30*$B30*VLOOKUP($C30,$C$13:$Y$16,N$22,FALSE)*VLOOKUP($D30,'Units per home'!$A$32:$U$34,'SC-New'!N$22-1,FALSE)</f>
        <v>938.60439829408472</v>
      </c>
      <c r="O30" s="42">
        <f ca="1">$A30*$B30*VLOOKUP($C30,$C$13:$Y$16,O$22,FALSE)*VLOOKUP($D30,'Units per home'!$A$32:$U$34,'SC-New'!O$22-1,FALSE)</f>
        <v>924.72641537211655</v>
      </c>
      <c r="P30" s="42">
        <f ca="1">$A30*$B30*VLOOKUP($C30,$C$13:$Y$16,P$22,FALSE)*VLOOKUP($D30,'Units per home'!$A$32:$U$34,'SC-New'!P$22-1,FALSE)</f>
        <v>914.95166767236583</v>
      </c>
      <c r="Q30" s="42">
        <f ca="1">$A30*$B30*VLOOKUP($C30,$C$13:$Y$16,Q$22,FALSE)*VLOOKUP($D30,'Units per home'!$A$32:$U$34,'SC-New'!Q$22-1,FALSE)</f>
        <v>907.43771720532504</v>
      </c>
      <c r="R30" s="42">
        <f ca="1">$A30*$B30*VLOOKUP($C30,$C$13:$Y$16,R$22,FALSE)*VLOOKUP($D30,'Units per home'!$A$32:$U$34,'SC-New'!R$22-1,FALSE)</f>
        <v>899.62005953784637</v>
      </c>
      <c r="S30" s="42">
        <f ca="1">$A30*$B30*VLOOKUP($C30,$C$13:$Y$16,S$22,FALSE)*VLOOKUP($D30,'Units per home'!$A$32:$U$34,'SC-New'!S$22-1,FALSE)</f>
        <v>891.11750415603115</v>
      </c>
      <c r="T30" s="42">
        <f ca="1">$A30*$B30*VLOOKUP($C30,$C$13:$Y$16,T$22,FALSE)*VLOOKUP($D30,'Units per home'!$A$32:$U$34,'SC-New'!T$22-1,FALSE)</f>
        <v>879.92339496223303</v>
      </c>
      <c r="U30" s="42">
        <f ca="1">$A30*$B30*VLOOKUP($C30,$C$13:$Y$16,U$22,FALSE)*VLOOKUP($D30,'Units per home'!$A$32:$U$34,'SC-New'!U$22-1,FALSE)</f>
        <v>868.57682133189007</v>
      </c>
      <c r="V30" s="42">
        <f ca="1">$A30*$B30*VLOOKUP($C30,$C$13:$Y$16,V$22,FALSE)*VLOOKUP($D30,'Units per home'!$A$32:$U$34,'SC-New'!V$22-1,FALSE)</f>
        <v>857.9231697755049</v>
      </c>
      <c r="W30" s="42">
        <f ca="1">$A30*$B30*VLOOKUP($C30,$C$13:$Y$16,W$22,FALSE)*VLOOKUP($D30,'Units per home'!$A$32:$U$34,'SC-New'!W$22-1,FALSE)</f>
        <v>847.43125225698748</v>
      </c>
      <c r="X30" s="42">
        <f ca="1">$A30*$B30*VLOOKUP($C30,$C$13:$Y$16,X$22,FALSE)*VLOOKUP($D30,'Units per home'!$A$32:$U$34,'SC-New'!X$22-1,FALSE)</f>
        <v>847.53127186504503</v>
      </c>
      <c r="Y30" s="42"/>
      <c r="AA30" s="42">
        <f t="shared" ca="1" si="3"/>
        <v>18544.649716231525</v>
      </c>
    </row>
    <row r="31" spans="1:27">
      <c r="A31" s="64">
        <f>INDEX([2]!ResApplic,MATCH($D31&amp;" - "&amp;$C$7,[2]APPLIC!$B$9:$B$120,0)+1,MATCH($C31,[2]APPLIC!$C$8:$F$8,0)+1)</f>
        <v>0.26</v>
      </c>
      <c r="B31" s="78">
        <f>VLOOKUP($D31,'Units per home'!$A$18:$E$20,MATCH($C31,'Units per home'!$B$17:$E$17,0)+1,FALSE)</f>
        <v>0.68337823408954967</v>
      </c>
      <c r="C31" s="9" t="str">
        <f>C27</f>
        <v>Single Family</v>
      </c>
      <c r="D31" s="9" t="s">
        <v>158</v>
      </c>
      <c r="E31" s="42">
        <f ca="1">$A31*$B31*VLOOKUP($C31,$C$13:$Y$16,E$22,FALSE)*VLOOKUP($D31,'Units per home'!$A$32:$U$34,'SC-New'!E$22-1,FALSE)</f>
        <v>15652.345139606045</v>
      </c>
      <c r="F31" s="42">
        <f ca="1">$A31*$B31*VLOOKUP($C31,$C$13:$Y$16,F$22,FALSE)*VLOOKUP($D31,'Units per home'!$A$32:$U$34,'SC-New'!F$22-1,FALSE)</f>
        <v>16450.184291535494</v>
      </c>
      <c r="G31" s="42">
        <f ca="1">$A31*$B31*VLOOKUP($C31,$C$13:$Y$16,G$22,FALSE)*VLOOKUP($D31,'Units per home'!$A$32:$U$34,'SC-New'!G$22-1,FALSE)</f>
        <v>16993.005313100177</v>
      </c>
      <c r="H31" s="42">
        <f ca="1">$A31*$B31*VLOOKUP($C31,$C$13:$Y$16,H$22,FALSE)*VLOOKUP($D31,'Units per home'!$A$32:$U$34,'SC-New'!H$22-1,FALSE)</f>
        <v>17795.555774578515</v>
      </c>
      <c r="I31" s="42">
        <f ca="1">$A31*$B31*VLOOKUP($C31,$C$13:$Y$16,I$22,FALSE)*VLOOKUP($D31,'Units per home'!$A$32:$U$34,'SC-New'!I$22-1,FALSE)</f>
        <v>18636.213872219811</v>
      </c>
      <c r="J31" s="42">
        <f ca="1">$A31*$B31*VLOOKUP($C31,$C$13:$Y$16,J$22,FALSE)*VLOOKUP($D31,'Units per home'!$A$32:$U$34,'SC-New'!J$22-1,FALSE)</f>
        <v>17779.273090986258</v>
      </c>
      <c r="K31" s="42">
        <f ca="1">$A31*$B31*VLOOKUP($C31,$C$13:$Y$16,K$22,FALSE)*VLOOKUP($D31,'Units per home'!$A$32:$U$34,'SC-New'!K$22-1,FALSE)</f>
        <v>17305.947990085202</v>
      </c>
      <c r="L31" s="42">
        <f ca="1">$A31*$B31*VLOOKUP($C31,$C$13:$Y$16,L$22,FALSE)*VLOOKUP($D31,'Units per home'!$A$32:$U$34,'SC-New'!L$22-1,FALSE)</f>
        <v>17245.047053469167</v>
      </c>
      <c r="M31" s="42">
        <f ca="1">$A31*$B31*VLOOKUP($C31,$C$13:$Y$16,M$22,FALSE)*VLOOKUP($D31,'Units per home'!$A$32:$U$34,'SC-New'!M$22-1,FALSE)</f>
        <v>17088.857931674345</v>
      </c>
      <c r="N31" s="42">
        <f ca="1">$A31*$B31*VLOOKUP($C31,$C$13:$Y$16,N$22,FALSE)*VLOOKUP($D31,'Units per home'!$A$32:$U$34,'SC-New'!N$22-1,FALSE)</f>
        <v>17414.602759630852</v>
      </c>
      <c r="O31" s="42">
        <f ca="1">$A31*$B31*VLOOKUP($C31,$C$13:$Y$16,O$22,FALSE)*VLOOKUP($D31,'Units per home'!$A$32:$U$34,'SC-New'!O$22-1,FALSE)</f>
        <v>17558.41117254772</v>
      </c>
      <c r="P31" s="42">
        <f ca="1">$A31*$B31*VLOOKUP($C31,$C$13:$Y$16,P$22,FALSE)*VLOOKUP($D31,'Units per home'!$A$32:$U$34,'SC-New'!P$22-1,FALSE)</f>
        <v>17354.901282076073</v>
      </c>
      <c r="Q31" s="42">
        <f ca="1">$A31*$B31*VLOOKUP($C31,$C$13:$Y$16,Q$22,FALSE)*VLOOKUP($D31,'Units per home'!$A$32:$U$34,'SC-New'!Q$22-1,FALSE)</f>
        <v>16916.476880302966</v>
      </c>
      <c r="R31" s="42">
        <f ca="1">$A31*$B31*VLOOKUP($C31,$C$13:$Y$16,R$22,FALSE)*VLOOKUP($D31,'Units per home'!$A$32:$U$34,'SC-New'!R$22-1,FALSE)</f>
        <v>16955.34183972497</v>
      </c>
      <c r="S31" s="42">
        <f ca="1">$A31*$B31*VLOOKUP($C31,$C$13:$Y$16,S$22,FALSE)*VLOOKUP($D31,'Units per home'!$A$32:$U$34,'SC-New'!S$22-1,FALSE)</f>
        <v>17174.78443372617</v>
      </c>
      <c r="T31" s="42">
        <f ca="1">$A31*$B31*VLOOKUP($C31,$C$13:$Y$16,T$22,FALSE)*VLOOKUP($D31,'Units per home'!$A$32:$U$34,'SC-New'!T$22-1,FALSE)</f>
        <v>17125.204290670787</v>
      </c>
      <c r="U31" s="42">
        <f ca="1">$A31*$B31*VLOOKUP($C31,$C$13:$Y$16,U$22,FALSE)*VLOOKUP($D31,'Units per home'!$A$32:$U$34,'SC-New'!U$22-1,FALSE)</f>
        <v>16581.585743944044</v>
      </c>
      <c r="V31" s="42">
        <f ca="1">$A31*$B31*VLOOKUP($C31,$C$13:$Y$16,V$22,FALSE)*VLOOKUP($D31,'Units per home'!$A$32:$U$34,'SC-New'!V$22-1,FALSE)</f>
        <v>16576.071674922005</v>
      </c>
      <c r="W31" s="42">
        <f ca="1">$A31*$B31*VLOOKUP($C31,$C$13:$Y$16,W$22,FALSE)*VLOOKUP($D31,'Units per home'!$A$32:$U$34,'SC-New'!W$22-1,FALSE)</f>
        <v>16641.087541401655</v>
      </c>
      <c r="X31" s="42">
        <f ca="1">$A31*$B31*VLOOKUP($C31,$C$13:$Y$16,X$22,FALSE)*VLOOKUP($D31,'Units per home'!$A$32:$U$34,'SC-New'!X$22-1,FALSE)</f>
        <v>16754.061838279715</v>
      </c>
      <c r="Y31" s="42"/>
      <c r="AA31" s="42">
        <f t="shared" ref="AA31:AA34" ca="1" si="5">SUM(E31:Y31)</f>
        <v>341998.95991448202</v>
      </c>
    </row>
    <row r="32" spans="1:27">
      <c r="A32" s="64">
        <f>INDEX([2]!ResApplic,MATCH($D32&amp;" - "&amp;$C$7,[2]APPLIC!$B$9:$B$120,0)+1,MATCH($C32,[2]APPLIC!$C$8:$F$8,0)+1)</f>
        <v>0.26</v>
      </c>
      <c r="B32" s="78">
        <f>VLOOKUP($D32,'Units per home'!$A$18:$E$20,MATCH($C32,'Units per home'!$B$17:$E$17,0)+1,FALSE)</f>
        <v>0.263107074806817</v>
      </c>
      <c r="C32" s="9" t="str">
        <f t="shared" ref="C32:C34" si="6">C28</f>
        <v>Multifamily - Low Rise</v>
      </c>
      <c r="D32" s="9" t="s">
        <v>158</v>
      </c>
      <c r="E32" s="42">
        <f ca="1">$A32*$B32*VLOOKUP($C32,$C$13:$Y$16,E$22,FALSE)*VLOOKUP($D32,'Units per home'!$A$32:$U$34,'SC-New'!E$22-1,FALSE)</f>
        <v>2238.0581285830749</v>
      </c>
      <c r="F32" s="42">
        <f ca="1">$A32*$B32*VLOOKUP($C32,$C$13:$Y$16,F$22,FALSE)*VLOOKUP($D32,'Units per home'!$A$32:$U$34,'SC-New'!F$22-1,FALSE)</f>
        <v>2431.2198584704824</v>
      </c>
      <c r="G32" s="42">
        <f ca="1">$A32*$B32*VLOOKUP($C32,$C$13:$Y$16,G$22,FALSE)*VLOOKUP($D32,'Units per home'!$A$32:$U$34,'SC-New'!G$22-1,FALSE)</f>
        <v>2625.9664464454518</v>
      </c>
      <c r="H32" s="42">
        <f ca="1">$A32*$B32*VLOOKUP($C32,$C$13:$Y$16,H$22,FALSE)*VLOOKUP($D32,'Units per home'!$A$32:$U$34,'SC-New'!H$22-1,FALSE)</f>
        <v>2752.0264887522467</v>
      </c>
      <c r="I32" s="42">
        <f ca="1">$A32*$B32*VLOOKUP($C32,$C$13:$Y$16,I$22,FALSE)*VLOOKUP($D32,'Units per home'!$A$32:$U$34,'SC-New'!I$22-1,FALSE)</f>
        <v>2791.5832073880711</v>
      </c>
      <c r="J32" s="42">
        <f ca="1">$A32*$B32*VLOOKUP($C32,$C$13:$Y$16,J$22,FALSE)*VLOOKUP($D32,'Units per home'!$A$32:$U$34,'SC-New'!J$22-1,FALSE)</f>
        <v>2694.7687789587058</v>
      </c>
      <c r="K32" s="42">
        <f ca="1">$A32*$B32*VLOOKUP($C32,$C$13:$Y$16,K$22,FALSE)*VLOOKUP($D32,'Units per home'!$A$32:$U$34,'SC-New'!K$22-1,FALSE)</f>
        <v>2673.6729502880589</v>
      </c>
      <c r="L32" s="42">
        <f ca="1">$A32*$B32*VLOOKUP($C32,$C$13:$Y$16,L$22,FALSE)*VLOOKUP($D32,'Units per home'!$A$32:$U$34,'SC-New'!L$22-1,FALSE)</f>
        <v>2726.8456076202788</v>
      </c>
      <c r="M32" s="42">
        <f ca="1">$A32*$B32*VLOOKUP($C32,$C$13:$Y$16,M$22,FALSE)*VLOOKUP($D32,'Units per home'!$A$32:$U$34,'SC-New'!M$22-1,FALSE)</f>
        <v>2796.7270501669132</v>
      </c>
      <c r="N32" s="42">
        <f ca="1">$A32*$B32*VLOOKUP($C32,$C$13:$Y$16,N$22,FALSE)*VLOOKUP($D32,'Units per home'!$A$32:$U$34,'SC-New'!N$22-1,FALSE)</f>
        <v>2876.3830063893711</v>
      </c>
      <c r="O32" s="42">
        <f ca="1">$A32*$B32*VLOOKUP($C32,$C$13:$Y$16,O$22,FALSE)*VLOOKUP($D32,'Units per home'!$A$32:$U$34,'SC-New'!O$22-1,FALSE)</f>
        <v>2892.0471313715375</v>
      </c>
      <c r="P32" s="42">
        <f ca="1">$A32*$B32*VLOOKUP($C32,$C$13:$Y$16,P$22,FALSE)*VLOOKUP($D32,'Units per home'!$A$32:$U$34,'SC-New'!P$22-1,FALSE)</f>
        <v>2896.498767296619</v>
      </c>
      <c r="Q32" s="42">
        <f ca="1">$A32*$B32*VLOOKUP($C32,$C$13:$Y$16,Q$22,FALSE)*VLOOKUP($D32,'Units per home'!$A$32:$U$34,'SC-New'!Q$22-1,FALSE)</f>
        <v>2904.7954400772192</v>
      </c>
      <c r="R32" s="42">
        <f ca="1">$A32*$B32*VLOOKUP($C32,$C$13:$Y$16,R$22,FALSE)*VLOOKUP($D32,'Units per home'!$A$32:$U$34,'SC-New'!R$22-1,FALSE)</f>
        <v>2876.7925988344523</v>
      </c>
      <c r="S32" s="42">
        <f ca="1">$A32*$B32*VLOOKUP($C32,$C$13:$Y$16,S$22,FALSE)*VLOOKUP($D32,'Units per home'!$A$32:$U$34,'SC-New'!S$22-1,FALSE)</f>
        <v>2845.6956989048977</v>
      </c>
      <c r="T32" s="42">
        <f ca="1">$A32*$B32*VLOOKUP($C32,$C$13:$Y$16,T$22,FALSE)*VLOOKUP($D32,'Units per home'!$A$32:$U$34,'SC-New'!T$22-1,FALSE)</f>
        <v>2791.3311293772413</v>
      </c>
      <c r="U32" s="42">
        <f ca="1">$A32*$B32*VLOOKUP($C32,$C$13:$Y$16,U$22,FALSE)*VLOOKUP($D32,'Units per home'!$A$32:$U$34,'SC-New'!U$22-1,FALSE)</f>
        <v>2747.5368361850624</v>
      </c>
      <c r="V32" s="42">
        <f ca="1">$A32*$B32*VLOOKUP($C32,$C$13:$Y$16,V$22,FALSE)*VLOOKUP($D32,'Units per home'!$A$32:$U$34,'SC-New'!V$22-1,FALSE)</f>
        <v>2716.4505404288893</v>
      </c>
      <c r="W32" s="42">
        <f ca="1">$A32*$B32*VLOOKUP($C32,$C$13:$Y$16,W$22,FALSE)*VLOOKUP($D32,'Units per home'!$A$32:$U$34,'SC-New'!W$22-1,FALSE)</f>
        <v>2667.8229959214095</v>
      </c>
      <c r="X32" s="42">
        <f ca="1">$A32*$B32*VLOOKUP($C32,$C$13:$Y$16,X$22,FALSE)*VLOOKUP($D32,'Units per home'!$A$32:$U$34,'SC-New'!X$22-1,FALSE)</f>
        <v>2657.7304148817761</v>
      </c>
      <c r="Y32" s="42"/>
      <c r="AA32" s="42">
        <f t="shared" ca="1" si="5"/>
        <v>54603.953076341757</v>
      </c>
    </row>
    <row r="33" spans="1:69">
      <c r="A33" s="64">
        <f>INDEX([2]!ResApplic,MATCH($D33&amp;" - "&amp;$C$7,[2]APPLIC!$B$9:$B$120,0)+1,MATCH($C33,[2]APPLIC!$C$8:$F$8,0)+1)</f>
        <v>0.26</v>
      </c>
      <c r="B33" s="78">
        <f>VLOOKUP($D33,'Units per home'!$A$18:$E$20,MATCH($C33,'Units per home'!$B$17:$E$17,0)+1,FALSE)</f>
        <v>0.263107074806817</v>
      </c>
      <c r="C33" s="9" t="str">
        <f t="shared" si="6"/>
        <v>Multifamily - High Rise</v>
      </c>
      <c r="D33" s="9" t="s">
        <v>158</v>
      </c>
      <c r="E33" s="42">
        <f ca="1">$A33*$B33*VLOOKUP($C33,$C$13:$Y$16,E$22,FALSE)*VLOOKUP($D33,'Units per home'!$A$32:$U$34,'SC-New'!E$22-1,FALSE)</f>
        <v>502.42490139271985</v>
      </c>
      <c r="F33" s="42">
        <f ca="1">$A33*$B33*VLOOKUP($C33,$C$13:$Y$16,F$22,FALSE)*VLOOKUP($D33,'Units per home'!$A$32:$U$34,'SC-New'!F$22-1,FALSE)</f>
        <v>553.47120352823606</v>
      </c>
      <c r="G33" s="42">
        <f ca="1">$A33*$B33*VLOOKUP($C33,$C$13:$Y$16,G$22,FALSE)*VLOOKUP($D33,'Units per home'!$A$32:$U$34,'SC-New'!G$22-1,FALSE)</f>
        <v>606.80312064319548</v>
      </c>
      <c r="H33" s="42">
        <f ca="1">$A33*$B33*VLOOKUP($C33,$C$13:$Y$16,H$22,FALSE)*VLOOKUP($D33,'Units per home'!$A$32:$U$34,'SC-New'!H$22-1,FALSE)</f>
        <v>621.26847592143133</v>
      </c>
      <c r="I33" s="42">
        <f ca="1">$A33*$B33*VLOOKUP($C33,$C$13:$Y$16,I$22,FALSE)*VLOOKUP($D33,'Units per home'!$A$32:$U$34,'SC-New'!I$22-1,FALSE)</f>
        <v>617.99193473062246</v>
      </c>
      <c r="J33" s="42">
        <f ca="1">$A33*$B33*VLOOKUP($C33,$C$13:$Y$16,J$22,FALSE)*VLOOKUP($D33,'Units per home'!$A$32:$U$34,'SC-New'!J$22-1,FALSE)</f>
        <v>605.49384482529774</v>
      </c>
      <c r="K33" s="42">
        <f ca="1">$A33*$B33*VLOOKUP($C33,$C$13:$Y$16,K$22,FALSE)*VLOOKUP($D33,'Units per home'!$A$32:$U$34,'SC-New'!K$22-1,FALSE)</f>
        <v>602.51725032682953</v>
      </c>
      <c r="L33" s="42">
        <f ca="1">$A33*$B33*VLOOKUP($C33,$C$13:$Y$16,L$22,FALSE)*VLOOKUP($D33,'Units per home'!$A$32:$U$34,'SC-New'!L$22-1,FALSE)</f>
        <v>622.13839600983738</v>
      </c>
      <c r="M33" s="42">
        <f ca="1">$A33*$B33*VLOOKUP($C33,$C$13:$Y$16,M$22,FALSE)*VLOOKUP($D33,'Units per home'!$A$32:$U$34,'SC-New'!M$22-1,FALSE)</f>
        <v>633.59614340656867</v>
      </c>
      <c r="N33" s="42">
        <f ca="1">$A33*$B33*VLOOKUP($C33,$C$13:$Y$16,N$22,FALSE)*VLOOKUP($D33,'Units per home'!$A$32:$U$34,'SC-New'!N$22-1,FALSE)</f>
        <v>651.57395475697047</v>
      </c>
      <c r="O33" s="42">
        <f ca="1">$A33*$B33*VLOOKUP($C33,$C$13:$Y$16,O$22,FALSE)*VLOOKUP($D33,'Units per home'!$A$32:$U$34,'SC-New'!O$22-1,FALSE)</f>
        <v>647.23602050997954</v>
      </c>
      <c r="P33" s="42">
        <f ca="1">$A33*$B33*VLOOKUP($C33,$C$13:$Y$16,P$22,FALSE)*VLOOKUP($D33,'Units per home'!$A$32:$U$34,'SC-New'!P$22-1,FALSE)</f>
        <v>646.97820526655596</v>
      </c>
      <c r="Q33" s="42">
        <f ca="1">$A33*$B33*VLOOKUP($C33,$C$13:$Y$16,Q$22,FALSE)*VLOOKUP($D33,'Units per home'!$A$32:$U$34,'SC-New'!Q$22-1,FALSE)</f>
        <v>643.2343225404104</v>
      </c>
      <c r="R33" s="42">
        <f ca="1">$A33*$B33*VLOOKUP($C33,$C$13:$Y$16,R$22,FALSE)*VLOOKUP($D33,'Units per home'!$A$32:$U$34,'SC-New'!R$22-1,FALSE)</f>
        <v>642.02420154257402</v>
      </c>
      <c r="S33" s="42">
        <f ca="1">$A33*$B33*VLOOKUP($C33,$C$13:$Y$16,S$22,FALSE)*VLOOKUP($D33,'Units per home'!$A$32:$U$34,'SC-New'!S$22-1,FALSE)</f>
        <v>638.10961032313708</v>
      </c>
      <c r="T33" s="42">
        <f ca="1">$A33*$B33*VLOOKUP($C33,$C$13:$Y$16,T$22,FALSE)*VLOOKUP($D33,'Units per home'!$A$32:$U$34,'SC-New'!T$22-1,FALSE)</f>
        <v>625.47578696477683</v>
      </c>
      <c r="U33" s="42">
        <f ca="1">$A33*$B33*VLOOKUP($C33,$C$13:$Y$16,U$22,FALSE)*VLOOKUP($D33,'Units per home'!$A$32:$U$34,'SC-New'!U$22-1,FALSE)</f>
        <v>616.40113826835693</v>
      </c>
      <c r="V33" s="42">
        <f ca="1">$A33*$B33*VLOOKUP($C33,$C$13:$Y$16,V$22,FALSE)*VLOOKUP($D33,'Units per home'!$A$32:$U$34,'SC-New'!V$22-1,FALSE)</f>
        <v>603.03583742151454</v>
      </c>
      <c r="W33" s="42">
        <f ca="1">$A33*$B33*VLOOKUP($C33,$C$13:$Y$16,W$22,FALSE)*VLOOKUP($D33,'Units per home'!$A$32:$U$34,'SC-New'!W$22-1,FALSE)</f>
        <v>601.56275919426457</v>
      </c>
      <c r="X33" s="42">
        <f ca="1">$A33*$B33*VLOOKUP($C33,$C$13:$Y$16,X$22,FALSE)*VLOOKUP($D33,'Units per home'!$A$32:$U$34,'SC-New'!X$22-1,FALSE)</f>
        <v>598.82222325984435</v>
      </c>
      <c r="Y33" s="42"/>
      <c r="AA33" s="42">
        <f t="shared" ca="1" si="5"/>
        <v>12280.159330833121</v>
      </c>
    </row>
    <row r="34" spans="1:69">
      <c r="A34" s="64">
        <f>INDEX([2]!ResApplic,MATCH($D34&amp;" - "&amp;$C$7,[2]APPLIC!$B$9:$B$120,0)+1,MATCH($C34,[2]APPLIC!$C$8:$F$8,0)+1)</f>
        <v>0.26</v>
      </c>
      <c r="B34" s="78">
        <f>VLOOKUP($D34,'Units per home'!$A$18:$E$20,MATCH($C34,'Units per home'!$B$17:$E$17,0)+1,FALSE)</f>
        <v>0.41850113503652137</v>
      </c>
      <c r="C34" s="9" t="str">
        <f t="shared" si="6"/>
        <v>Manufactured</v>
      </c>
      <c r="D34" s="9" t="s">
        <v>158</v>
      </c>
      <c r="E34" s="42">
        <f ca="1">$A34*$B34*VLOOKUP($C34,$C$13:$Y$16,E$22,FALSE)*VLOOKUP($D34,'Units per home'!$A$32:$U$34,'SC-New'!E$22-1,FALSE)</f>
        <v>285.88344780438024</v>
      </c>
      <c r="F34" s="42">
        <f ca="1">$A34*$B34*VLOOKUP($C34,$C$13:$Y$16,F$22,FALSE)*VLOOKUP($D34,'Units per home'!$A$32:$U$34,'SC-New'!F$22-1,FALSE)</f>
        <v>316.15812949844531</v>
      </c>
      <c r="G34" s="42">
        <f ca="1">$A34*$B34*VLOOKUP($C34,$C$13:$Y$16,G$22,FALSE)*VLOOKUP($D34,'Units per home'!$A$32:$U$34,'SC-New'!G$22-1,FALSE)</f>
        <v>356.89386215630026</v>
      </c>
      <c r="H34" s="42">
        <f ca="1">$A34*$B34*VLOOKUP($C34,$C$13:$Y$16,H$22,FALSE)*VLOOKUP($D34,'Units per home'!$A$32:$U$34,'SC-New'!H$22-1,FALSE)</f>
        <v>400.59895114484016</v>
      </c>
      <c r="I34" s="42">
        <f ca="1">$A34*$B34*VLOOKUP($C34,$C$13:$Y$16,I$22,FALSE)*VLOOKUP($D34,'Units per home'!$A$32:$U$34,'SC-New'!I$22-1,FALSE)</f>
        <v>417.9510015018206</v>
      </c>
      <c r="J34" s="42">
        <f ca="1">$A34*$B34*VLOOKUP($C34,$C$13:$Y$16,J$22,FALSE)*VLOOKUP($D34,'Units per home'!$A$32:$U$34,'SC-New'!J$22-1,FALSE)</f>
        <v>411.87844100385581</v>
      </c>
      <c r="K34" s="42">
        <f ca="1">$A34*$B34*VLOOKUP($C34,$C$13:$Y$16,K$22,FALSE)*VLOOKUP($D34,'Units per home'!$A$32:$U$34,'SC-New'!K$22-1,FALSE)</f>
        <v>413.768938225733</v>
      </c>
      <c r="L34" s="42">
        <f ca="1">$A34*$B34*VLOOKUP($C34,$C$13:$Y$16,L$22,FALSE)*VLOOKUP($D34,'Units per home'!$A$32:$U$34,'SC-New'!L$22-1,FALSE)</f>
        <v>416.62864021312436</v>
      </c>
      <c r="M34" s="42">
        <f ca="1">$A34*$B34*VLOOKUP($C34,$C$13:$Y$16,M$22,FALSE)*VLOOKUP($D34,'Units per home'!$A$32:$U$34,'SC-New'!M$22-1,FALSE)</f>
        <v>419.44700726534228</v>
      </c>
      <c r="N34" s="42">
        <f ca="1">$A34*$B34*VLOOKUP($C34,$C$13:$Y$16,N$22,FALSE)*VLOOKUP($D34,'Units per home'!$A$32:$U$34,'SC-New'!N$22-1,FALSE)</f>
        <v>420.24413106578004</v>
      </c>
      <c r="O34" s="42">
        <f ca="1">$A34*$B34*VLOOKUP($C34,$C$13:$Y$16,O$22,FALSE)*VLOOKUP($D34,'Units per home'!$A$32:$U$34,'SC-New'!O$22-1,FALSE)</f>
        <v>418.50479522495459</v>
      </c>
      <c r="P34" s="42">
        <f ca="1">$A34*$B34*VLOOKUP($C34,$C$13:$Y$16,P$22,FALSE)*VLOOKUP($D34,'Units per home'!$A$32:$U$34,'SC-New'!P$22-1,FALSE)</f>
        <v>418.59319027583786</v>
      </c>
      <c r="Q34" s="42">
        <f ca="1">$A34*$B34*VLOOKUP($C34,$C$13:$Y$16,Q$22,FALSE)*VLOOKUP($D34,'Units per home'!$A$32:$U$34,'SC-New'!Q$22-1,FALSE)</f>
        <v>419.7175755462722</v>
      </c>
      <c r="R34" s="42">
        <f ca="1">$A34*$B34*VLOOKUP($C34,$C$13:$Y$16,R$22,FALSE)*VLOOKUP($D34,'Units per home'!$A$32:$U$34,'SC-New'!R$22-1,FALSE)</f>
        <v>420.71312521794727</v>
      </c>
      <c r="S34" s="42">
        <f ca="1">$A34*$B34*VLOOKUP($C34,$C$13:$Y$16,S$22,FALSE)*VLOOKUP($D34,'Units per home'!$A$32:$U$34,'SC-New'!S$22-1,FALSE)</f>
        <v>421.39520955238225</v>
      </c>
      <c r="T34" s="42">
        <f ca="1">$A34*$B34*VLOOKUP($C34,$C$13:$Y$16,T$22,FALSE)*VLOOKUP($D34,'Units per home'!$A$32:$U$34,'SC-New'!T$22-1,FALSE)</f>
        <v>421.77104947360186</v>
      </c>
      <c r="U34" s="42">
        <f ca="1">$A34*$B34*VLOOKUP($C34,$C$13:$Y$16,U$22,FALSE)*VLOOKUP($D34,'Units per home'!$A$32:$U$34,'SC-New'!U$22-1,FALSE)</f>
        <v>422.06707884773846</v>
      </c>
      <c r="V34" s="42">
        <f ca="1">$A34*$B34*VLOOKUP($C34,$C$13:$Y$16,V$22,FALSE)*VLOOKUP($D34,'Units per home'!$A$32:$U$34,'SC-New'!V$22-1,FALSE)</f>
        <v>422.69650666443687</v>
      </c>
      <c r="W34" s="42">
        <f ca="1">$A34*$B34*VLOOKUP($C34,$C$13:$Y$16,W$22,FALSE)*VLOOKUP($D34,'Units per home'!$A$32:$U$34,'SC-New'!W$22-1,FALSE)</f>
        <v>423.40805302096175</v>
      </c>
      <c r="X34" s="42">
        <f ca="1">$A34*$B34*VLOOKUP($C34,$C$13:$Y$16,X$22,FALSE)*VLOOKUP($D34,'Units per home'!$A$32:$U$34,'SC-New'!X$22-1,FALSE)</f>
        <v>423.45802652311778</v>
      </c>
      <c r="Y34" s="42"/>
      <c r="AA34" s="42">
        <f t="shared" ca="1" si="5"/>
        <v>8071.7771602268722</v>
      </c>
    </row>
    <row r="35" spans="1:69">
      <c r="E35" s="42"/>
      <c r="F35" s="42"/>
      <c r="G35" s="42"/>
      <c r="H35" s="42"/>
      <c r="I35" s="42"/>
      <c r="J35" s="42"/>
      <c r="K35" s="42"/>
      <c r="L35" s="42"/>
      <c r="M35" s="42"/>
      <c r="N35" s="42"/>
      <c r="O35" s="42"/>
      <c r="P35" s="42"/>
      <c r="Q35" s="42"/>
      <c r="R35" s="42"/>
      <c r="S35" s="42"/>
      <c r="T35" s="42"/>
      <c r="U35" s="42"/>
      <c r="V35" s="42"/>
      <c r="W35" s="42"/>
      <c r="X35" s="42"/>
      <c r="Y35" s="42"/>
    </row>
    <row r="36" spans="1:69">
      <c r="E36" s="42">
        <f ca="1">SUM(E27:E34)</f>
        <v>73686.044695484306</v>
      </c>
      <c r="F36" s="42">
        <f t="shared" ref="F36:X36" ca="1" si="7">SUM(F27:F34)</f>
        <v>72232.31109755121</v>
      </c>
      <c r="G36" s="42">
        <f t="shared" ca="1" si="7"/>
        <v>70346.703368278831</v>
      </c>
      <c r="H36" s="42">
        <f t="shared" ca="1" si="7"/>
        <v>69280.40444306971</v>
      </c>
      <c r="I36" s="42">
        <f t="shared" ca="1" si="7"/>
        <v>68139.551845219146</v>
      </c>
      <c r="J36" s="42">
        <f t="shared" ca="1" si="7"/>
        <v>64760.430030199408</v>
      </c>
      <c r="K36" s="42">
        <f t="shared" ca="1" si="7"/>
        <v>62853.594924067198</v>
      </c>
      <c r="L36" s="42">
        <f t="shared" ca="1" si="7"/>
        <v>62487.962194789056</v>
      </c>
      <c r="M36" s="42">
        <f t="shared" ca="1" si="7"/>
        <v>61874.859704677969</v>
      </c>
      <c r="N36" s="42">
        <f t="shared" ca="1" si="7"/>
        <v>62692.909398253258</v>
      </c>
      <c r="O36" s="42">
        <f t="shared" ca="1" si="7"/>
        <v>62691.232009788422</v>
      </c>
      <c r="P36" s="42">
        <f t="shared" ca="1" si="7"/>
        <v>61685.698100874681</v>
      </c>
      <c r="Q36" s="42">
        <f t="shared" ca="1" si="7"/>
        <v>60034.121849082519</v>
      </c>
      <c r="R36" s="42">
        <f t="shared" ca="1" si="7"/>
        <v>59624.774896314018</v>
      </c>
      <c r="S36" s="42">
        <f t="shared" ca="1" si="7"/>
        <v>59697.043308314765</v>
      </c>
      <c r="T36" s="42">
        <f t="shared" ca="1" si="7"/>
        <v>58836.30492922158</v>
      </c>
      <c r="U36" s="42">
        <f t="shared" ca="1" si="7"/>
        <v>56682.214731968459</v>
      </c>
      <c r="V36" s="42">
        <f t="shared" ca="1" si="7"/>
        <v>56035.746043512518</v>
      </c>
      <c r="W36" s="42">
        <f t="shared" ca="1" si="7"/>
        <v>55565.199016355451</v>
      </c>
      <c r="X36" s="42">
        <f t="shared" ca="1" si="7"/>
        <v>55828.810125164389</v>
      </c>
      <c r="Y36" s="42"/>
      <c r="AA36" s="42">
        <f ca="1">SUM(E36:Y36)</f>
        <v>1255035.916712187</v>
      </c>
    </row>
    <row r="37" spans="1:69">
      <c r="E37" s="42"/>
      <c r="F37" s="42"/>
      <c r="G37" s="42"/>
      <c r="H37" s="42"/>
      <c r="I37" s="42"/>
      <c r="J37" s="42"/>
      <c r="K37" s="42"/>
      <c r="L37" s="42"/>
      <c r="M37" s="42"/>
      <c r="N37" s="42"/>
      <c r="O37" s="42"/>
      <c r="P37" s="42"/>
      <c r="Q37" s="42"/>
      <c r="R37" s="42"/>
      <c r="S37" s="42"/>
      <c r="T37" s="42"/>
      <c r="U37" s="42"/>
      <c r="V37" s="42"/>
      <c r="W37" s="42"/>
      <c r="X37" s="42"/>
      <c r="Y37" s="42"/>
    </row>
    <row r="39" spans="1:69" ht="15.75" thickBot="1">
      <c r="A39" s="63" t="str">
        <f>CONCATENATE("# UNITS ACHIEVABLE BY YEAR FOR MEASURE - ",C40)</f>
        <v># UNITS ACHIEVABLE BY YEAR FOR MEASURE - Computer - New</v>
      </c>
      <c r="D39" s="72" t="s">
        <v>60</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row>
    <row r="40" spans="1:69" ht="15.75" thickBot="1">
      <c r="C40" s="72" t="str">
        <f>CONCATENATE(C8," - ",C7)</f>
        <v>Computer - New</v>
      </c>
      <c r="D40" s="72"/>
      <c r="E40" s="76">
        <f>VLOOKUP($C$40,[2]ACHIEV!$B$9:$X$100,MATCH(E$11,$E$11:$Y$11,0)+2,FALSE)</f>
        <v>0.45</v>
      </c>
      <c r="F40" s="76">
        <f>VLOOKUP($C$40,[2]ACHIEV!$B$9:$X$100,MATCH(F$11,$E$11:$Y$11,0)+2,FALSE)</f>
        <v>0.66</v>
      </c>
      <c r="G40" s="76">
        <f>VLOOKUP($C$40,[2]ACHIEV!$B$9:$X$100,MATCH(G$11,$E$11:$Y$11,0)+2,FALSE)</f>
        <v>0.8</v>
      </c>
      <c r="H40" s="76">
        <f>VLOOKUP($C$40,[2]ACHIEV!$B$9:$X$100,MATCH(H$11,$E$11:$Y$11,0)+2,FALSE)</f>
        <v>0.89</v>
      </c>
      <c r="I40" s="76">
        <f>VLOOKUP($C$40,[2]ACHIEV!$B$9:$X$100,MATCH(I$11,$E$11:$Y$11,0)+2,FALSE)</f>
        <v>0.94954036260972652</v>
      </c>
      <c r="J40" s="76">
        <f>VLOOKUP($C$40,[2]ACHIEV!$B$9:$X$100,MATCH(J$11,$E$11:$Y$11,0)+2,FALSE)</f>
        <v>0.97931054391458994</v>
      </c>
      <c r="K40" s="76">
        <f>VLOOKUP($C$40,[2]ACHIEV!$B$9:$X$100,MATCH(K$11,$E$11:$Y$11,0)+2,FALSE)</f>
        <v>0.99254173560564019</v>
      </c>
      <c r="L40" s="76">
        <f>VLOOKUP($C$40,[2]ACHIEV!$B$9:$X$100,MATCH(L$11,$E$11:$Y$11,0)+2,FALSE)</f>
        <v>0.99783421228206048</v>
      </c>
      <c r="M40" s="76">
        <f>VLOOKUP($C$40,[2]ACHIEV!$B$9:$X$100,MATCH(M$11,$E$11:$Y$11,0)+2,FALSE)</f>
        <v>0.99975874925530417</v>
      </c>
      <c r="N40" s="76">
        <f>VLOOKUP($C$40,[2]ACHIEV!$B$9:$X$100,MATCH(N$11,$E$11:$Y$11,0)+2,FALSE)</f>
        <v>1.0004002615797187</v>
      </c>
      <c r="O40" s="76">
        <f>VLOOKUP($C$40,[2]ACHIEV!$B$9:$X$100,MATCH(O$11,$E$11:$Y$11,0)+2,FALSE)</f>
        <v>1.0005976499872309</v>
      </c>
      <c r="P40" s="76">
        <f>VLOOKUP($C$40,[2]ACHIEV!$B$9:$X$100,MATCH(P$11,$E$11:$Y$11,0)+2,FALSE)</f>
        <v>1.0006540466750915</v>
      </c>
      <c r="Q40" s="76">
        <f>VLOOKUP($C$40,[2]ACHIEV!$B$9:$X$100,MATCH(Q$11,$E$11:$Y$11,0)+2,FALSE)</f>
        <v>1.0006690857918545</v>
      </c>
      <c r="R40" s="76">
        <f>VLOOKUP($C$40,[2]ACHIEV!$B$9:$X$100,MATCH(R$11,$E$11:$Y$11,0)+2,FALSE)</f>
        <v>1.000672845571045</v>
      </c>
      <c r="S40" s="76">
        <f>VLOOKUP($C$40,[2]ACHIEV!$B$9:$X$100,MATCH(S$11,$E$11:$Y$11,0)+2,FALSE)</f>
        <v>1.0006737302249724</v>
      </c>
      <c r="T40" s="76">
        <f>VLOOKUP($C$40,[2]ACHIEV!$B$9:$X$100,MATCH(T$11,$E$11:$Y$11,0)+2,FALSE)</f>
        <v>1.0006739268147338</v>
      </c>
      <c r="U40" s="76">
        <f>VLOOKUP($C$40,[2]ACHIEV!$B$9:$X$100,MATCH(U$11,$E$11:$Y$11,0)+2,FALSE)</f>
        <v>1.0006739682020522</v>
      </c>
      <c r="V40" s="76">
        <f>VLOOKUP($C$40,[2]ACHIEV!$B$9:$X$100,MATCH(V$11,$E$11:$Y$11,0)+2,FALSE)</f>
        <v>1.0006739764795158</v>
      </c>
      <c r="W40" s="76">
        <f>VLOOKUP($C$40,[2]ACHIEV!$B$9:$X$100,MATCH(W$11,$E$11:$Y$11,0)+2,FALSE)</f>
        <v>1.0006739780561755</v>
      </c>
      <c r="X40" s="76">
        <f>VLOOKUP($C$40,[2]ACHIEV!$B$9:$X$100,MATCH(X$11,$E$11:$Y$11,0)+2,FALSE)</f>
        <v>1.0006739783428409</v>
      </c>
      <c r="Y40" s="76"/>
      <c r="AA40" s="396">
        <v>0.85</v>
      </c>
    </row>
    <row r="41" spans="1:69">
      <c r="B41" s="9" t="str">
        <f>C41&amp;D41</f>
        <v>Single FamilyENERGY STAR Desktops</v>
      </c>
      <c r="C41" s="9" t="str">
        <f>C13</f>
        <v>Single Family</v>
      </c>
      <c r="D41" s="9" t="s">
        <v>293</v>
      </c>
      <c r="E41" s="42">
        <f ca="1">E27*E$40*$AA$40</f>
        <v>17087.741016681248</v>
      </c>
      <c r="F41" s="42">
        <f t="shared" ref="F41:X41" ca="1" si="8">F27*F$40*$AA$40</f>
        <v>23742.531801964356</v>
      </c>
      <c r="G41" s="42">
        <f t="shared" ca="1" si="8"/>
        <v>27012.904210069133</v>
      </c>
      <c r="H41" s="42">
        <f t="shared" ca="1" si="8"/>
        <v>28789.321469202361</v>
      </c>
      <c r="I41" s="42">
        <f t="shared" ca="1" si="8"/>
        <v>29594.001669072164</v>
      </c>
      <c r="J41" s="42">
        <f t="shared" ca="1" si="8"/>
        <v>28819.192869364499</v>
      </c>
      <c r="K41" s="42">
        <f t="shared" ca="1" si="8"/>
        <v>28136.569320117851</v>
      </c>
      <c r="L41" s="42">
        <f t="shared" ca="1" si="8"/>
        <v>27892.886177354154</v>
      </c>
      <c r="M41" s="42">
        <f t="shared" ca="1" si="8"/>
        <v>27402.240931550197</v>
      </c>
      <c r="N41" s="42">
        <f t="shared" ca="1" si="8"/>
        <v>27646.176713692395</v>
      </c>
      <c r="O41" s="42">
        <f t="shared" ca="1" si="8"/>
        <v>27581.907736369332</v>
      </c>
      <c r="P41" s="42">
        <f t="shared" ca="1" si="8"/>
        <v>26969.871710047901</v>
      </c>
      <c r="Q41" s="42">
        <f t="shared" ca="1" si="8"/>
        <v>26003.203598311102</v>
      </c>
      <c r="R41" s="42">
        <f t="shared" ca="1" si="8"/>
        <v>25777.364773346064</v>
      </c>
      <c r="S41" s="42">
        <f t="shared" ca="1" si="8"/>
        <v>25822.361499225095</v>
      </c>
      <c r="T41" s="42">
        <f t="shared" ca="1" si="8"/>
        <v>25401.725949574964</v>
      </c>
      <c r="U41" s="42">
        <f t="shared" ca="1" si="8"/>
        <v>24261.195808005781</v>
      </c>
      <c r="V41" s="42">
        <f t="shared" ca="1" si="8"/>
        <v>23919.976169395261</v>
      </c>
      <c r="W41" s="42">
        <f t="shared" ca="1" si="8"/>
        <v>23680.259470742716</v>
      </c>
      <c r="X41" s="42">
        <f t="shared" ca="1" si="8"/>
        <v>23841.02184703551</v>
      </c>
      <c r="Y41" s="42"/>
      <c r="AA41" s="42">
        <f t="shared" ref="AA41:AA44" ca="1" si="9">SUM(E41:Y41)</f>
        <v>519382.45474112203</v>
      </c>
    </row>
    <row r="42" spans="1:69">
      <c r="B42" s="9" t="str">
        <f t="shared" ref="B42:B48" si="10">C42&amp;D42</f>
        <v>Multifamily - Low RiseENERGY STAR Desktops</v>
      </c>
      <c r="C42" s="9" t="str">
        <f t="shared" ref="C42:C44" si="11">C14</f>
        <v>Multifamily - Low Rise</v>
      </c>
      <c r="D42" s="9" t="s">
        <v>293</v>
      </c>
      <c r="E42" s="42">
        <f t="shared" ref="E42:X42" ca="1" si="12">E28*E$40*$AA$40</f>
        <v>2922.9995104901482</v>
      </c>
      <c r="F42" s="42">
        <f t="shared" ca="1" si="12"/>
        <v>4197.9053087141438</v>
      </c>
      <c r="G42" s="42">
        <f t="shared" ca="1" si="12"/>
        <v>4993.929428350646</v>
      </c>
      <c r="H42" s="42">
        <f t="shared" ca="1" si="12"/>
        <v>5326.2877567645137</v>
      </c>
      <c r="I42" s="42">
        <f t="shared" ca="1" si="12"/>
        <v>5303.3309316636933</v>
      </c>
      <c r="J42" s="42">
        <f t="shared" ca="1" si="12"/>
        <v>5225.663767869044</v>
      </c>
      <c r="K42" s="42">
        <f t="shared" ca="1" si="12"/>
        <v>5200.3931077249908</v>
      </c>
      <c r="L42" s="42">
        <f t="shared" ca="1" si="12"/>
        <v>5276.4492213215726</v>
      </c>
      <c r="M42" s="42">
        <f t="shared" ca="1" si="12"/>
        <v>5365.0684482013512</v>
      </c>
      <c r="N42" s="42">
        <f t="shared" ca="1" si="12"/>
        <v>5462.8636964819671</v>
      </c>
      <c r="O42" s="42">
        <f t="shared" ca="1" si="12"/>
        <v>5434.9630493243021</v>
      </c>
      <c r="P42" s="42">
        <f t="shared" ca="1" si="12"/>
        <v>5384.9568037726485</v>
      </c>
      <c r="Q42" s="42">
        <f t="shared" ca="1" si="12"/>
        <v>5341.7632258405902</v>
      </c>
      <c r="R42" s="42">
        <f t="shared" ca="1" si="12"/>
        <v>5232.3003135655481</v>
      </c>
      <c r="S42" s="42">
        <f t="shared" ca="1" si="12"/>
        <v>5118.5301093233393</v>
      </c>
      <c r="T42" s="42">
        <f t="shared" ca="1" si="12"/>
        <v>4953.2581995277205</v>
      </c>
      <c r="U42" s="42">
        <f t="shared" ca="1" si="12"/>
        <v>4809.2993330218851</v>
      </c>
      <c r="V42" s="42">
        <f t="shared" ca="1" si="12"/>
        <v>4689.5705273548283</v>
      </c>
      <c r="W42" s="42">
        <f t="shared" ca="1" si="12"/>
        <v>4541.6525485792627</v>
      </c>
      <c r="X42" s="42">
        <f t="shared" ca="1" si="12"/>
        <v>4524.4711264936841</v>
      </c>
      <c r="Y42" s="42"/>
      <c r="AA42" s="42">
        <f t="shared" ca="1" si="9"/>
        <v>99305.65641438587</v>
      </c>
    </row>
    <row r="43" spans="1:69">
      <c r="B43" s="9" t="str">
        <f t="shared" si="10"/>
        <v>Multifamily - High RiseENERGY STAR Desktops</v>
      </c>
      <c r="C43" s="9" t="str">
        <f t="shared" si="11"/>
        <v>Multifamily - High Rise</v>
      </c>
      <c r="D43" s="9" t="s">
        <v>293</v>
      </c>
      <c r="E43" s="42">
        <f t="shared" ref="E43:X43" ca="1" si="13">E29*E$40*$AA$40</f>
        <v>656.18838137986654</v>
      </c>
      <c r="F43" s="42">
        <f t="shared" ca="1" si="13"/>
        <v>955.66005493772479</v>
      </c>
      <c r="G43" s="42">
        <f t="shared" ca="1" si="13"/>
        <v>1153.9873121749004</v>
      </c>
      <c r="H43" s="42">
        <f t="shared" ca="1" si="13"/>
        <v>1202.4065504051071</v>
      </c>
      <c r="I43" s="42">
        <f t="shared" ca="1" si="13"/>
        <v>1174.0347679058063</v>
      </c>
      <c r="J43" s="42">
        <f t="shared" ca="1" si="13"/>
        <v>1174.1665078196179</v>
      </c>
      <c r="K43" s="42">
        <f t="shared" ca="1" si="13"/>
        <v>1171.9184111682303</v>
      </c>
      <c r="L43" s="42">
        <f t="shared" ca="1" si="13"/>
        <v>1203.8384740253625</v>
      </c>
      <c r="M43" s="42">
        <f t="shared" ca="1" si="13"/>
        <v>1215.4517108452771</v>
      </c>
      <c r="N43" s="42">
        <f t="shared" ca="1" si="13"/>
        <v>1237.4776568726534</v>
      </c>
      <c r="O43" s="42">
        <f t="shared" ca="1" si="13"/>
        <v>1216.3369737322344</v>
      </c>
      <c r="P43" s="42">
        <f t="shared" ca="1" si="13"/>
        <v>1202.8141450218611</v>
      </c>
      <c r="Q43" s="42">
        <f t="shared" ca="1" si="13"/>
        <v>1182.8734658346573</v>
      </c>
      <c r="R43" s="42">
        <f t="shared" ca="1" si="13"/>
        <v>1167.7113714797877</v>
      </c>
      <c r="S43" s="42">
        <f t="shared" ca="1" si="13"/>
        <v>1147.7626559805665</v>
      </c>
      <c r="T43" s="42">
        <f t="shared" ca="1" si="13"/>
        <v>1109.9159959143021</v>
      </c>
      <c r="U43" s="42">
        <f t="shared" ca="1" si="13"/>
        <v>1078.9509877014314</v>
      </c>
      <c r="V43" s="42">
        <f t="shared" ca="1" si="13"/>
        <v>1041.0567201654901</v>
      </c>
      <c r="W43" s="42">
        <f t="shared" ca="1" si="13"/>
        <v>1024.0893202442012</v>
      </c>
      <c r="X43" s="42">
        <f t="shared" ca="1" si="13"/>
        <v>1019.4238828253921</v>
      </c>
      <c r="Y43" s="42"/>
      <c r="AA43" s="42">
        <f t="shared" ca="1" si="9"/>
        <v>22336.065346434465</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c r="B44" s="9" t="str">
        <f t="shared" si="10"/>
        <v>ManufacturedENERGY STAR Desktops</v>
      </c>
      <c r="C44" s="9" t="str">
        <f t="shared" si="11"/>
        <v>Manufactured</v>
      </c>
      <c r="D44" s="9" t="s">
        <v>293</v>
      </c>
      <c r="E44" s="42">
        <f t="shared" ref="E44:X44" ca="1" si="14">E30*E$40*$AA$40</f>
        <v>373.37599382125296</v>
      </c>
      <c r="F44" s="42">
        <f t="shared" ca="1" si="14"/>
        <v>545.89957612867659</v>
      </c>
      <c r="G44" s="42">
        <f t="shared" ca="1" si="14"/>
        <v>678.72259504024476</v>
      </c>
      <c r="H44" s="42">
        <f t="shared" ca="1" si="14"/>
        <v>775.32149402489108</v>
      </c>
      <c r="I44" s="42">
        <f t="shared" ca="1" si="14"/>
        <v>794.00551927603476</v>
      </c>
      <c r="J44" s="42">
        <f t="shared" ca="1" si="14"/>
        <v>798.7098049844293</v>
      </c>
      <c r="K44" s="42">
        <f t="shared" ca="1" si="14"/>
        <v>804.79593972327848</v>
      </c>
      <c r="L44" s="42">
        <f t="shared" ca="1" si="14"/>
        <v>806.17687268010798</v>
      </c>
      <c r="M44" s="42">
        <f t="shared" ca="1" si="14"/>
        <v>804.64123384420566</v>
      </c>
      <c r="N44" s="42">
        <f t="shared" ca="1" si="14"/>
        <v>798.13307273728526</v>
      </c>
      <c r="O44" s="42">
        <f t="shared" ca="1" si="14"/>
        <v>786.48721638708741</v>
      </c>
      <c r="P44" s="42">
        <f t="shared" ca="1" si="14"/>
        <v>778.21757545320486</v>
      </c>
      <c r="Q44" s="42">
        <f t="shared" ca="1" si="14"/>
        <v>771.83814025556501</v>
      </c>
      <c r="R44" s="42">
        <f t="shared" ca="1" si="14"/>
        <v>765.19156017395017</v>
      </c>
      <c r="S44" s="42">
        <f t="shared" ca="1" si="14"/>
        <v>757.96019540969564</v>
      </c>
      <c r="T44" s="42">
        <f t="shared" ca="1" si="14"/>
        <v>748.43893909305825</v>
      </c>
      <c r="U44" s="42">
        <f t="shared" ca="1" si="14"/>
        <v>738.78788231693125</v>
      </c>
      <c r="V44" s="42">
        <f t="shared" ca="1" si="14"/>
        <v>729.72618134119045</v>
      </c>
      <c r="W44" s="42">
        <f t="shared" ca="1" si="14"/>
        <v>720.80204197635715</v>
      </c>
      <c r="X44" s="42">
        <f t="shared" ca="1" si="14"/>
        <v>720.88711614908811</v>
      </c>
      <c r="Y44" s="42"/>
      <c r="AA44" s="42">
        <f t="shared" ca="1" si="9"/>
        <v>14698.118950816533</v>
      </c>
    </row>
    <row r="45" spans="1:69">
      <c r="B45" s="9" t="str">
        <f t="shared" si="10"/>
        <v>Single FamilyENERGY STAR Laptops</v>
      </c>
      <c r="C45" s="9" t="str">
        <f>C41</f>
        <v>Single Family</v>
      </c>
      <c r="D45" s="9" t="s">
        <v>294</v>
      </c>
      <c r="E45" s="42">
        <f t="shared" ref="E45:X45" ca="1" si="15">E31*E$40*$AA$40</f>
        <v>5987.0220158993125</v>
      </c>
      <c r="F45" s="42">
        <f t="shared" ca="1" si="15"/>
        <v>9228.553387551412</v>
      </c>
      <c r="G45" s="42">
        <f t="shared" ca="1" si="15"/>
        <v>11555.24361290812</v>
      </c>
      <c r="H45" s="42">
        <f t="shared" ca="1" si="15"/>
        <v>13462.337943468647</v>
      </c>
      <c r="I45" s="42">
        <f t="shared" ca="1" si="15"/>
        <v>15041.461686215011</v>
      </c>
      <c r="J45" s="42">
        <f t="shared" ca="1" si="15"/>
        <v>14799.715160968817</v>
      </c>
      <c r="K45" s="42">
        <f t="shared" ca="1" si="15"/>
        <v>14600.344306223091</v>
      </c>
      <c r="L45" s="42">
        <f t="shared" ca="1" si="15"/>
        <v>14626.543251010653</v>
      </c>
      <c r="M45" s="42">
        <f t="shared" ca="1" si="15"/>
        <v>14522.024947176478</v>
      </c>
      <c r="N45" s="42">
        <f t="shared" ca="1" si="15"/>
        <v>14808.337182635356</v>
      </c>
      <c r="O45" s="42">
        <f t="shared" ca="1" si="15"/>
        <v>14933.569213246668</v>
      </c>
      <c r="P45" s="42">
        <f t="shared" ca="1" si="15"/>
        <v>14761.314367922731</v>
      </c>
      <c r="Q45" s="42">
        <f t="shared" ca="1" si="15"/>
        <v>14388.626136437038</v>
      </c>
      <c r="R45" s="42">
        <f t="shared" ca="1" si="15"/>
        <v>14421.737641429274</v>
      </c>
      <c r="S45" s="42">
        <f t="shared" ca="1" si="15"/>
        <v>14608.402264340573</v>
      </c>
      <c r="T45" s="42">
        <f t="shared" ca="1" si="15"/>
        <v>14566.233611292553</v>
      </c>
      <c r="U45" s="42">
        <f t="shared" ca="1" si="15"/>
        <v>14103.847024653804</v>
      </c>
      <c r="V45" s="42">
        <f t="shared" ca="1" si="15"/>
        <v>14099.15702375062</v>
      </c>
      <c r="W45" s="42">
        <f t="shared" ca="1" si="15"/>
        <v>14154.457778850137</v>
      </c>
      <c r="X45" s="42">
        <f t="shared" ca="1" si="15"/>
        <v>14250.55065614633</v>
      </c>
      <c r="Y45" s="42"/>
      <c r="AA45" s="42">
        <f t="shared" ref="AA45:AA48" ca="1" si="16">SUM(E45:Y45)</f>
        <v>272919.47921212664</v>
      </c>
    </row>
    <row r="46" spans="1:69">
      <c r="B46" s="9" t="str">
        <f t="shared" si="10"/>
        <v>Multifamily - Low RiseENERGY STAR Laptops</v>
      </c>
      <c r="C46" s="9" t="str">
        <f t="shared" ref="C46:C48" si="17">C42</f>
        <v>Multifamily - Low Rise</v>
      </c>
      <c r="D46" s="9" t="s">
        <v>294</v>
      </c>
      <c r="E46" s="42">
        <f t="shared" ref="E46:X46" ca="1" si="18">E32*E$40*$AA$40</f>
        <v>856.05723418302614</v>
      </c>
      <c r="F46" s="42">
        <f t="shared" ca="1" si="18"/>
        <v>1363.9143406019407</v>
      </c>
      <c r="G46" s="42">
        <f t="shared" ca="1" si="18"/>
        <v>1785.657183582907</v>
      </c>
      <c r="H46" s="42">
        <f t="shared" ca="1" si="18"/>
        <v>2081.908038741075</v>
      </c>
      <c r="I46" s="42">
        <f t="shared" ca="1" si="18"/>
        <v>2253.1127913487185</v>
      </c>
      <c r="J46" s="42">
        <f t="shared" ca="1" si="18"/>
        <v>2243.1631568491894</v>
      </c>
      <c r="K46" s="42">
        <f t="shared" ca="1" si="18"/>
        <v>2255.6721919426477</v>
      </c>
      <c r="L46" s="42">
        <f t="shared" ca="1" si="18"/>
        <v>2312.7988630603909</v>
      </c>
      <c r="M46" s="42">
        <f t="shared" ca="1" si="18"/>
        <v>2376.6444870308469</v>
      </c>
      <c r="N46" s="42">
        <f t="shared" ca="1" si="18"/>
        <v>2445.904165196077</v>
      </c>
      <c r="O46" s="42">
        <f t="shared" ca="1" si="18"/>
        <v>2459.7092288072718</v>
      </c>
      <c r="P46" s="42">
        <f t="shared" ca="1" si="18"/>
        <v>2463.6342307820591</v>
      </c>
      <c r="Q46" s="42">
        <f t="shared" ca="1" si="18"/>
        <v>2470.7281478192558</v>
      </c>
      <c r="R46" s="42">
        <f t="shared" ca="1" si="18"/>
        <v>2446.9190005943838</v>
      </c>
      <c r="S46" s="42">
        <f t="shared" ca="1" si="18"/>
        <v>2420.4709905920749</v>
      </c>
      <c r="T46" s="42">
        <f t="shared" ca="1" si="18"/>
        <v>2374.2304399330105</v>
      </c>
      <c r="U46" s="42">
        <f t="shared" ca="1" si="18"/>
        <v>2336.9803003496254</v>
      </c>
      <c r="V46" s="42">
        <f t="shared" ca="1" si="18"/>
        <v>2310.5391595707706</v>
      </c>
      <c r="W46" s="42">
        <f t="shared" ca="1" si="18"/>
        <v>2269.1778925666576</v>
      </c>
      <c r="X46" s="42">
        <f t="shared" ca="1" si="18"/>
        <v>2260.5934174791387</v>
      </c>
      <c r="Y46" s="42"/>
      <c r="AA46" s="42">
        <f t="shared" ca="1" si="16"/>
        <v>43787.815261031064</v>
      </c>
    </row>
    <row r="47" spans="1:69">
      <c r="B47" s="9" t="str">
        <f t="shared" si="10"/>
        <v>Multifamily - High RiseENERGY STAR Laptops</v>
      </c>
      <c r="C47" s="9" t="str">
        <f t="shared" si="17"/>
        <v>Multifamily - High Rise</v>
      </c>
      <c r="D47" s="9" t="s">
        <v>294</v>
      </c>
      <c r="E47" s="42">
        <f t="shared" ref="E47:X47" ca="1" si="19">E33*E$40*$AA$40</f>
        <v>192.17752478271535</v>
      </c>
      <c r="F47" s="42">
        <f t="shared" ca="1" si="19"/>
        <v>310.49734517934041</v>
      </c>
      <c r="G47" s="42">
        <f t="shared" ca="1" si="19"/>
        <v>412.62612203737297</v>
      </c>
      <c r="H47" s="42">
        <f t="shared" ca="1" si="19"/>
        <v>469.98960203456278</v>
      </c>
      <c r="I47" s="42">
        <f t="shared" ca="1" si="19"/>
        <v>498.78704292490141</v>
      </c>
      <c r="J47" s="42">
        <f t="shared" ca="1" si="19"/>
        <v>504.02153053587887</v>
      </c>
      <c r="K47" s="42">
        <f t="shared" ca="1" si="19"/>
        <v>508.31998976596992</v>
      </c>
      <c r="L47" s="42">
        <f t="shared" ca="1" si="19"/>
        <v>527.67232986596559</v>
      </c>
      <c r="M47" s="42">
        <f t="shared" ca="1" si="19"/>
        <v>538.42679468536505</v>
      </c>
      <c r="N47" s="42">
        <f t="shared" ca="1" si="19"/>
        <v>554.05954156079429</v>
      </c>
      <c r="O47" s="42">
        <f t="shared" ca="1" si="19"/>
        <v>550.47941494296674</v>
      </c>
      <c r="P47" s="42">
        <f t="shared" ca="1" si="19"/>
        <v>550.29115532898209</v>
      </c>
      <c r="Q47" s="42">
        <f t="shared" ca="1" si="19"/>
        <v>547.114996263487</v>
      </c>
      <c r="R47" s="42">
        <f t="shared" ca="1" si="19"/>
        <v>546.08775698062277</v>
      </c>
      <c r="S47" s="42">
        <f t="shared" ca="1" si="19"/>
        <v>542.75859544628861</v>
      </c>
      <c r="T47" s="42">
        <f t="shared" ca="1" si="19"/>
        <v>532.01271508914226</v>
      </c>
      <c r="U47" s="42">
        <f t="shared" ca="1" si="19"/>
        <v>524.29408707996981</v>
      </c>
      <c r="V47" s="42">
        <f t="shared" ca="1" si="19"/>
        <v>512.92592898340547</v>
      </c>
      <c r="W47" s="42">
        <f t="shared" ca="1" si="19"/>
        <v>511.67296939936779</v>
      </c>
      <c r="X47" s="42">
        <f t="shared" ca="1" si="19"/>
        <v>509.34194399910336</v>
      </c>
      <c r="Y47" s="42"/>
      <c r="AA47" s="42">
        <f t="shared" ca="1" si="16"/>
        <v>9843.5573868862011</v>
      </c>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1:69">
      <c r="B48" s="9" t="str">
        <f t="shared" si="10"/>
        <v>ManufacturedENERGY STAR Laptops</v>
      </c>
      <c r="C48" s="9" t="str">
        <f t="shared" si="17"/>
        <v>Manufactured</v>
      </c>
      <c r="D48" s="9" t="s">
        <v>294</v>
      </c>
      <c r="E48" s="42">
        <f t="shared" ref="E48:X48" ca="1" si="20">E34*E$40*$AA$40</f>
        <v>109.35041878517544</v>
      </c>
      <c r="F48" s="42">
        <f t="shared" ca="1" si="20"/>
        <v>177.36471064862781</v>
      </c>
      <c r="G48" s="42">
        <f t="shared" ca="1" si="20"/>
        <v>242.68782626628419</v>
      </c>
      <c r="H48" s="42">
        <f t="shared" ca="1" si="20"/>
        <v>303.05310654107154</v>
      </c>
      <c r="I48" s="42">
        <f t="shared" ca="1" si="20"/>
        <v>337.33214369126654</v>
      </c>
      <c r="J48" s="42">
        <f t="shared" ca="1" si="20"/>
        <v>342.85336507325246</v>
      </c>
      <c r="K48" s="42">
        <f t="shared" ca="1" si="20"/>
        <v>349.08049907333117</v>
      </c>
      <c r="L48" s="42">
        <f t="shared" ca="1" si="20"/>
        <v>353.36736436802755</v>
      </c>
      <c r="M48" s="42">
        <f t="shared" ca="1" si="20"/>
        <v>356.44394305810721</v>
      </c>
      <c r="N48" s="42">
        <f t="shared" ca="1" si="20"/>
        <v>357.35048784871577</v>
      </c>
      <c r="O48" s="42">
        <f t="shared" ca="1" si="20"/>
        <v>355.94167741890533</v>
      </c>
      <c r="P48" s="42">
        <f t="shared" ca="1" si="20"/>
        <v>356.03692429613068</v>
      </c>
      <c r="Q48" s="42">
        <f t="shared" ca="1" si="20"/>
        <v>356.99864222076258</v>
      </c>
      <c r="R48" s="42">
        <f t="shared" ca="1" si="20"/>
        <v>357.84677015379106</v>
      </c>
      <c r="S48" s="42">
        <f t="shared" ca="1" si="20"/>
        <v>358.42724880545882</v>
      </c>
      <c r="T48" s="42">
        <f t="shared" ca="1" si="20"/>
        <v>358.74699844949248</v>
      </c>
      <c r="U48" s="42">
        <f t="shared" ca="1" si="20"/>
        <v>358.99880784231266</v>
      </c>
      <c r="V48" s="42">
        <f t="shared" ca="1" si="20"/>
        <v>359.53418504271684</v>
      </c>
      <c r="W48" s="42">
        <f t="shared" ca="1" si="20"/>
        <v>360.13940764387996</v>
      </c>
      <c r="X48" s="42">
        <f t="shared" ca="1" si="20"/>
        <v>360.18191385278197</v>
      </c>
      <c r="Y48" s="42"/>
      <c r="AA48" s="42">
        <f t="shared" ca="1" si="16"/>
        <v>6511.7364410800919</v>
      </c>
    </row>
    <row r="49" spans="1:80">
      <c r="E49" s="42"/>
      <c r="F49" s="42"/>
      <c r="G49" s="42"/>
      <c r="H49" s="42"/>
      <c r="I49" s="42"/>
      <c r="J49" s="42"/>
      <c r="K49" s="42"/>
      <c r="L49" s="42"/>
      <c r="M49" s="42"/>
      <c r="N49" s="42"/>
      <c r="O49" s="42"/>
      <c r="P49" s="42"/>
      <c r="Q49" s="42"/>
      <c r="R49" s="42"/>
      <c r="S49" s="42"/>
      <c r="T49" s="42"/>
      <c r="U49" s="42"/>
      <c r="V49" s="42"/>
      <c r="W49" s="42"/>
      <c r="X49" s="42"/>
      <c r="Y49" s="42"/>
    </row>
    <row r="50" spans="1:80">
      <c r="E50" s="42">
        <f t="shared" ref="E50:X50" ca="1" si="21">SUM(E41:E44)</f>
        <v>21040.304902372514</v>
      </c>
      <c r="F50" s="42">
        <f t="shared" ca="1" si="21"/>
        <v>29441.996741744901</v>
      </c>
      <c r="G50" s="42">
        <f t="shared" ca="1" si="21"/>
        <v>33839.543545634922</v>
      </c>
      <c r="H50" s="42">
        <f t="shared" ca="1" si="21"/>
        <v>36093.337270396878</v>
      </c>
      <c r="I50" s="42">
        <f t="shared" ca="1" si="21"/>
        <v>36865.372887917692</v>
      </c>
      <c r="J50" s="42">
        <f t="shared" ca="1" si="21"/>
        <v>36017.732950037585</v>
      </c>
      <c r="K50" s="42">
        <f t="shared" ca="1" si="21"/>
        <v>35313.676778734349</v>
      </c>
      <c r="L50" s="42">
        <f t="shared" ca="1" si="21"/>
        <v>35179.350745381198</v>
      </c>
      <c r="M50" s="42">
        <f t="shared" ca="1" si="21"/>
        <v>34787.402324441027</v>
      </c>
      <c r="N50" s="42">
        <f t="shared" ca="1" si="21"/>
        <v>35144.651139784299</v>
      </c>
      <c r="O50" s="42">
        <f t="shared" ca="1" si="21"/>
        <v>35019.694975812963</v>
      </c>
      <c r="P50" s="42">
        <f t="shared" ca="1" si="21"/>
        <v>34335.860234295622</v>
      </c>
      <c r="Q50" s="42">
        <f t="shared" ca="1" si="21"/>
        <v>33299.678430241918</v>
      </c>
      <c r="R50" s="42">
        <f t="shared" ca="1" si="21"/>
        <v>32942.568018565355</v>
      </c>
      <c r="S50" s="42">
        <f t="shared" ca="1" si="21"/>
        <v>32846.614459938697</v>
      </c>
      <c r="T50" s="42">
        <f t="shared" ca="1" si="21"/>
        <v>32213.339084110048</v>
      </c>
      <c r="U50" s="42">
        <f t="shared" ca="1" si="21"/>
        <v>30888.234011046028</v>
      </c>
      <c r="V50" s="42">
        <f t="shared" ca="1" si="21"/>
        <v>30380.329598256769</v>
      </c>
      <c r="W50" s="42">
        <f t="shared" ca="1" si="21"/>
        <v>29966.803381542537</v>
      </c>
      <c r="X50" s="42">
        <f t="shared" ca="1" si="21"/>
        <v>30105.803972503676</v>
      </c>
      <c r="Y50" s="42"/>
      <c r="AA50" s="42">
        <f ca="1">SUM(E50:Y50)</f>
        <v>655722.2954527589</v>
      </c>
    </row>
    <row r="52" spans="1:80">
      <c r="AA52"/>
      <c r="AB52"/>
      <c r="AC52"/>
      <c r="AD52"/>
    </row>
    <row r="53" spans="1:80" ht="15">
      <c r="A53" s="63" t="s">
        <v>62</v>
      </c>
      <c r="C53" s="72" t="str">
        <f>C8</f>
        <v>Computer</v>
      </c>
      <c r="D53" s="72"/>
      <c r="E53" s="9" t="s">
        <v>338</v>
      </c>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A54" s="72" t="s">
        <v>63</v>
      </c>
      <c r="B54" s="72" t="s">
        <v>24</v>
      </c>
      <c r="C54" s="72">
        <v>1</v>
      </c>
      <c r="D54" s="72"/>
      <c r="E54" s="66">
        <f t="shared" ref="E54:X54" si="22">E11</f>
        <v>2016</v>
      </c>
      <c r="F54" s="67">
        <f t="shared" si="22"/>
        <v>2017</v>
      </c>
      <c r="G54" s="67">
        <f t="shared" si="22"/>
        <v>2018</v>
      </c>
      <c r="H54" s="67">
        <f t="shared" si="22"/>
        <v>2019</v>
      </c>
      <c r="I54" s="67">
        <f t="shared" si="22"/>
        <v>2020</v>
      </c>
      <c r="J54" s="67">
        <f t="shared" si="22"/>
        <v>2021</v>
      </c>
      <c r="K54" s="67">
        <f t="shared" si="22"/>
        <v>2022</v>
      </c>
      <c r="L54" s="67">
        <f t="shared" si="22"/>
        <v>2023</v>
      </c>
      <c r="M54" s="67">
        <f t="shared" si="22"/>
        <v>2024</v>
      </c>
      <c r="N54" s="67">
        <f t="shared" si="22"/>
        <v>2025</v>
      </c>
      <c r="O54" s="67">
        <f t="shared" si="22"/>
        <v>2026</v>
      </c>
      <c r="P54" s="67">
        <f t="shared" si="22"/>
        <v>2027</v>
      </c>
      <c r="Q54" s="67">
        <f t="shared" si="22"/>
        <v>2028</v>
      </c>
      <c r="R54" s="67">
        <f t="shared" si="22"/>
        <v>2029</v>
      </c>
      <c r="S54" s="67">
        <f t="shared" si="22"/>
        <v>2030</v>
      </c>
      <c r="T54" s="67">
        <f t="shared" si="22"/>
        <v>2031</v>
      </c>
      <c r="U54" s="67">
        <f t="shared" si="22"/>
        <v>2032</v>
      </c>
      <c r="V54" s="67">
        <f t="shared" si="22"/>
        <v>2033</v>
      </c>
      <c r="W54" s="67">
        <f t="shared" si="22"/>
        <v>2034</v>
      </c>
      <c r="X54" s="67">
        <f t="shared" si="22"/>
        <v>2035</v>
      </c>
      <c r="Y54" s="68" t="s">
        <v>59</v>
      </c>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A55" s="72" t="s">
        <v>46</v>
      </c>
      <c r="B55" s="72" t="s">
        <v>64</v>
      </c>
      <c r="C55" s="72" t="s">
        <v>65</v>
      </c>
      <c r="D55" s="72" t="s">
        <v>66</v>
      </c>
      <c r="E55" s="69" t="str">
        <f t="shared" ref="E55:X55" si="23">CONCATENATE("aMW_",E$11)</f>
        <v>aMW_2016</v>
      </c>
      <c r="F55" s="70" t="str">
        <f t="shared" si="23"/>
        <v>aMW_2017</v>
      </c>
      <c r="G55" s="70" t="str">
        <f t="shared" si="23"/>
        <v>aMW_2018</v>
      </c>
      <c r="H55" s="70" t="str">
        <f t="shared" si="23"/>
        <v>aMW_2019</v>
      </c>
      <c r="I55" s="70" t="str">
        <f t="shared" si="23"/>
        <v>aMW_2020</v>
      </c>
      <c r="J55" s="70" t="str">
        <f t="shared" si="23"/>
        <v>aMW_2021</v>
      </c>
      <c r="K55" s="70" t="str">
        <f t="shared" si="23"/>
        <v>aMW_2022</v>
      </c>
      <c r="L55" s="70" t="str">
        <f t="shared" si="23"/>
        <v>aMW_2023</v>
      </c>
      <c r="M55" s="70" t="str">
        <f t="shared" si="23"/>
        <v>aMW_2024</v>
      </c>
      <c r="N55" s="70" t="str">
        <f t="shared" si="23"/>
        <v>aMW_2025</v>
      </c>
      <c r="O55" s="70" t="str">
        <f t="shared" si="23"/>
        <v>aMW_2026</v>
      </c>
      <c r="P55" s="70" t="str">
        <f t="shared" si="23"/>
        <v>aMW_2027</v>
      </c>
      <c r="Q55" s="70" t="str">
        <f t="shared" si="23"/>
        <v>aMW_2028</v>
      </c>
      <c r="R55" s="70" t="str">
        <f t="shared" si="23"/>
        <v>aMW_2029</v>
      </c>
      <c r="S55" s="70" t="str">
        <f t="shared" si="23"/>
        <v>aMW_2030</v>
      </c>
      <c r="T55" s="70" t="str">
        <f t="shared" si="23"/>
        <v>aMW_2031</v>
      </c>
      <c r="U55" s="70" t="str">
        <f t="shared" si="23"/>
        <v>aMW_2032</v>
      </c>
      <c r="V55" s="70" t="str">
        <f t="shared" si="23"/>
        <v>aMW_2033</v>
      </c>
      <c r="W55" s="70" t="str">
        <f t="shared" si="23"/>
        <v>aMW_2034</v>
      </c>
      <c r="X55" s="70" t="str">
        <f t="shared" si="23"/>
        <v>aMW_2035</v>
      </c>
      <c r="Y55" s="71"/>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56" s="65"/>
      <c r="B56" s="65"/>
      <c r="E56" s="36"/>
      <c r="F56" s="36"/>
      <c r="G56" s="36"/>
      <c r="H56" s="36"/>
      <c r="I56" s="36"/>
      <c r="J56" s="36"/>
      <c r="K56" s="36"/>
      <c r="L56" s="36"/>
      <c r="M56" s="36"/>
      <c r="N56" s="36"/>
      <c r="O56" s="36"/>
      <c r="P56" s="36"/>
      <c r="Q56" s="36"/>
      <c r="R56" s="36"/>
      <c r="S56" s="36"/>
      <c r="T56" s="36"/>
      <c r="U56" s="36"/>
      <c r="V56" s="36"/>
      <c r="W56" s="36"/>
      <c r="X56" s="36"/>
      <c r="Y56" s="36"/>
      <c r="AA56" s="42"/>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A57" s="65"/>
      <c r="B57" s="65"/>
      <c r="E57" s="36"/>
      <c r="F57" s="36"/>
      <c r="G57" s="36"/>
      <c r="H57" s="36"/>
      <c r="I57" s="36"/>
      <c r="J57" s="36"/>
      <c r="K57" s="36"/>
      <c r="L57" s="36"/>
      <c r="M57" s="36"/>
      <c r="N57" s="36"/>
      <c r="O57" s="36"/>
      <c r="P57" s="36"/>
      <c r="Q57" s="36"/>
      <c r="R57" s="36"/>
      <c r="S57" s="36"/>
      <c r="T57" s="36"/>
      <c r="U57" s="36"/>
      <c r="V57" s="36"/>
      <c r="W57" s="36"/>
      <c r="X57" s="36"/>
      <c r="Y57" s="36"/>
      <c r="AA57" s="42"/>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58" s="65"/>
      <c r="B58" s="65"/>
      <c r="E58" s="36"/>
      <c r="F58" s="36"/>
      <c r="G58" s="36"/>
      <c r="H58" s="36"/>
      <c r="I58" s="36"/>
      <c r="J58" s="36"/>
      <c r="K58" s="36"/>
      <c r="L58" s="36"/>
      <c r="M58" s="36"/>
      <c r="N58" s="36"/>
      <c r="O58" s="36"/>
      <c r="P58" s="36"/>
      <c r="Q58" s="36"/>
      <c r="R58" s="36"/>
      <c r="S58" s="36"/>
      <c r="T58" s="36"/>
      <c r="U58" s="36"/>
      <c r="V58" s="36"/>
      <c r="W58" s="36"/>
      <c r="X58" s="36"/>
      <c r="Y58" s="36"/>
      <c r="AA58" s="42"/>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65"/>
      <c r="B59" s="65"/>
      <c r="E59" s="36"/>
      <c r="F59" s="36"/>
      <c r="G59" s="36"/>
      <c r="H59" s="36"/>
      <c r="I59" s="36"/>
      <c r="J59" s="36"/>
      <c r="K59" s="36"/>
      <c r="L59" s="36"/>
      <c r="M59" s="36"/>
      <c r="N59" s="36"/>
      <c r="O59" s="36"/>
      <c r="P59" s="36"/>
      <c r="Q59" s="36"/>
      <c r="R59" s="36"/>
      <c r="S59" s="36"/>
      <c r="T59" s="36"/>
      <c r="U59" s="36"/>
      <c r="V59" s="36"/>
      <c r="W59" s="36"/>
      <c r="X59" s="36"/>
      <c r="Y59" s="36"/>
      <c r="AA59" s="42"/>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65">
        <f t="shared" ref="A60:A67" si="24">VLOOKUP($D60,MeasureOutput,3,FALSE)</f>
        <v>68.243112182874043</v>
      </c>
      <c r="B60" s="65">
        <f t="shared" ref="B60:B67" si="25">VLOOKUP($D60,MeasureOutput,11,FALSE)</f>
        <v>40.942640426147406</v>
      </c>
      <c r="C60" s="9" t="str">
        <f t="shared" ref="C60:C67" si="26">C27</f>
        <v>Single Family</v>
      </c>
      <c r="D60" s="9" t="s">
        <v>293</v>
      </c>
      <c r="E60" s="55">
        <f ca="1">VLOOKUP($C60&amp;$D60,$B$41:$Y$48,E$39+1,FALSE)*$C$54*$A60/8760/1000</f>
        <v>0.13311879305402699</v>
      </c>
      <c r="F60" s="55">
        <f t="shared" ref="F60:X67" ca="1" si="27">VLOOKUP($C60&amp;$D60,$B$41:$Y$48,F$39+1,FALSE)*$C$54*$A60/8760/1000</f>
        <v>0.18496167366060595</v>
      </c>
      <c r="G60" s="55">
        <f t="shared" ca="1" si="27"/>
        <v>0.21043888725947241</v>
      </c>
      <c r="H60" s="55">
        <f t="shared" ca="1" si="27"/>
        <v>0.22427772770452065</v>
      </c>
      <c r="I60" s="55">
        <f t="shared" ca="1" si="27"/>
        <v>0.23054643559847643</v>
      </c>
      <c r="J60" s="55">
        <f t="shared" ca="1" si="27"/>
        <v>0.22451043516026542</v>
      </c>
      <c r="K60" s="55">
        <f t="shared" ca="1" si="27"/>
        <v>0.21919258636461353</v>
      </c>
      <c r="L60" s="55">
        <f t="shared" ca="1" si="27"/>
        <v>0.21729421923576669</v>
      </c>
      <c r="M60" s="55">
        <f t="shared" ca="1" si="27"/>
        <v>0.21347194086231999</v>
      </c>
      <c r="N60" s="55">
        <f t="shared" ca="1" si="27"/>
        <v>0.21537227613014501</v>
      </c>
      <c r="O60" s="55">
        <f t="shared" ca="1" si="27"/>
        <v>0.21487160089848559</v>
      </c>
      <c r="P60" s="55">
        <f t="shared" ca="1" si="27"/>
        <v>0.21010365076101825</v>
      </c>
      <c r="Q60" s="55">
        <f t="shared" ca="1" si="27"/>
        <v>0.20257300688055463</v>
      </c>
      <c r="R60" s="55">
        <f t="shared" ca="1" si="27"/>
        <v>0.20081365251213712</v>
      </c>
      <c r="S60" s="55">
        <f t="shared" ca="1" si="27"/>
        <v>0.20116419093816731</v>
      </c>
      <c r="T60" s="55">
        <f t="shared" ca="1" si="27"/>
        <v>0.19788730977345514</v>
      </c>
      <c r="U60" s="55">
        <f t="shared" ca="1" si="27"/>
        <v>0.18900222685118856</v>
      </c>
      <c r="V60" s="55">
        <f t="shared" ca="1" si="27"/>
        <v>0.1863440202214286</v>
      </c>
      <c r="W60" s="55">
        <f t="shared" ca="1" si="27"/>
        <v>0.18447655292025805</v>
      </c>
      <c r="X60" s="55">
        <f t="shared" ca="1" si="27"/>
        <v>0.18572894160520495</v>
      </c>
      <c r="Y60" s="55">
        <f ca="1">SUM(E60:X60)</f>
        <v>4.0461501283921111</v>
      </c>
      <c r="AA60" s="42">
        <f t="shared" ref="AA60:AA67" ca="1" si="28">SUM(E60:Y60)</f>
        <v>8.0923002567842222</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5">
        <f t="shared" si="24"/>
        <v>68.243112182874043</v>
      </c>
      <c r="B61" s="65">
        <f t="shared" si="25"/>
        <v>40.942640426147406</v>
      </c>
      <c r="C61" s="9" t="str">
        <f t="shared" si="26"/>
        <v>Multifamily - Low Rise</v>
      </c>
      <c r="D61" s="9" t="s">
        <v>293</v>
      </c>
      <c r="E61" s="55">
        <f t="shared" ref="E61:T67" ca="1" si="29">VLOOKUP($C61&amp;$D61,$B$41:$Y$48,E$39+1,FALSE)*$C$54*$A61/8760/1000</f>
        <v>2.2771071176354459E-2</v>
      </c>
      <c r="F61" s="55">
        <f t="shared" ca="1" si="29"/>
        <v>3.2702982067997925E-2</v>
      </c>
      <c r="G61" s="55">
        <f t="shared" ca="1" si="29"/>
        <v>3.8904256416927983E-2</v>
      </c>
      <c r="H61" s="55">
        <f t="shared" ca="1" si="29"/>
        <v>4.1493430696706531E-2</v>
      </c>
      <c r="I61" s="55">
        <f t="shared" ca="1" si="29"/>
        <v>4.1314589921510429E-2</v>
      </c>
      <c r="J61" s="55">
        <f t="shared" ca="1" si="29"/>
        <v>4.0709538669025963E-2</v>
      </c>
      <c r="K61" s="55">
        <f t="shared" ca="1" si="29"/>
        <v>4.0512672402456804E-2</v>
      </c>
      <c r="L61" s="55">
        <f t="shared" ca="1" si="29"/>
        <v>4.1105173075101198E-2</v>
      </c>
      <c r="M61" s="55">
        <f t="shared" ca="1" si="29"/>
        <v>4.1795544289886161E-2</v>
      </c>
      <c r="N61" s="55">
        <f t="shared" ca="1" si="29"/>
        <v>4.2557399552370867E-2</v>
      </c>
      <c r="O61" s="55">
        <f t="shared" ca="1" si="29"/>
        <v>4.2340044872695611E-2</v>
      </c>
      <c r="P61" s="55">
        <f t="shared" ca="1" si="29"/>
        <v>4.1950480737418687E-2</v>
      </c>
      <c r="Q61" s="55">
        <f t="shared" ca="1" si="29"/>
        <v>4.1613989392167865E-2</v>
      </c>
      <c r="R61" s="55">
        <f t="shared" ca="1" si="29"/>
        <v>4.0761239414742093E-2</v>
      </c>
      <c r="S61" s="55">
        <f t="shared" ca="1" si="29"/>
        <v>3.9874934299311778E-2</v>
      </c>
      <c r="T61" s="55">
        <f t="shared" ca="1" si="29"/>
        <v>3.8587414952181612E-2</v>
      </c>
      <c r="U61" s="55">
        <f t="shared" ca="1" si="27"/>
        <v>3.7465930811008429E-2</v>
      </c>
      <c r="V61" s="55">
        <f t="shared" ca="1" si="27"/>
        <v>3.6533206345636456E-2</v>
      </c>
      <c r="W61" s="55">
        <f t="shared" ca="1" si="27"/>
        <v>3.5380879494101639E-2</v>
      </c>
      <c r="X61" s="55">
        <f t="shared" ca="1" si="27"/>
        <v>3.5247030896516318E-2</v>
      </c>
      <c r="Y61" s="55">
        <f t="shared" ref="Y61:Y67" ca="1" si="30">SUM(E61:X61)</f>
        <v>0.77362180948411874</v>
      </c>
      <c r="AA61" s="42">
        <f t="shared" ca="1" si="28"/>
        <v>1.5472436189682375</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5">
        <f t="shared" si="24"/>
        <v>68.243112182874043</v>
      </c>
      <c r="B62" s="65">
        <f t="shared" si="25"/>
        <v>40.942640426147406</v>
      </c>
      <c r="C62" s="9" t="str">
        <f t="shared" si="26"/>
        <v>Multifamily - High Rise</v>
      </c>
      <c r="D62" s="9" t="s">
        <v>293</v>
      </c>
      <c r="E62" s="55">
        <f t="shared" ca="1" si="29"/>
        <v>5.1119106533795396E-3</v>
      </c>
      <c r="F62" s="55">
        <f t="shared" ca="1" si="27"/>
        <v>7.4448877097952884E-3</v>
      </c>
      <c r="G62" s="55">
        <f t="shared" ca="1" si="27"/>
        <v>8.9899184477585641E-3</v>
      </c>
      <c r="H62" s="55">
        <f t="shared" ca="1" si="27"/>
        <v>9.3671193046482096E-3</v>
      </c>
      <c r="I62" s="55">
        <f t="shared" ca="1" si="27"/>
        <v>9.1460943347934278E-3</v>
      </c>
      <c r="J62" s="55">
        <f t="shared" ca="1" si="27"/>
        <v>9.1471206295100048E-3</v>
      </c>
      <c r="K62" s="55">
        <f t="shared" ca="1" si="27"/>
        <v>9.129607260562677E-3</v>
      </c>
      <c r="L62" s="55">
        <f t="shared" ca="1" si="27"/>
        <v>9.378274432987754E-3</v>
      </c>
      <c r="M62" s="55">
        <f t="shared" ca="1" si="27"/>
        <v>9.4687451433881787E-3</v>
      </c>
      <c r="N62" s="55">
        <f t="shared" ca="1" si="27"/>
        <v>9.6403340823927614E-3</v>
      </c>
      <c r="O62" s="55">
        <f t="shared" ca="1" si="27"/>
        <v>9.4756416153637443E-3</v>
      </c>
      <c r="P62" s="55">
        <f t="shared" ca="1" si="27"/>
        <v>9.3702945929080607E-3</v>
      </c>
      <c r="Q62" s="55">
        <f t="shared" ca="1" si="27"/>
        <v>9.2149505282077097E-3</v>
      </c>
      <c r="R62" s="55">
        <f t="shared" ca="1" si="27"/>
        <v>9.0968331188484991E-3</v>
      </c>
      <c r="S62" s="55">
        <f t="shared" ca="1" si="27"/>
        <v>8.9414264487894142E-3</v>
      </c>
      <c r="T62" s="55">
        <f t="shared" ca="1" si="27"/>
        <v>8.6465892491719275E-3</v>
      </c>
      <c r="U62" s="55">
        <f t="shared" ca="1" si="27"/>
        <v>8.4053622481200362E-3</v>
      </c>
      <c r="V62" s="55">
        <f t="shared" ca="1" si="27"/>
        <v>8.1101541715740237E-3</v>
      </c>
      <c r="W62" s="55">
        <f t="shared" ca="1" si="27"/>
        <v>7.9779728729119006E-3</v>
      </c>
      <c r="X62" s="55">
        <f t="shared" ca="1" si="27"/>
        <v>7.9416276709536847E-3</v>
      </c>
      <c r="Y62" s="55">
        <f t="shared" ca="1" si="30"/>
        <v>0.17400486451606537</v>
      </c>
      <c r="AA62" s="42">
        <f t="shared" ca="1" si="28"/>
        <v>0.34800972903213073</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5">
        <f t="shared" si="24"/>
        <v>68.243112182874043</v>
      </c>
      <c r="B63" s="65">
        <f t="shared" si="25"/>
        <v>40.942640426147406</v>
      </c>
      <c r="C63" s="9" t="str">
        <f t="shared" si="26"/>
        <v>Manufactured</v>
      </c>
      <c r="D63" s="9" t="s">
        <v>293</v>
      </c>
      <c r="E63" s="55">
        <f t="shared" ca="1" si="29"/>
        <v>2.9087145927780651E-3</v>
      </c>
      <c r="F63" s="55">
        <f t="shared" ca="1" si="27"/>
        <v>4.2527267139649168E-3</v>
      </c>
      <c r="G63" s="55">
        <f t="shared" ca="1" si="27"/>
        <v>5.2874591546099095E-3</v>
      </c>
      <c r="H63" s="55">
        <f t="shared" ca="1" si="27"/>
        <v>6.039994485677414E-3</v>
      </c>
      <c r="I63" s="55">
        <f t="shared" ca="1" si="27"/>
        <v>6.1855488271433329E-3</v>
      </c>
      <c r="J63" s="55">
        <f t="shared" ca="1" si="27"/>
        <v>6.2221966693052346E-3</v>
      </c>
      <c r="K63" s="55">
        <f t="shared" ca="1" si="27"/>
        <v>6.2696095432485423E-3</v>
      </c>
      <c r="L63" s="55">
        <f t="shared" ca="1" si="27"/>
        <v>6.2803674385327824E-3</v>
      </c>
      <c r="M63" s="55">
        <f t="shared" ca="1" si="27"/>
        <v>6.2684043365520909E-3</v>
      </c>
      <c r="N63" s="55">
        <f t="shared" ca="1" si="27"/>
        <v>6.2177037465379597E-3</v>
      </c>
      <c r="O63" s="55">
        <f t="shared" ca="1" si="27"/>
        <v>6.1269789198972989E-3</v>
      </c>
      <c r="P63" s="55">
        <f t="shared" ca="1" si="27"/>
        <v>6.0625558566595097E-3</v>
      </c>
      <c r="Q63" s="55">
        <f t="shared" ca="1" si="27"/>
        <v>6.0128580813334914E-3</v>
      </c>
      <c r="R63" s="55">
        <f t="shared" ca="1" si="27"/>
        <v>5.961079164650605E-3</v>
      </c>
      <c r="S63" s="55">
        <f t="shared" ca="1" si="27"/>
        <v>5.9047445942348158E-3</v>
      </c>
      <c r="T63" s="55">
        <f t="shared" ca="1" si="27"/>
        <v>5.8305710596528318E-3</v>
      </c>
      <c r="U63" s="55">
        <f t="shared" ca="1" si="27"/>
        <v>5.7553863393039134E-3</v>
      </c>
      <c r="V63" s="55">
        <f t="shared" ca="1" si="27"/>
        <v>5.6847928831104053E-3</v>
      </c>
      <c r="W63" s="55">
        <f t="shared" ca="1" si="27"/>
        <v>5.6152710744563038E-3</v>
      </c>
      <c r="X63" s="55">
        <f t="shared" ca="1" si="27"/>
        <v>5.6159338286016856E-3</v>
      </c>
      <c r="Y63" s="55">
        <f t="shared" ca="1" si="30"/>
        <v>0.11450289731025114</v>
      </c>
      <c r="AA63" s="42">
        <f t="shared" ca="1" si="28"/>
        <v>0.22900579462050227</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65">
        <f t="shared" si="24"/>
        <v>19.719286947809731</v>
      </c>
      <c r="B64" s="65">
        <f t="shared" si="25"/>
        <v>825.16686960542836</v>
      </c>
      <c r="C64" s="9" t="str">
        <f t="shared" si="26"/>
        <v>Single Family</v>
      </c>
      <c r="D64" s="9" t="s">
        <v>294</v>
      </c>
      <c r="E64" s="55">
        <f t="shared" ca="1" si="29"/>
        <v>1.347714670027087E-2</v>
      </c>
      <c r="F64" s="55">
        <f t="shared" ca="1" si="27"/>
        <v>2.0774028808482628E-2</v>
      </c>
      <c r="G64" s="55">
        <f t="shared" ca="1" si="27"/>
        <v>2.601154846515763E-2</v>
      </c>
      <c r="H64" s="55">
        <f t="shared" ca="1" si="27"/>
        <v>3.03045325223339E-2</v>
      </c>
      <c r="I64" s="55">
        <f t="shared" ca="1" si="27"/>
        <v>3.3859235057643815E-2</v>
      </c>
      <c r="J64" s="55">
        <f t="shared" ca="1" si="27"/>
        <v>3.3315049087328096E-2</v>
      </c>
      <c r="K64" s="55">
        <f t="shared" ca="1" si="27"/>
        <v>3.2866253300369075E-2</v>
      </c>
      <c r="L64" s="55">
        <f t="shared" ca="1" si="27"/>
        <v>3.2925228701053529E-2</v>
      </c>
      <c r="M64" s="55">
        <f t="shared" ca="1" si="27"/>
        <v>3.268995171194343E-2</v>
      </c>
      <c r="N64" s="55">
        <f t="shared" ca="1" si="27"/>
        <v>3.3334457776747366E-2</v>
      </c>
      <c r="O64" s="55">
        <f t="shared" ca="1" si="27"/>
        <v>3.3616362610843407E-2</v>
      </c>
      <c r="P64" s="55">
        <f t="shared" ca="1" si="27"/>
        <v>3.3228606592225457E-2</v>
      </c>
      <c r="Q64" s="55">
        <f t="shared" ca="1" si="27"/>
        <v>3.238966296451562E-2</v>
      </c>
      <c r="R64" s="55">
        <f t="shared" ca="1" si="27"/>
        <v>3.2464198954037966E-2</v>
      </c>
      <c r="S64" s="55">
        <f t="shared" ca="1" si="27"/>
        <v>3.2884392248808812E-2</v>
      </c>
      <c r="T64" s="55">
        <f t="shared" ca="1" si="27"/>
        <v>3.2789468074190489E-2</v>
      </c>
      <c r="U64" s="55">
        <f t="shared" ca="1" si="27"/>
        <v>3.174860805332886E-2</v>
      </c>
      <c r="V64" s="55">
        <f t="shared" ca="1" si="27"/>
        <v>3.1738050579174143E-2</v>
      </c>
      <c r="W64" s="55">
        <f t="shared" ca="1" si="27"/>
        <v>3.1862535905457012E-2</v>
      </c>
      <c r="X64" s="55">
        <f t="shared" ca="1" si="27"/>
        <v>3.2078846752608185E-2</v>
      </c>
      <c r="Y64" s="55">
        <f t="shared" ca="1" si="30"/>
        <v>0.61435816486652028</v>
      </c>
      <c r="AA64" s="42">
        <f t="shared" ca="1" si="28"/>
        <v>1.2287163297330406</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65">
        <f t="shared" si="24"/>
        <v>19.719286947809731</v>
      </c>
      <c r="B65" s="65">
        <f t="shared" si="25"/>
        <v>825.16686960542836</v>
      </c>
      <c r="C65" s="9" t="str">
        <f t="shared" si="26"/>
        <v>Multifamily - Low Rise</v>
      </c>
      <c r="D65" s="9" t="s">
        <v>294</v>
      </c>
      <c r="E65" s="55">
        <f t="shared" ca="1" si="29"/>
        <v>1.9270363292926307E-3</v>
      </c>
      <c r="F65" s="55">
        <f t="shared" ca="1" si="27"/>
        <v>3.0702532254066627E-3</v>
      </c>
      <c r="G65" s="55">
        <f t="shared" ca="1" si="27"/>
        <v>4.019621734416565E-3</v>
      </c>
      <c r="H65" s="55">
        <f t="shared" ca="1" si="27"/>
        <v>4.6865002300099361E-3</v>
      </c>
      <c r="I65" s="55">
        <f t="shared" ca="1" si="27"/>
        <v>5.071892426756386E-3</v>
      </c>
      <c r="J65" s="55">
        <f t="shared" ca="1" si="27"/>
        <v>5.0494952009890286E-3</v>
      </c>
      <c r="K65" s="55">
        <f t="shared" ca="1" si="27"/>
        <v>5.0776537914511448E-3</v>
      </c>
      <c r="L65" s="55">
        <f t="shared" ca="1" si="27"/>
        <v>5.2062493645269351E-3</v>
      </c>
      <c r="M65" s="55">
        <f t="shared" ca="1" si="27"/>
        <v>5.3499697046451291E-3</v>
      </c>
      <c r="N65" s="55">
        <f t="shared" ca="1" si="27"/>
        <v>5.5058774064320158E-3</v>
      </c>
      <c r="O65" s="55">
        <f t="shared" ca="1" si="27"/>
        <v>5.5369534350486731E-3</v>
      </c>
      <c r="P65" s="55">
        <f t="shared" ca="1" si="27"/>
        <v>5.545788850597937E-3</v>
      </c>
      <c r="Q65" s="55">
        <f t="shared" ca="1" si="27"/>
        <v>5.5617576845751557E-3</v>
      </c>
      <c r="R65" s="55">
        <f t="shared" ca="1" si="27"/>
        <v>5.5081618619598699E-3</v>
      </c>
      <c r="S65" s="55">
        <f t="shared" ca="1" si="27"/>
        <v>5.4486258004947941E-3</v>
      </c>
      <c r="T65" s="55">
        <f t="shared" ca="1" si="27"/>
        <v>5.3445355394136501E-3</v>
      </c>
      <c r="U65" s="55">
        <f t="shared" ca="1" si="27"/>
        <v>5.2606832344717844E-3</v>
      </c>
      <c r="V65" s="55">
        <f t="shared" ca="1" si="27"/>
        <v>5.2011626360419132E-3</v>
      </c>
      <c r="W65" s="55">
        <f t="shared" ca="1" si="27"/>
        <v>5.1080559359758092E-3</v>
      </c>
      <c r="X65" s="55">
        <f t="shared" ca="1" si="27"/>
        <v>5.0887317661644955E-3</v>
      </c>
      <c r="Y65" s="55">
        <f t="shared" ca="1" si="30"/>
        <v>9.8569006158670522E-2</v>
      </c>
      <c r="AA65" s="42">
        <f t="shared" ca="1" si="28"/>
        <v>0.19713801231734104</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65">
        <f t="shared" si="24"/>
        <v>19.719286947809731</v>
      </c>
      <c r="B66" s="65">
        <f t="shared" si="25"/>
        <v>825.16686960542836</v>
      </c>
      <c r="C66" s="9" t="str">
        <f t="shared" si="26"/>
        <v>Multifamily - High Rise</v>
      </c>
      <c r="D66" s="9" t="s">
        <v>294</v>
      </c>
      <c r="E66" s="55">
        <f t="shared" ca="1" si="29"/>
        <v>4.3260316850572835E-4</v>
      </c>
      <c r="F66" s="55">
        <f t="shared" ca="1" si="27"/>
        <v>6.9894820161239043E-4</v>
      </c>
      <c r="G66" s="55">
        <f t="shared" ca="1" si="27"/>
        <v>9.2884622175992161E-4</v>
      </c>
      <c r="H66" s="55">
        <f t="shared" ca="1" si="27"/>
        <v>1.0579748658683156E-3</v>
      </c>
      <c r="I66" s="55">
        <f t="shared" ca="1" si="27"/>
        <v>1.1227996375896827E-3</v>
      </c>
      <c r="J66" s="55">
        <f t="shared" ca="1" si="27"/>
        <v>1.1345827840766255E-3</v>
      </c>
      <c r="K66" s="55">
        <f t="shared" ca="1" si="27"/>
        <v>1.1442588743724733E-3</v>
      </c>
      <c r="L66" s="55">
        <f t="shared" ca="1" si="27"/>
        <v>1.1878221560555123E-3</v>
      </c>
      <c r="M66" s="55">
        <f t="shared" ca="1" si="27"/>
        <v>1.2120311032865468E-3</v>
      </c>
      <c r="N66" s="55">
        <f t="shared" ca="1" si="27"/>
        <v>1.2472213568731981E-3</v>
      </c>
      <c r="O66" s="55">
        <f t="shared" ca="1" si="27"/>
        <v>1.2391622764980344E-3</v>
      </c>
      <c r="P66" s="55">
        <f t="shared" ca="1" si="27"/>
        <v>1.2387384927824126E-3</v>
      </c>
      <c r="Q66" s="55">
        <f t="shared" ca="1" si="27"/>
        <v>1.2315887676677567E-3</v>
      </c>
      <c r="R66" s="55">
        <f t="shared" ca="1" si="27"/>
        <v>1.2292763902496217E-3</v>
      </c>
      <c r="S66" s="55">
        <f t="shared" ca="1" si="27"/>
        <v>1.2217822473739202E-3</v>
      </c>
      <c r="T66" s="55">
        <f t="shared" ca="1" si="27"/>
        <v>1.197592624283806E-3</v>
      </c>
      <c r="U66" s="55">
        <f t="shared" ca="1" si="27"/>
        <v>1.1802175283298936E-3</v>
      </c>
      <c r="V66" s="55">
        <f t="shared" ca="1" si="27"/>
        <v>1.1546271206159416E-3</v>
      </c>
      <c r="W66" s="55">
        <f t="shared" ca="1" si="27"/>
        <v>1.1518066332219178E-3</v>
      </c>
      <c r="X66" s="55">
        <f t="shared" ca="1" si="27"/>
        <v>1.1465593548257483E-3</v>
      </c>
      <c r="Y66" s="55">
        <f t="shared" ca="1" si="30"/>
        <v>2.2158439805849448E-2</v>
      </c>
      <c r="AA66" s="42">
        <f t="shared" ca="1" si="28"/>
        <v>4.4316879611698896E-2</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67" s="65">
        <f t="shared" si="24"/>
        <v>19.719286947809731</v>
      </c>
      <c r="B67" s="65">
        <f t="shared" si="25"/>
        <v>825.16686960542836</v>
      </c>
      <c r="C67" s="9" t="str">
        <f t="shared" si="26"/>
        <v>Manufactured</v>
      </c>
      <c r="D67" s="9" t="s">
        <v>294</v>
      </c>
      <c r="E67" s="55">
        <f t="shared" ca="1" si="29"/>
        <v>2.4615437053516413E-4</v>
      </c>
      <c r="F67" s="55">
        <f t="shared" ca="1" si="27"/>
        <v>3.9925863284195618E-4</v>
      </c>
      <c r="G67" s="55">
        <f t="shared" ca="1" si="27"/>
        <v>5.4630489553482355E-4</v>
      </c>
      <c r="H67" s="55">
        <f t="shared" ca="1" si="27"/>
        <v>6.8219077263796158E-4</v>
      </c>
      <c r="I67" s="55">
        <f t="shared" ca="1" si="27"/>
        <v>7.5935494727943724E-4</v>
      </c>
      <c r="J67" s="55">
        <f t="shared" ca="1" si="27"/>
        <v>7.7178354873306306E-4</v>
      </c>
      <c r="K67" s="55">
        <f t="shared" ca="1" si="27"/>
        <v>7.8580120195338428E-4</v>
      </c>
      <c r="L67" s="55">
        <f t="shared" ca="1" si="27"/>
        <v>7.9545119360323866E-4</v>
      </c>
      <c r="M67" s="55">
        <f t="shared" ca="1" si="27"/>
        <v>8.0237675730269044E-4</v>
      </c>
      <c r="N67" s="55">
        <f t="shared" ca="1" si="27"/>
        <v>8.0441744415851832E-4</v>
      </c>
      <c r="O67" s="55">
        <f t="shared" ca="1" si="27"/>
        <v>8.012461271356304E-4</v>
      </c>
      <c r="P67" s="55">
        <f t="shared" ca="1" si="27"/>
        <v>8.0146053358573185E-4</v>
      </c>
      <c r="Q67" s="55">
        <f t="shared" ca="1" si="27"/>
        <v>8.0362541848512327E-4</v>
      </c>
      <c r="R67" s="55">
        <f t="shared" ca="1" si="27"/>
        <v>8.0553460548053897E-4</v>
      </c>
      <c r="S67" s="55">
        <f t="shared" ca="1" si="27"/>
        <v>8.0684129784347437E-4</v>
      </c>
      <c r="T67" s="55">
        <f t="shared" ca="1" si="27"/>
        <v>8.0756107352636928E-4</v>
      </c>
      <c r="U67" s="55">
        <f t="shared" ca="1" si="27"/>
        <v>8.0812791161691429E-4</v>
      </c>
      <c r="V67" s="55">
        <f t="shared" ca="1" si="27"/>
        <v>8.0933307790002917E-4</v>
      </c>
      <c r="W67" s="55">
        <f t="shared" ca="1" si="27"/>
        <v>8.1069547038172267E-4</v>
      </c>
      <c r="X67" s="55">
        <f t="shared" ca="1" si="27"/>
        <v>8.1079115441487363E-4</v>
      </c>
      <c r="Y67" s="55">
        <f t="shared" ca="1" si="30"/>
        <v>1.4658310434950646E-2</v>
      </c>
      <c r="AA67" s="42">
        <f t="shared" ca="1" si="28"/>
        <v>2.9316620869901291E-2</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E68" s="55"/>
      <c r="AA68" s="42"/>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B69" s="75">
        <f ca="1">SUMPRODUCT(B60:B67,AA60:AA67)/SUM(AA60:AA67)</f>
        <v>141.31221671670215</v>
      </c>
      <c r="E69" s="36">
        <f ca="1">SUM(E60:E67)</f>
        <v>0.17999343004514345</v>
      </c>
      <c r="F69" s="36">
        <f t="shared" ref="F69:Y69" ca="1" si="31">SUM(F60:F67)</f>
        <v>0.2543047590207077</v>
      </c>
      <c r="G69" s="36">
        <f t="shared" ca="1" si="31"/>
        <v>0.29512684259563782</v>
      </c>
      <c r="H69" s="36">
        <f t="shared" ca="1" si="31"/>
        <v>0.31790947058240299</v>
      </c>
      <c r="I69" s="36">
        <f t="shared" ca="1" si="31"/>
        <v>0.32800595075119288</v>
      </c>
      <c r="J69" s="36">
        <f t="shared" ca="1" si="31"/>
        <v>0.32086020174923346</v>
      </c>
      <c r="K69" s="36">
        <f t="shared" ca="1" si="31"/>
        <v>0.31497844273902764</v>
      </c>
      <c r="L69" s="36">
        <f t="shared" ca="1" si="31"/>
        <v>0.31417278559762768</v>
      </c>
      <c r="M69" s="36">
        <f t="shared" ca="1" si="31"/>
        <v>0.31105896390932425</v>
      </c>
      <c r="N69" s="36">
        <f t="shared" ca="1" si="31"/>
        <v>0.31467968749565778</v>
      </c>
      <c r="O69" s="36">
        <f t="shared" ca="1" si="31"/>
        <v>0.31400799075596791</v>
      </c>
      <c r="P69" s="36">
        <f t="shared" ca="1" si="31"/>
        <v>0.30830157641719597</v>
      </c>
      <c r="Q69" s="36">
        <f t="shared" ca="1" si="31"/>
        <v>0.29940143971750738</v>
      </c>
      <c r="R69" s="36">
        <f t="shared" ca="1" si="31"/>
        <v>0.29663997602210629</v>
      </c>
      <c r="S69" s="36">
        <f t="shared" ca="1" si="31"/>
        <v>0.29624693787502432</v>
      </c>
      <c r="T69" s="36">
        <f t="shared" ca="1" si="31"/>
        <v>0.29109104234587579</v>
      </c>
      <c r="U69" s="36">
        <f t="shared" ca="1" si="31"/>
        <v>0.27962654297736844</v>
      </c>
      <c r="V69" s="36">
        <f t="shared" ca="1" si="31"/>
        <v>0.27557534703548153</v>
      </c>
      <c r="W69" s="36">
        <f t="shared" ca="1" si="31"/>
        <v>0.27238377030676431</v>
      </c>
      <c r="X69" s="36">
        <f t="shared" ca="1" si="31"/>
        <v>0.27365846302928992</v>
      </c>
      <c r="Y69" s="36">
        <f t="shared" ca="1" si="31"/>
        <v>5.8580236209685363</v>
      </c>
      <c r="AA69" s="42">
        <f t="shared" ref="AA69" ca="1" si="32">SUM(E69:Y69)</f>
        <v>11.716047241937074</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ht="15">
      <c r="A72" s="63" t="s">
        <v>67</v>
      </c>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ht="15">
      <c r="E73" s="66">
        <f t="shared" ref="E73:X73" si="33">E11</f>
        <v>2016</v>
      </c>
      <c r="F73" s="67">
        <f t="shared" si="33"/>
        <v>2017</v>
      </c>
      <c r="G73" s="67">
        <f t="shared" si="33"/>
        <v>2018</v>
      </c>
      <c r="H73" s="67">
        <f t="shared" si="33"/>
        <v>2019</v>
      </c>
      <c r="I73" s="67">
        <f t="shared" si="33"/>
        <v>2020</v>
      </c>
      <c r="J73" s="67">
        <f t="shared" si="33"/>
        <v>2021</v>
      </c>
      <c r="K73" s="67">
        <f t="shared" si="33"/>
        <v>2022</v>
      </c>
      <c r="L73" s="67">
        <f t="shared" si="33"/>
        <v>2023</v>
      </c>
      <c r="M73" s="67">
        <f t="shared" si="33"/>
        <v>2024</v>
      </c>
      <c r="N73" s="67">
        <f t="shared" si="33"/>
        <v>2025</v>
      </c>
      <c r="O73" s="67">
        <f t="shared" si="33"/>
        <v>2026</v>
      </c>
      <c r="P73" s="67">
        <f t="shared" si="33"/>
        <v>2027</v>
      </c>
      <c r="Q73" s="67">
        <f t="shared" si="33"/>
        <v>2028</v>
      </c>
      <c r="R73" s="67">
        <f t="shared" si="33"/>
        <v>2029</v>
      </c>
      <c r="S73" s="67">
        <f t="shared" si="33"/>
        <v>2030</v>
      </c>
      <c r="T73" s="67">
        <f t="shared" si="33"/>
        <v>2031</v>
      </c>
      <c r="U73" s="67">
        <f t="shared" si="33"/>
        <v>2032</v>
      </c>
      <c r="V73" s="67">
        <f t="shared" si="33"/>
        <v>2033</v>
      </c>
      <c r="W73" s="67">
        <f t="shared" si="33"/>
        <v>2034</v>
      </c>
      <c r="X73" s="67">
        <f t="shared" si="33"/>
        <v>2035</v>
      </c>
      <c r="Y73" s="68"/>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ht="15">
      <c r="C74" s="57" t="s">
        <v>64</v>
      </c>
      <c r="D74" s="57" t="s">
        <v>64</v>
      </c>
      <c r="E74" s="69" t="str">
        <f t="shared" ref="E74:X74" si="34">CONCATENATE("aMW_",E$11)</f>
        <v>aMW_2016</v>
      </c>
      <c r="F74" s="70" t="str">
        <f t="shared" si="34"/>
        <v>aMW_2017</v>
      </c>
      <c r="G74" s="70" t="str">
        <f t="shared" si="34"/>
        <v>aMW_2018</v>
      </c>
      <c r="H74" s="70" t="str">
        <f t="shared" si="34"/>
        <v>aMW_2019</v>
      </c>
      <c r="I74" s="70" t="str">
        <f t="shared" si="34"/>
        <v>aMW_2020</v>
      </c>
      <c r="J74" s="70" t="str">
        <f t="shared" si="34"/>
        <v>aMW_2021</v>
      </c>
      <c r="K74" s="70" t="str">
        <f t="shared" si="34"/>
        <v>aMW_2022</v>
      </c>
      <c r="L74" s="70" t="str">
        <f t="shared" si="34"/>
        <v>aMW_2023</v>
      </c>
      <c r="M74" s="70" t="str">
        <f t="shared" si="34"/>
        <v>aMW_2024</v>
      </c>
      <c r="N74" s="70" t="str">
        <f t="shared" si="34"/>
        <v>aMW_2025</v>
      </c>
      <c r="O74" s="70" t="str">
        <f t="shared" si="34"/>
        <v>aMW_2026</v>
      </c>
      <c r="P74" s="70" t="str">
        <f t="shared" si="34"/>
        <v>aMW_2027</v>
      </c>
      <c r="Q74" s="70" t="str">
        <f t="shared" si="34"/>
        <v>aMW_2028</v>
      </c>
      <c r="R74" s="70" t="str">
        <f t="shared" si="34"/>
        <v>aMW_2029</v>
      </c>
      <c r="S74" s="70" t="str">
        <f t="shared" si="34"/>
        <v>aMW_2030</v>
      </c>
      <c r="T74" s="70" t="str">
        <f t="shared" si="34"/>
        <v>aMW_2031</v>
      </c>
      <c r="U74" s="70" t="str">
        <f t="shared" si="34"/>
        <v>aMW_2032</v>
      </c>
      <c r="V74" s="70" t="str">
        <f t="shared" si="34"/>
        <v>aMW_2033</v>
      </c>
      <c r="W74" s="70" t="str">
        <f t="shared" si="34"/>
        <v>aMW_2034</v>
      </c>
      <c r="X74" s="70" t="str">
        <f t="shared" si="34"/>
        <v>aMW_2035</v>
      </c>
      <c r="Y74" s="71"/>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9" t="s">
        <v>68</v>
      </c>
      <c r="C75" s="58" t="s">
        <v>69</v>
      </c>
      <c r="D75" s="58" t="s">
        <v>70</v>
      </c>
      <c r="E75" s="36">
        <f>DSUM($B$55:$X$67,E$55,$C$74:$D75)</f>
        <v>0</v>
      </c>
      <c r="F75" s="36">
        <f>DSUM($B$55:$X$67,F$55,$C$74:$D75)</f>
        <v>0</v>
      </c>
      <c r="G75" s="36">
        <f>DSUM($B$55:$X$67,G$55,$C$74:$D75)</f>
        <v>0</v>
      </c>
      <c r="H75" s="36">
        <f>DSUM($B$55:$X$67,H$55,$C$74:$D75)</f>
        <v>0</v>
      </c>
      <c r="I75" s="36">
        <f>DSUM($B$55:$X$67,I$55,$C$74:$D75)</f>
        <v>0</v>
      </c>
      <c r="J75" s="36">
        <f>DSUM($B$55:$X$67,J$55,$C$74:$D75)</f>
        <v>0</v>
      </c>
      <c r="K75" s="36">
        <f>DSUM($B$55:$X$67,K$55,$C$74:$D75)</f>
        <v>0</v>
      </c>
      <c r="L75" s="36">
        <f>DSUM($B$55:$X$67,L$55,$C$74:$D75)</f>
        <v>0</v>
      </c>
      <c r="M75" s="36">
        <f>DSUM($B$55:$X$67,M$55,$C$74:$D75)</f>
        <v>0</v>
      </c>
      <c r="N75" s="36">
        <f>DSUM($B$55:$X$67,N$55,$C$74:$D75)</f>
        <v>0</v>
      </c>
      <c r="O75" s="36">
        <f>DSUM($B$55:$X$67,O$55,$C$74:$D75)</f>
        <v>0</v>
      </c>
      <c r="P75" s="36">
        <f>DSUM($B$55:$X$67,P$55,$C$74:$D75)</f>
        <v>0</v>
      </c>
      <c r="Q75" s="36">
        <f>DSUM($B$55:$X$67,Q$55,$C$74:$D75)</f>
        <v>0</v>
      </c>
      <c r="R75" s="36">
        <f>DSUM($B$55:$X$67,R$55,$C$74:$D75)</f>
        <v>0</v>
      </c>
      <c r="S75" s="36">
        <f>DSUM($B$55:$X$67,S$55,$C$74:$D75)</f>
        <v>0</v>
      </c>
      <c r="T75" s="36">
        <f>DSUM($B$55:$X$67,T$55,$C$74:$D75)</f>
        <v>0</v>
      </c>
      <c r="U75" s="36">
        <f>DSUM($B$55:$X$67,U$55,$C$74:$D75)</f>
        <v>0</v>
      </c>
      <c r="V75" s="36">
        <f>DSUM($B$55:$X$67,V$55,$C$74:$D75)</f>
        <v>0</v>
      </c>
      <c r="W75" s="36">
        <f>DSUM($B$55:$X$67,W$55,$C$74:$D75)</f>
        <v>0</v>
      </c>
      <c r="X75" s="36">
        <f>DSUM($B$55:$X$67,X$55,$C$74:$D75)</f>
        <v>0</v>
      </c>
      <c r="Y75" s="36"/>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9" t="s">
        <v>572</v>
      </c>
      <c r="C76" s="58" t="s">
        <v>72</v>
      </c>
      <c r="D76" s="58" t="s">
        <v>73</v>
      </c>
      <c r="E76" s="36">
        <f>DSUM($B$55:$X$67,E$55,$C$74:$D76)</f>
        <v>0</v>
      </c>
      <c r="F76" s="36">
        <f>DSUM($B$55:$X$67,F$55,$C$74:$D76)</f>
        <v>0</v>
      </c>
      <c r="G76" s="36">
        <f>DSUM($B$55:$X$67,G$55,$C$74:$D76)</f>
        <v>0</v>
      </c>
      <c r="H76" s="36">
        <f>DSUM($B$55:$X$67,H$55,$C$74:$D76)</f>
        <v>0</v>
      </c>
      <c r="I76" s="36">
        <f>DSUM($B$55:$X$67,I$55,$C$74:$D76)</f>
        <v>0</v>
      </c>
      <c r="J76" s="36">
        <f>DSUM($B$55:$X$67,J$55,$C$74:$D76)</f>
        <v>0</v>
      </c>
      <c r="K76" s="36">
        <f>DSUM($B$55:$X$67,K$55,$C$74:$D76)</f>
        <v>0</v>
      </c>
      <c r="L76" s="36">
        <f>DSUM($B$55:$X$67,L$55,$C$74:$D76)</f>
        <v>0</v>
      </c>
      <c r="M76" s="36">
        <f>DSUM($B$55:$X$67,M$55,$C$74:$D76)</f>
        <v>0</v>
      </c>
      <c r="N76" s="36">
        <f>DSUM($B$55:$X$67,N$55,$C$74:$D76)</f>
        <v>0</v>
      </c>
      <c r="O76" s="36">
        <f>DSUM($B$55:$X$67,O$55,$C$74:$D76)</f>
        <v>0</v>
      </c>
      <c r="P76" s="36">
        <f>DSUM($B$55:$X$67,P$55,$C$74:$D76)</f>
        <v>0</v>
      </c>
      <c r="Q76" s="36">
        <f>DSUM($B$55:$X$67,Q$55,$C$74:$D76)</f>
        <v>0</v>
      </c>
      <c r="R76" s="36">
        <f>DSUM($B$55:$X$67,R$55,$C$74:$D76)</f>
        <v>0</v>
      </c>
      <c r="S76" s="36">
        <f>DSUM($B$55:$X$67,S$55,$C$74:$D76)</f>
        <v>0</v>
      </c>
      <c r="T76" s="36">
        <f>DSUM($B$55:$X$67,T$55,$C$74:$D76)</f>
        <v>0</v>
      </c>
      <c r="U76" s="36">
        <f>DSUM($B$55:$X$67,U$55,$C$74:$D76)</f>
        <v>0</v>
      </c>
      <c r="V76" s="36">
        <f>DSUM($B$55:$X$67,V$55,$C$74:$D76)</f>
        <v>0</v>
      </c>
      <c r="W76" s="36">
        <f>DSUM($B$55:$X$67,W$55,$C$74:$D76)</f>
        <v>0</v>
      </c>
      <c r="X76" s="36">
        <f>DSUM($B$55:$X$67,X$55,$C$74:$D76)</f>
        <v>0</v>
      </c>
      <c r="Y76" s="3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9" t="s">
        <v>74</v>
      </c>
      <c r="C77" s="58" t="s">
        <v>75</v>
      </c>
      <c r="D77" s="58" t="s">
        <v>76</v>
      </c>
      <c r="E77" s="36">
        <f>DSUM($B$55:$X$67,E$55,$C$74:$D77)</f>
        <v>0</v>
      </c>
      <c r="F77" s="36">
        <f>DSUM($B$55:$X$67,F$55,$C$74:$D77)</f>
        <v>0</v>
      </c>
      <c r="G77" s="36">
        <f>DSUM($B$55:$X$67,G$55,$C$74:$D77)</f>
        <v>0</v>
      </c>
      <c r="H77" s="36">
        <f>DSUM($B$55:$X$67,H$55,$C$74:$D77)</f>
        <v>0</v>
      </c>
      <c r="I77" s="36">
        <f>DSUM($B$55:$X$67,I$55,$C$74:$D77)</f>
        <v>0</v>
      </c>
      <c r="J77" s="36">
        <f>DSUM($B$55:$X$67,J$55,$C$74:$D77)</f>
        <v>0</v>
      </c>
      <c r="K77" s="36">
        <f>DSUM($B$55:$X$67,K$55,$C$74:$D77)</f>
        <v>0</v>
      </c>
      <c r="L77" s="36">
        <f>DSUM($B$55:$X$67,L$55,$C$74:$D77)</f>
        <v>0</v>
      </c>
      <c r="M77" s="36">
        <f>DSUM($B$55:$X$67,M$55,$C$74:$D77)</f>
        <v>0</v>
      </c>
      <c r="N77" s="36">
        <f>DSUM($B$55:$X$67,N$55,$C$74:$D77)</f>
        <v>0</v>
      </c>
      <c r="O77" s="36">
        <f>DSUM($B$55:$X$67,O$55,$C$74:$D77)</f>
        <v>0</v>
      </c>
      <c r="P77" s="36">
        <f>DSUM($B$55:$X$67,P$55,$C$74:$D77)</f>
        <v>0</v>
      </c>
      <c r="Q77" s="36">
        <f>DSUM($B$55:$X$67,Q$55,$C$74:$D77)</f>
        <v>0</v>
      </c>
      <c r="R77" s="36">
        <f>DSUM($B$55:$X$67,R$55,$C$74:$D77)</f>
        <v>0</v>
      </c>
      <c r="S77" s="36">
        <f>DSUM($B$55:$X$67,S$55,$C$74:$D77)</f>
        <v>0</v>
      </c>
      <c r="T77" s="36">
        <f>DSUM($B$55:$X$67,T$55,$C$74:$D77)</f>
        <v>0</v>
      </c>
      <c r="U77" s="36">
        <f>DSUM($B$55:$X$67,U$55,$C$74:$D77)</f>
        <v>0</v>
      </c>
      <c r="V77" s="36">
        <f>DSUM($B$55:$X$67,V$55,$C$74:$D77)</f>
        <v>0</v>
      </c>
      <c r="W77" s="36">
        <f>DSUM($B$55:$X$67,W$55,$C$74:$D77)</f>
        <v>0</v>
      </c>
      <c r="X77" s="36">
        <f>DSUM($B$55:$X$67,X$55,$C$74:$D77)</f>
        <v>0</v>
      </c>
      <c r="Y77" s="36"/>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B78" s="9" t="s">
        <v>77</v>
      </c>
      <c r="C78" s="58" t="s">
        <v>78</v>
      </c>
      <c r="D78" s="58" t="s">
        <v>79</v>
      </c>
      <c r="E78" s="36">
        <f>DSUM($B$55:$X$67,E$55,$C$74:$D78)</f>
        <v>0</v>
      </c>
      <c r="F78" s="36">
        <f>DSUM($B$55:$X$67,F$55,$C$74:$D78)</f>
        <v>0</v>
      </c>
      <c r="G78" s="36">
        <f>DSUM($B$55:$X$67,G$55,$C$74:$D78)</f>
        <v>0</v>
      </c>
      <c r="H78" s="36">
        <f>DSUM($B$55:$X$67,H$55,$C$74:$D78)</f>
        <v>0</v>
      </c>
      <c r="I78" s="36">
        <f>DSUM($B$55:$X$67,I$55,$C$74:$D78)</f>
        <v>0</v>
      </c>
      <c r="J78" s="36">
        <f>DSUM($B$55:$X$67,J$55,$C$74:$D78)</f>
        <v>0</v>
      </c>
      <c r="K78" s="36">
        <f>DSUM($B$55:$X$67,K$55,$C$74:$D78)</f>
        <v>0</v>
      </c>
      <c r="L78" s="36">
        <f>DSUM($B$55:$X$67,L$55,$C$74:$D78)</f>
        <v>0</v>
      </c>
      <c r="M78" s="36">
        <f>DSUM($B$55:$X$67,M$55,$C$74:$D78)</f>
        <v>0</v>
      </c>
      <c r="N78" s="36">
        <f>DSUM($B$55:$X$67,N$55,$C$74:$D78)</f>
        <v>0</v>
      </c>
      <c r="O78" s="36">
        <f>DSUM($B$55:$X$67,O$55,$C$74:$D78)</f>
        <v>0</v>
      </c>
      <c r="P78" s="36">
        <f>DSUM($B$55:$X$67,P$55,$C$74:$D78)</f>
        <v>0</v>
      </c>
      <c r="Q78" s="36">
        <f>DSUM($B$55:$X$67,Q$55,$C$74:$D78)</f>
        <v>0</v>
      </c>
      <c r="R78" s="36">
        <f>DSUM($B$55:$X$67,R$55,$C$74:$D78)</f>
        <v>0</v>
      </c>
      <c r="S78" s="36">
        <f>DSUM($B$55:$X$67,S$55,$C$74:$D78)</f>
        <v>0</v>
      </c>
      <c r="T78" s="36">
        <f>DSUM($B$55:$X$67,T$55,$C$74:$D78)</f>
        <v>0</v>
      </c>
      <c r="U78" s="36">
        <f>DSUM($B$55:$X$67,U$55,$C$74:$D78)</f>
        <v>0</v>
      </c>
      <c r="V78" s="36">
        <f>DSUM($B$55:$X$67,V$55,$C$74:$D78)</f>
        <v>0</v>
      </c>
      <c r="W78" s="36">
        <f>DSUM($B$55:$X$67,W$55,$C$74:$D78)</f>
        <v>0</v>
      </c>
      <c r="X78" s="36">
        <f>DSUM($B$55:$X$67,X$55,$C$74:$D78)</f>
        <v>0</v>
      </c>
      <c r="Y78" s="36"/>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B79" s="9" t="s">
        <v>80</v>
      </c>
      <c r="C79" s="58" t="s">
        <v>81</v>
      </c>
      <c r="D79" s="58" t="s">
        <v>82</v>
      </c>
      <c r="E79" s="36">
        <f>DSUM($B$55:$X$67,E$55,$C$74:$D79)</f>
        <v>0</v>
      </c>
      <c r="F79" s="36">
        <f>DSUM($B$55:$X$67,F$55,$C$74:$D79)</f>
        <v>0</v>
      </c>
      <c r="G79" s="36">
        <f>DSUM($B$55:$X$67,G$55,$C$74:$D79)</f>
        <v>0</v>
      </c>
      <c r="H79" s="36">
        <f>DSUM($B$55:$X$67,H$55,$C$74:$D79)</f>
        <v>0</v>
      </c>
      <c r="I79" s="36">
        <f>DSUM($B$55:$X$67,I$55,$C$74:$D79)</f>
        <v>0</v>
      </c>
      <c r="J79" s="36">
        <f>DSUM($B$55:$X$67,J$55,$C$74:$D79)</f>
        <v>0</v>
      </c>
      <c r="K79" s="36">
        <f>DSUM($B$55:$X$67,K$55,$C$74:$D79)</f>
        <v>0</v>
      </c>
      <c r="L79" s="36">
        <f>DSUM($B$55:$X$67,L$55,$C$74:$D79)</f>
        <v>0</v>
      </c>
      <c r="M79" s="36">
        <f>DSUM($B$55:$X$67,M$55,$C$74:$D79)</f>
        <v>0</v>
      </c>
      <c r="N79" s="36">
        <f>DSUM($B$55:$X$67,N$55,$C$74:$D79)</f>
        <v>0</v>
      </c>
      <c r="O79" s="36">
        <f>DSUM($B$55:$X$67,O$55,$C$74:$D79)</f>
        <v>0</v>
      </c>
      <c r="P79" s="36">
        <f>DSUM($B$55:$X$67,P$55,$C$74:$D79)</f>
        <v>0</v>
      </c>
      <c r="Q79" s="36">
        <f>DSUM($B$55:$X$67,Q$55,$C$74:$D79)</f>
        <v>0</v>
      </c>
      <c r="R79" s="36">
        <f>DSUM($B$55:$X$67,R$55,$C$74:$D79)</f>
        <v>0</v>
      </c>
      <c r="S79" s="36">
        <f>DSUM($B$55:$X$67,S$55,$C$74:$D79)</f>
        <v>0</v>
      </c>
      <c r="T79" s="36">
        <f>DSUM($B$55:$X$67,T$55,$C$74:$D79)</f>
        <v>0</v>
      </c>
      <c r="U79" s="36">
        <f>DSUM($B$55:$X$67,U$55,$C$74:$D79)</f>
        <v>0</v>
      </c>
      <c r="V79" s="36">
        <f>DSUM($B$55:$X$67,V$55,$C$74:$D79)</f>
        <v>0</v>
      </c>
      <c r="W79" s="36">
        <f>DSUM($B$55:$X$67,W$55,$C$74:$D79)</f>
        <v>0</v>
      </c>
      <c r="X79" s="36">
        <f>DSUM($B$55:$X$67,X$55,$C$74:$D79)</f>
        <v>0</v>
      </c>
      <c r="Y79" s="36"/>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B80" s="9" t="s">
        <v>83</v>
      </c>
      <c r="C80" s="58" t="s">
        <v>84</v>
      </c>
      <c r="D80" s="58" t="s">
        <v>85</v>
      </c>
      <c r="E80" s="36">
        <f ca="1">DSUM($B$55:$X$67,E$55,$C$74:$D80)</f>
        <v>0.16391048947653905</v>
      </c>
      <c r="F80" s="36">
        <f ca="1">DSUM($B$55:$X$67,F$55,$C$74:$D80)</f>
        <v>0.2293622701523641</v>
      </c>
      <c r="G80" s="36">
        <f ca="1">DSUM($B$55:$X$67,G$55,$C$74:$D80)</f>
        <v>0.26362052127876889</v>
      </c>
      <c r="H80" s="36">
        <f ca="1">DSUM($B$55:$X$67,H$55,$C$74:$D80)</f>
        <v>0.28117827219155284</v>
      </c>
      <c r="I80" s="36">
        <f ca="1">DSUM($B$55:$X$67,I$55,$C$74:$D80)</f>
        <v>0.28719266868192361</v>
      </c>
      <c r="J80" s="36">
        <f ca="1">DSUM($B$55:$X$67,J$55,$C$74:$D80)</f>
        <v>0.28058929112810665</v>
      </c>
      <c r="K80" s="36">
        <f ca="1">DSUM($B$55:$X$67,K$55,$C$74:$D80)</f>
        <v>0.27510447557088158</v>
      </c>
      <c r="L80" s="36">
        <f ca="1">DSUM($B$55:$X$67,L$55,$C$74:$D80)</f>
        <v>0.27405803418238844</v>
      </c>
      <c r="M80" s="36">
        <f ca="1">DSUM($B$55:$X$67,M$55,$C$74:$D80)</f>
        <v>0.27100463463214641</v>
      </c>
      <c r="N80" s="36">
        <f ca="1">DSUM($B$55:$X$67,N$55,$C$74:$D80)</f>
        <v>0.27378771351144665</v>
      </c>
      <c r="O80" s="36">
        <f ca="1">DSUM($B$55:$X$67,O$55,$C$74:$D80)</f>
        <v>0.27281426630644223</v>
      </c>
      <c r="P80" s="36">
        <f ca="1">DSUM($B$55:$X$67,P$55,$C$74:$D80)</f>
        <v>0.26748698194800447</v>
      </c>
      <c r="Q80" s="36">
        <f ca="1">DSUM($B$55:$X$67,Q$55,$C$74:$D80)</f>
        <v>0.25941480488226371</v>
      </c>
      <c r="R80" s="36">
        <f ca="1">DSUM($B$55:$X$67,R$55,$C$74:$D80)</f>
        <v>0.25663280421037832</v>
      </c>
      <c r="S80" s="36">
        <f ca="1">DSUM($B$55:$X$67,S$55,$C$74:$D80)</f>
        <v>0.25588529628050333</v>
      </c>
      <c r="T80" s="36">
        <f ca="1">DSUM($B$55:$X$67,T$55,$C$74:$D80)</f>
        <v>0.25095188503446147</v>
      </c>
      <c r="U80" s="36">
        <f ca="1">DSUM($B$55:$X$67,U$55,$C$74:$D80)</f>
        <v>0.24062890624962094</v>
      </c>
      <c r="V80" s="36">
        <f ca="1">DSUM($B$55:$X$67,V$55,$C$74:$D80)</f>
        <v>0.23667217362174947</v>
      </c>
      <c r="W80" s="36">
        <f ca="1">DSUM($B$55:$X$67,W$55,$C$74:$D80)</f>
        <v>0.23345067636172789</v>
      </c>
      <c r="X80" s="36">
        <f ca="1">DSUM($B$55:$X$67,X$55,$C$74:$D80)</f>
        <v>0.23453353400127663</v>
      </c>
      <c r="Y80" s="36"/>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9" t="s">
        <v>86</v>
      </c>
      <c r="C81" s="58" t="s">
        <v>87</v>
      </c>
      <c r="D81" s="58" t="s">
        <v>88</v>
      </c>
      <c r="E81" s="36">
        <f ca="1">DSUM($B$55:$X$67,E$55,$C$74:$D81)</f>
        <v>0.16391048947653905</v>
      </c>
      <c r="F81" s="36">
        <f ca="1">DSUM($B$55:$X$67,F$55,$C$74:$D81)</f>
        <v>0.2293622701523641</v>
      </c>
      <c r="G81" s="36">
        <f ca="1">DSUM($B$55:$X$67,G$55,$C$74:$D81)</f>
        <v>0.26362052127876889</v>
      </c>
      <c r="H81" s="36">
        <f ca="1">DSUM($B$55:$X$67,H$55,$C$74:$D81)</f>
        <v>0.28117827219155284</v>
      </c>
      <c r="I81" s="36">
        <f ca="1">DSUM($B$55:$X$67,I$55,$C$74:$D81)</f>
        <v>0.28719266868192361</v>
      </c>
      <c r="J81" s="36">
        <f ca="1">DSUM($B$55:$X$67,J$55,$C$74:$D81)</f>
        <v>0.28058929112810665</v>
      </c>
      <c r="K81" s="36">
        <f ca="1">DSUM($B$55:$X$67,K$55,$C$74:$D81)</f>
        <v>0.27510447557088158</v>
      </c>
      <c r="L81" s="36">
        <f ca="1">DSUM($B$55:$X$67,L$55,$C$74:$D81)</f>
        <v>0.27405803418238844</v>
      </c>
      <c r="M81" s="36">
        <f ca="1">DSUM($B$55:$X$67,M$55,$C$74:$D81)</f>
        <v>0.27100463463214641</v>
      </c>
      <c r="N81" s="36">
        <f ca="1">DSUM($B$55:$X$67,N$55,$C$74:$D81)</f>
        <v>0.27378771351144665</v>
      </c>
      <c r="O81" s="36">
        <f ca="1">DSUM($B$55:$X$67,O$55,$C$74:$D81)</f>
        <v>0.27281426630644223</v>
      </c>
      <c r="P81" s="36">
        <f ca="1">DSUM($B$55:$X$67,P$55,$C$74:$D81)</f>
        <v>0.26748698194800447</v>
      </c>
      <c r="Q81" s="36">
        <f ca="1">DSUM($B$55:$X$67,Q$55,$C$74:$D81)</f>
        <v>0.25941480488226371</v>
      </c>
      <c r="R81" s="36">
        <f ca="1">DSUM($B$55:$X$67,R$55,$C$74:$D81)</f>
        <v>0.25663280421037832</v>
      </c>
      <c r="S81" s="36">
        <f ca="1">DSUM($B$55:$X$67,S$55,$C$74:$D81)</f>
        <v>0.25588529628050333</v>
      </c>
      <c r="T81" s="36">
        <f ca="1">DSUM($B$55:$X$67,T$55,$C$74:$D81)</f>
        <v>0.25095188503446147</v>
      </c>
      <c r="U81" s="36">
        <f ca="1">DSUM($B$55:$X$67,U$55,$C$74:$D81)</f>
        <v>0.24062890624962094</v>
      </c>
      <c r="V81" s="36">
        <f ca="1">DSUM($B$55:$X$67,V$55,$C$74:$D81)</f>
        <v>0.23667217362174947</v>
      </c>
      <c r="W81" s="36">
        <f ca="1">DSUM($B$55:$X$67,W$55,$C$74:$D81)</f>
        <v>0.23345067636172789</v>
      </c>
      <c r="X81" s="36">
        <f ca="1">DSUM($B$55:$X$67,X$55,$C$74:$D81)</f>
        <v>0.23453353400127663</v>
      </c>
      <c r="Y81" s="36"/>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9" t="s">
        <v>89</v>
      </c>
      <c r="C82" s="58" t="s">
        <v>90</v>
      </c>
      <c r="D82" s="58" t="s">
        <v>91</v>
      </c>
      <c r="E82" s="36">
        <f ca="1">DSUM($B$55:$X$67,E$55,$C$74:$D82)</f>
        <v>0.16391048947653905</v>
      </c>
      <c r="F82" s="36">
        <f ca="1">DSUM($B$55:$X$67,F$55,$C$74:$D82)</f>
        <v>0.2293622701523641</v>
      </c>
      <c r="G82" s="36">
        <f ca="1">DSUM($B$55:$X$67,G$55,$C$74:$D82)</f>
        <v>0.26362052127876889</v>
      </c>
      <c r="H82" s="36">
        <f ca="1">DSUM($B$55:$X$67,H$55,$C$74:$D82)</f>
        <v>0.28117827219155284</v>
      </c>
      <c r="I82" s="36">
        <f ca="1">DSUM($B$55:$X$67,I$55,$C$74:$D82)</f>
        <v>0.28719266868192361</v>
      </c>
      <c r="J82" s="36">
        <f ca="1">DSUM($B$55:$X$67,J$55,$C$74:$D82)</f>
        <v>0.28058929112810665</v>
      </c>
      <c r="K82" s="36">
        <f ca="1">DSUM($B$55:$X$67,K$55,$C$74:$D82)</f>
        <v>0.27510447557088158</v>
      </c>
      <c r="L82" s="36">
        <f ca="1">DSUM($B$55:$X$67,L$55,$C$74:$D82)</f>
        <v>0.27405803418238844</v>
      </c>
      <c r="M82" s="36">
        <f ca="1">DSUM($B$55:$X$67,M$55,$C$74:$D82)</f>
        <v>0.27100463463214641</v>
      </c>
      <c r="N82" s="36">
        <f ca="1">DSUM($B$55:$X$67,N$55,$C$74:$D82)</f>
        <v>0.27378771351144665</v>
      </c>
      <c r="O82" s="36">
        <f ca="1">DSUM($B$55:$X$67,O$55,$C$74:$D82)</f>
        <v>0.27281426630644223</v>
      </c>
      <c r="P82" s="36">
        <f ca="1">DSUM($B$55:$X$67,P$55,$C$74:$D82)</f>
        <v>0.26748698194800447</v>
      </c>
      <c r="Q82" s="36">
        <f ca="1">DSUM($B$55:$X$67,Q$55,$C$74:$D82)</f>
        <v>0.25941480488226371</v>
      </c>
      <c r="R82" s="36">
        <f ca="1">DSUM($B$55:$X$67,R$55,$C$74:$D82)</f>
        <v>0.25663280421037832</v>
      </c>
      <c r="S82" s="36">
        <f ca="1">DSUM($B$55:$X$67,S$55,$C$74:$D82)</f>
        <v>0.25588529628050333</v>
      </c>
      <c r="T82" s="36">
        <f ca="1">DSUM($B$55:$X$67,T$55,$C$74:$D82)</f>
        <v>0.25095188503446147</v>
      </c>
      <c r="U82" s="36">
        <f ca="1">DSUM($B$55:$X$67,U$55,$C$74:$D82)</f>
        <v>0.24062890624962094</v>
      </c>
      <c r="V82" s="36">
        <f ca="1">DSUM($B$55:$X$67,V$55,$C$74:$D82)</f>
        <v>0.23667217362174947</v>
      </c>
      <c r="W82" s="36">
        <f ca="1">DSUM($B$55:$X$67,W$55,$C$74:$D82)</f>
        <v>0.23345067636172789</v>
      </c>
      <c r="X82" s="36">
        <f ca="1">DSUM($B$55:$X$67,X$55,$C$74:$D82)</f>
        <v>0.23453353400127663</v>
      </c>
      <c r="Y82" s="36"/>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9" t="s">
        <v>92</v>
      </c>
      <c r="C83" s="58" t="s">
        <v>93</v>
      </c>
      <c r="D83" s="58" t="s">
        <v>94</v>
      </c>
      <c r="E83" s="36">
        <f ca="1">DSUM($B$55:$X$67,E$55,$C$74:$D83)</f>
        <v>0.16391048947653905</v>
      </c>
      <c r="F83" s="36">
        <f ca="1">DSUM($B$55:$X$67,F$55,$C$74:$D83)</f>
        <v>0.2293622701523641</v>
      </c>
      <c r="G83" s="36">
        <f ca="1">DSUM($B$55:$X$67,G$55,$C$74:$D83)</f>
        <v>0.26362052127876889</v>
      </c>
      <c r="H83" s="36">
        <f ca="1">DSUM($B$55:$X$67,H$55,$C$74:$D83)</f>
        <v>0.28117827219155284</v>
      </c>
      <c r="I83" s="36">
        <f ca="1">DSUM($B$55:$X$67,I$55,$C$74:$D83)</f>
        <v>0.28719266868192361</v>
      </c>
      <c r="J83" s="36">
        <f ca="1">DSUM($B$55:$X$67,J$55,$C$74:$D83)</f>
        <v>0.28058929112810665</v>
      </c>
      <c r="K83" s="36">
        <f ca="1">DSUM($B$55:$X$67,K$55,$C$74:$D83)</f>
        <v>0.27510447557088158</v>
      </c>
      <c r="L83" s="36">
        <f ca="1">DSUM($B$55:$X$67,L$55,$C$74:$D83)</f>
        <v>0.27405803418238844</v>
      </c>
      <c r="M83" s="36">
        <f ca="1">DSUM($B$55:$X$67,M$55,$C$74:$D83)</f>
        <v>0.27100463463214641</v>
      </c>
      <c r="N83" s="36">
        <f ca="1">DSUM($B$55:$X$67,N$55,$C$74:$D83)</f>
        <v>0.27378771351144665</v>
      </c>
      <c r="O83" s="36">
        <f ca="1">DSUM($B$55:$X$67,O$55,$C$74:$D83)</f>
        <v>0.27281426630644223</v>
      </c>
      <c r="P83" s="36">
        <f ca="1">DSUM($B$55:$X$67,P$55,$C$74:$D83)</f>
        <v>0.26748698194800447</v>
      </c>
      <c r="Q83" s="36">
        <f ca="1">DSUM($B$55:$X$67,Q$55,$C$74:$D83)</f>
        <v>0.25941480488226371</v>
      </c>
      <c r="R83" s="36">
        <f ca="1">DSUM($B$55:$X$67,R$55,$C$74:$D83)</f>
        <v>0.25663280421037832</v>
      </c>
      <c r="S83" s="36">
        <f ca="1">DSUM($B$55:$X$67,S$55,$C$74:$D83)</f>
        <v>0.25588529628050333</v>
      </c>
      <c r="T83" s="36">
        <f ca="1">DSUM($B$55:$X$67,T$55,$C$74:$D83)</f>
        <v>0.25095188503446147</v>
      </c>
      <c r="U83" s="36">
        <f ca="1">DSUM($B$55:$X$67,U$55,$C$74:$D83)</f>
        <v>0.24062890624962094</v>
      </c>
      <c r="V83" s="36">
        <f ca="1">DSUM($B$55:$X$67,V$55,$C$74:$D83)</f>
        <v>0.23667217362174947</v>
      </c>
      <c r="W83" s="36">
        <f ca="1">DSUM($B$55:$X$67,W$55,$C$74:$D83)</f>
        <v>0.23345067636172789</v>
      </c>
      <c r="X83" s="36">
        <f ca="1">DSUM($B$55:$X$67,X$55,$C$74:$D83)</f>
        <v>0.23453353400127663</v>
      </c>
      <c r="Y83" s="36"/>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9" t="s">
        <v>95</v>
      </c>
      <c r="C84" s="58" t="s">
        <v>96</v>
      </c>
      <c r="D84" s="58" t="s">
        <v>97</v>
      </c>
      <c r="E84" s="36">
        <f ca="1">DSUM($B$55:$X$67,E$55,$C$74:$D84)</f>
        <v>0.16391048947653905</v>
      </c>
      <c r="F84" s="36">
        <f ca="1">DSUM($B$55:$X$67,F$55,$C$74:$D84)</f>
        <v>0.2293622701523641</v>
      </c>
      <c r="G84" s="36">
        <f ca="1">DSUM($B$55:$X$67,G$55,$C$74:$D84)</f>
        <v>0.26362052127876889</v>
      </c>
      <c r="H84" s="36">
        <f ca="1">DSUM($B$55:$X$67,H$55,$C$74:$D84)</f>
        <v>0.28117827219155284</v>
      </c>
      <c r="I84" s="36">
        <f ca="1">DSUM($B$55:$X$67,I$55,$C$74:$D84)</f>
        <v>0.28719266868192361</v>
      </c>
      <c r="J84" s="36">
        <f ca="1">DSUM($B$55:$X$67,J$55,$C$74:$D84)</f>
        <v>0.28058929112810665</v>
      </c>
      <c r="K84" s="36">
        <f ca="1">DSUM($B$55:$X$67,K$55,$C$74:$D84)</f>
        <v>0.27510447557088158</v>
      </c>
      <c r="L84" s="36">
        <f ca="1">DSUM($B$55:$X$67,L$55,$C$74:$D84)</f>
        <v>0.27405803418238844</v>
      </c>
      <c r="M84" s="36">
        <f ca="1">DSUM($B$55:$X$67,M$55,$C$74:$D84)</f>
        <v>0.27100463463214641</v>
      </c>
      <c r="N84" s="36">
        <f ca="1">DSUM($B$55:$X$67,N$55,$C$74:$D84)</f>
        <v>0.27378771351144665</v>
      </c>
      <c r="O84" s="36">
        <f ca="1">DSUM($B$55:$X$67,O$55,$C$74:$D84)</f>
        <v>0.27281426630644223</v>
      </c>
      <c r="P84" s="36">
        <f ca="1">DSUM($B$55:$X$67,P$55,$C$74:$D84)</f>
        <v>0.26748698194800447</v>
      </c>
      <c r="Q84" s="36">
        <f ca="1">DSUM($B$55:$X$67,Q$55,$C$74:$D84)</f>
        <v>0.25941480488226371</v>
      </c>
      <c r="R84" s="36">
        <f ca="1">DSUM($B$55:$X$67,R$55,$C$74:$D84)</f>
        <v>0.25663280421037832</v>
      </c>
      <c r="S84" s="36">
        <f ca="1">DSUM($B$55:$X$67,S$55,$C$74:$D84)</f>
        <v>0.25588529628050333</v>
      </c>
      <c r="T84" s="36">
        <f ca="1">DSUM($B$55:$X$67,T$55,$C$74:$D84)</f>
        <v>0.25095188503446147</v>
      </c>
      <c r="U84" s="36">
        <f ca="1">DSUM($B$55:$X$67,U$55,$C$74:$D84)</f>
        <v>0.24062890624962094</v>
      </c>
      <c r="V84" s="36">
        <f ca="1">DSUM($B$55:$X$67,V$55,$C$74:$D84)</f>
        <v>0.23667217362174947</v>
      </c>
      <c r="W84" s="36">
        <f ca="1">DSUM($B$55:$X$67,W$55,$C$74:$D84)</f>
        <v>0.23345067636172789</v>
      </c>
      <c r="X84" s="36">
        <f ca="1">DSUM($B$55:$X$67,X$55,$C$74:$D84)</f>
        <v>0.23453353400127663</v>
      </c>
      <c r="Y84" s="36"/>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9" t="s">
        <v>98</v>
      </c>
      <c r="C85" s="58" t="s">
        <v>99</v>
      </c>
      <c r="D85" s="58" t="s">
        <v>100</v>
      </c>
      <c r="E85" s="36">
        <f ca="1">DSUM($B$55:$X$67,E$55,$C$74:$D85)</f>
        <v>0.16391048947653905</v>
      </c>
      <c r="F85" s="36">
        <f ca="1">DSUM($B$55:$X$67,F$55,$C$74:$D85)</f>
        <v>0.2293622701523641</v>
      </c>
      <c r="G85" s="36">
        <f ca="1">DSUM($B$55:$X$67,G$55,$C$74:$D85)</f>
        <v>0.26362052127876889</v>
      </c>
      <c r="H85" s="36">
        <f ca="1">DSUM($B$55:$X$67,H$55,$C$74:$D85)</f>
        <v>0.28117827219155284</v>
      </c>
      <c r="I85" s="36">
        <f ca="1">DSUM($B$55:$X$67,I$55,$C$74:$D85)</f>
        <v>0.28719266868192361</v>
      </c>
      <c r="J85" s="36">
        <f ca="1">DSUM($B$55:$X$67,J$55,$C$74:$D85)</f>
        <v>0.28058929112810665</v>
      </c>
      <c r="K85" s="36">
        <f ca="1">DSUM($B$55:$X$67,K$55,$C$74:$D85)</f>
        <v>0.27510447557088158</v>
      </c>
      <c r="L85" s="36">
        <f ca="1">DSUM($B$55:$X$67,L$55,$C$74:$D85)</f>
        <v>0.27405803418238844</v>
      </c>
      <c r="M85" s="36">
        <f ca="1">DSUM($B$55:$X$67,M$55,$C$74:$D85)</f>
        <v>0.27100463463214641</v>
      </c>
      <c r="N85" s="36">
        <f ca="1">DSUM($B$55:$X$67,N$55,$C$74:$D85)</f>
        <v>0.27378771351144665</v>
      </c>
      <c r="O85" s="36">
        <f ca="1">DSUM($B$55:$X$67,O$55,$C$74:$D85)</f>
        <v>0.27281426630644223</v>
      </c>
      <c r="P85" s="36">
        <f ca="1">DSUM($B$55:$X$67,P$55,$C$74:$D85)</f>
        <v>0.26748698194800447</v>
      </c>
      <c r="Q85" s="36">
        <f ca="1">DSUM($B$55:$X$67,Q$55,$C$74:$D85)</f>
        <v>0.25941480488226371</v>
      </c>
      <c r="R85" s="36">
        <f ca="1">DSUM($B$55:$X$67,R$55,$C$74:$D85)</f>
        <v>0.25663280421037832</v>
      </c>
      <c r="S85" s="36">
        <f ca="1">DSUM($B$55:$X$67,S$55,$C$74:$D85)</f>
        <v>0.25588529628050333</v>
      </c>
      <c r="T85" s="36">
        <f ca="1">DSUM($B$55:$X$67,T$55,$C$74:$D85)</f>
        <v>0.25095188503446147</v>
      </c>
      <c r="U85" s="36">
        <f ca="1">DSUM($B$55:$X$67,U$55,$C$74:$D85)</f>
        <v>0.24062890624962094</v>
      </c>
      <c r="V85" s="36">
        <f ca="1">DSUM($B$55:$X$67,V$55,$C$74:$D85)</f>
        <v>0.23667217362174947</v>
      </c>
      <c r="W85" s="36">
        <f ca="1">DSUM($B$55:$X$67,W$55,$C$74:$D85)</f>
        <v>0.23345067636172789</v>
      </c>
      <c r="X85" s="36">
        <f ca="1">DSUM($B$55:$X$67,X$55,$C$74:$D85)</f>
        <v>0.23453353400127663</v>
      </c>
      <c r="Y85" s="36"/>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9" t="s">
        <v>101</v>
      </c>
      <c r="C86" s="58" t="s">
        <v>102</v>
      </c>
      <c r="D86" s="58" t="s">
        <v>103</v>
      </c>
      <c r="E86" s="36">
        <f ca="1">DSUM($B$55:$X$67,E$55,$C$74:$D86)</f>
        <v>0.16391048947653905</v>
      </c>
      <c r="F86" s="36">
        <f ca="1">DSUM($B$55:$X$67,F$55,$C$74:$D86)</f>
        <v>0.2293622701523641</v>
      </c>
      <c r="G86" s="36">
        <f ca="1">DSUM($B$55:$X$67,G$55,$C$74:$D86)</f>
        <v>0.26362052127876889</v>
      </c>
      <c r="H86" s="36">
        <f ca="1">DSUM($B$55:$X$67,H$55,$C$74:$D86)</f>
        <v>0.28117827219155284</v>
      </c>
      <c r="I86" s="36">
        <f ca="1">DSUM($B$55:$X$67,I$55,$C$74:$D86)</f>
        <v>0.28719266868192361</v>
      </c>
      <c r="J86" s="36">
        <f ca="1">DSUM($B$55:$X$67,J$55,$C$74:$D86)</f>
        <v>0.28058929112810665</v>
      </c>
      <c r="K86" s="36">
        <f ca="1">DSUM($B$55:$X$67,K$55,$C$74:$D86)</f>
        <v>0.27510447557088158</v>
      </c>
      <c r="L86" s="36">
        <f ca="1">DSUM($B$55:$X$67,L$55,$C$74:$D86)</f>
        <v>0.27405803418238844</v>
      </c>
      <c r="M86" s="36">
        <f ca="1">DSUM($B$55:$X$67,M$55,$C$74:$D86)</f>
        <v>0.27100463463214641</v>
      </c>
      <c r="N86" s="36">
        <f ca="1">DSUM($B$55:$X$67,N$55,$C$74:$D86)</f>
        <v>0.27378771351144665</v>
      </c>
      <c r="O86" s="36">
        <f ca="1">DSUM($B$55:$X$67,O$55,$C$74:$D86)</f>
        <v>0.27281426630644223</v>
      </c>
      <c r="P86" s="36">
        <f ca="1">DSUM($B$55:$X$67,P$55,$C$74:$D86)</f>
        <v>0.26748698194800447</v>
      </c>
      <c r="Q86" s="36">
        <f ca="1">DSUM($B$55:$X$67,Q$55,$C$74:$D86)</f>
        <v>0.25941480488226371</v>
      </c>
      <c r="R86" s="36">
        <f ca="1">DSUM($B$55:$X$67,R$55,$C$74:$D86)</f>
        <v>0.25663280421037832</v>
      </c>
      <c r="S86" s="36">
        <f ca="1">DSUM($B$55:$X$67,S$55,$C$74:$D86)</f>
        <v>0.25588529628050333</v>
      </c>
      <c r="T86" s="36">
        <f ca="1">DSUM($B$55:$X$67,T$55,$C$74:$D86)</f>
        <v>0.25095188503446147</v>
      </c>
      <c r="U86" s="36">
        <f ca="1">DSUM($B$55:$X$67,U$55,$C$74:$D86)</f>
        <v>0.24062890624962094</v>
      </c>
      <c r="V86" s="36">
        <f ca="1">DSUM($B$55:$X$67,V$55,$C$74:$D86)</f>
        <v>0.23667217362174947</v>
      </c>
      <c r="W86" s="36">
        <f ca="1">DSUM($B$55:$X$67,W$55,$C$74:$D86)</f>
        <v>0.23345067636172789</v>
      </c>
      <c r="X86" s="36">
        <f ca="1">DSUM($B$55:$X$67,X$55,$C$74:$D86)</f>
        <v>0.23453353400127663</v>
      </c>
      <c r="Y86" s="3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9" t="s">
        <v>104</v>
      </c>
      <c r="C87" s="58" t="s">
        <v>105</v>
      </c>
      <c r="D87" s="58" t="s">
        <v>106</v>
      </c>
      <c r="E87" s="36">
        <f ca="1">DSUM($B$55:$X$67,E$55,$C$74:$D87)</f>
        <v>0.16391048947653905</v>
      </c>
      <c r="F87" s="36">
        <f ca="1">DSUM($B$55:$X$67,F$55,$C$74:$D87)</f>
        <v>0.2293622701523641</v>
      </c>
      <c r="G87" s="36">
        <f ca="1">DSUM($B$55:$X$67,G$55,$C$74:$D87)</f>
        <v>0.26362052127876889</v>
      </c>
      <c r="H87" s="36">
        <f ca="1">DSUM($B$55:$X$67,H$55,$C$74:$D87)</f>
        <v>0.28117827219155284</v>
      </c>
      <c r="I87" s="36">
        <f ca="1">DSUM($B$55:$X$67,I$55,$C$74:$D87)</f>
        <v>0.28719266868192361</v>
      </c>
      <c r="J87" s="36">
        <f ca="1">DSUM($B$55:$X$67,J$55,$C$74:$D87)</f>
        <v>0.28058929112810665</v>
      </c>
      <c r="K87" s="36">
        <f ca="1">DSUM($B$55:$X$67,K$55,$C$74:$D87)</f>
        <v>0.27510447557088158</v>
      </c>
      <c r="L87" s="36">
        <f ca="1">DSUM($B$55:$X$67,L$55,$C$74:$D87)</f>
        <v>0.27405803418238844</v>
      </c>
      <c r="M87" s="36">
        <f ca="1">DSUM($B$55:$X$67,M$55,$C$74:$D87)</f>
        <v>0.27100463463214641</v>
      </c>
      <c r="N87" s="36">
        <f ca="1">DSUM($B$55:$X$67,N$55,$C$74:$D87)</f>
        <v>0.27378771351144665</v>
      </c>
      <c r="O87" s="36">
        <f ca="1">DSUM($B$55:$X$67,O$55,$C$74:$D87)</f>
        <v>0.27281426630644223</v>
      </c>
      <c r="P87" s="36">
        <f ca="1">DSUM($B$55:$X$67,P$55,$C$74:$D87)</f>
        <v>0.26748698194800447</v>
      </c>
      <c r="Q87" s="36">
        <f ca="1">DSUM($B$55:$X$67,Q$55,$C$74:$D87)</f>
        <v>0.25941480488226371</v>
      </c>
      <c r="R87" s="36">
        <f ca="1">DSUM($B$55:$X$67,R$55,$C$74:$D87)</f>
        <v>0.25663280421037832</v>
      </c>
      <c r="S87" s="36">
        <f ca="1">DSUM($B$55:$X$67,S$55,$C$74:$D87)</f>
        <v>0.25588529628050333</v>
      </c>
      <c r="T87" s="36">
        <f ca="1">DSUM($B$55:$X$67,T$55,$C$74:$D87)</f>
        <v>0.25095188503446147</v>
      </c>
      <c r="U87" s="36">
        <f ca="1">DSUM($B$55:$X$67,U$55,$C$74:$D87)</f>
        <v>0.24062890624962094</v>
      </c>
      <c r="V87" s="36">
        <f ca="1">DSUM($B$55:$X$67,V$55,$C$74:$D87)</f>
        <v>0.23667217362174947</v>
      </c>
      <c r="W87" s="36">
        <f ca="1">DSUM($B$55:$X$67,W$55,$C$74:$D87)</f>
        <v>0.23345067636172789</v>
      </c>
      <c r="X87" s="36">
        <f ca="1">DSUM($B$55:$X$67,X$55,$C$74:$D87)</f>
        <v>0.23453353400127663</v>
      </c>
      <c r="Y87" s="36"/>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9" t="s">
        <v>107</v>
      </c>
      <c r="C88" s="58" t="s">
        <v>108</v>
      </c>
      <c r="D88" s="58" t="s">
        <v>109</v>
      </c>
      <c r="E88" s="36">
        <f ca="1">DSUM($B$55:$X$67,E$55,$C$74:$D88)</f>
        <v>0.16391048947653905</v>
      </c>
      <c r="F88" s="36">
        <f ca="1">DSUM($B$55:$X$67,F$55,$C$74:$D88)</f>
        <v>0.2293622701523641</v>
      </c>
      <c r="G88" s="36">
        <f ca="1">DSUM($B$55:$X$67,G$55,$C$74:$D88)</f>
        <v>0.26362052127876889</v>
      </c>
      <c r="H88" s="36">
        <f ca="1">DSUM($B$55:$X$67,H$55,$C$74:$D88)</f>
        <v>0.28117827219155284</v>
      </c>
      <c r="I88" s="36">
        <f ca="1">DSUM($B$55:$X$67,I$55,$C$74:$D88)</f>
        <v>0.28719266868192361</v>
      </c>
      <c r="J88" s="36">
        <f ca="1">DSUM($B$55:$X$67,J$55,$C$74:$D88)</f>
        <v>0.28058929112810665</v>
      </c>
      <c r="K88" s="36">
        <f ca="1">DSUM($B$55:$X$67,K$55,$C$74:$D88)</f>
        <v>0.27510447557088158</v>
      </c>
      <c r="L88" s="36">
        <f ca="1">DSUM($B$55:$X$67,L$55,$C$74:$D88)</f>
        <v>0.27405803418238844</v>
      </c>
      <c r="M88" s="36">
        <f ca="1">DSUM($B$55:$X$67,M$55,$C$74:$D88)</f>
        <v>0.27100463463214641</v>
      </c>
      <c r="N88" s="36">
        <f ca="1">DSUM($B$55:$X$67,N$55,$C$74:$D88)</f>
        <v>0.27378771351144665</v>
      </c>
      <c r="O88" s="36">
        <f ca="1">DSUM($B$55:$X$67,O$55,$C$74:$D88)</f>
        <v>0.27281426630644223</v>
      </c>
      <c r="P88" s="36">
        <f ca="1">DSUM($B$55:$X$67,P$55,$C$74:$D88)</f>
        <v>0.26748698194800447</v>
      </c>
      <c r="Q88" s="36">
        <f ca="1">DSUM($B$55:$X$67,Q$55,$C$74:$D88)</f>
        <v>0.25941480488226371</v>
      </c>
      <c r="R88" s="36">
        <f ca="1">DSUM($B$55:$X$67,R$55,$C$74:$D88)</f>
        <v>0.25663280421037832</v>
      </c>
      <c r="S88" s="36">
        <f ca="1">DSUM($B$55:$X$67,S$55,$C$74:$D88)</f>
        <v>0.25588529628050333</v>
      </c>
      <c r="T88" s="36">
        <f ca="1">DSUM($B$55:$X$67,T$55,$C$74:$D88)</f>
        <v>0.25095188503446147</v>
      </c>
      <c r="U88" s="36">
        <f ca="1">DSUM($B$55:$X$67,U$55,$C$74:$D88)</f>
        <v>0.24062890624962094</v>
      </c>
      <c r="V88" s="36">
        <f ca="1">DSUM($B$55:$X$67,V$55,$C$74:$D88)</f>
        <v>0.23667217362174947</v>
      </c>
      <c r="W88" s="36">
        <f ca="1">DSUM($B$55:$X$67,W$55,$C$74:$D88)</f>
        <v>0.23345067636172789</v>
      </c>
      <c r="X88" s="36">
        <f ca="1">DSUM($B$55:$X$67,X$55,$C$74:$D88)</f>
        <v>0.23453353400127663</v>
      </c>
      <c r="Y88" s="36"/>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9" t="s">
        <v>110</v>
      </c>
      <c r="C89" s="58" t="s">
        <v>111</v>
      </c>
      <c r="D89" s="58" t="s">
        <v>112</v>
      </c>
      <c r="E89" s="36">
        <f ca="1">DSUM($B$55:$X$67,E$55,$C$74:$D89)</f>
        <v>0.16391048947653905</v>
      </c>
      <c r="F89" s="36">
        <f ca="1">DSUM($B$55:$X$67,F$55,$C$74:$D89)</f>
        <v>0.2293622701523641</v>
      </c>
      <c r="G89" s="36">
        <f ca="1">DSUM($B$55:$X$67,G$55,$C$74:$D89)</f>
        <v>0.26362052127876889</v>
      </c>
      <c r="H89" s="36">
        <f ca="1">DSUM($B$55:$X$67,H$55,$C$74:$D89)</f>
        <v>0.28117827219155284</v>
      </c>
      <c r="I89" s="36">
        <f ca="1">DSUM($B$55:$X$67,I$55,$C$74:$D89)</f>
        <v>0.28719266868192361</v>
      </c>
      <c r="J89" s="36">
        <f ca="1">DSUM($B$55:$X$67,J$55,$C$74:$D89)</f>
        <v>0.28058929112810665</v>
      </c>
      <c r="K89" s="36">
        <f ca="1">DSUM($B$55:$X$67,K$55,$C$74:$D89)</f>
        <v>0.27510447557088158</v>
      </c>
      <c r="L89" s="36">
        <f ca="1">DSUM($B$55:$X$67,L$55,$C$74:$D89)</f>
        <v>0.27405803418238844</v>
      </c>
      <c r="M89" s="36">
        <f ca="1">DSUM($B$55:$X$67,M$55,$C$74:$D89)</f>
        <v>0.27100463463214641</v>
      </c>
      <c r="N89" s="36">
        <f ca="1">DSUM($B$55:$X$67,N$55,$C$74:$D89)</f>
        <v>0.27378771351144665</v>
      </c>
      <c r="O89" s="36">
        <f ca="1">DSUM($B$55:$X$67,O$55,$C$74:$D89)</f>
        <v>0.27281426630644223</v>
      </c>
      <c r="P89" s="36">
        <f ca="1">DSUM($B$55:$X$67,P$55,$C$74:$D89)</f>
        <v>0.26748698194800447</v>
      </c>
      <c r="Q89" s="36">
        <f ca="1">DSUM($B$55:$X$67,Q$55,$C$74:$D89)</f>
        <v>0.25941480488226371</v>
      </c>
      <c r="R89" s="36">
        <f ca="1">DSUM($B$55:$X$67,R$55,$C$74:$D89)</f>
        <v>0.25663280421037832</v>
      </c>
      <c r="S89" s="36">
        <f ca="1">DSUM($B$55:$X$67,S$55,$C$74:$D89)</f>
        <v>0.25588529628050333</v>
      </c>
      <c r="T89" s="36">
        <f ca="1">DSUM($B$55:$X$67,T$55,$C$74:$D89)</f>
        <v>0.25095188503446147</v>
      </c>
      <c r="U89" s="36">
        <f ca="1">DSUM($B$55:$X$67,U$55,$C$74:$D89)</f>
        <v>0.24062890624962094</v>
      </c>
      <c r="V89" s="36">
        <f ca="1">DSUM($B$55:$X$67,V$55,$C$74:$D89)</f>
        <v>0.23667217362174947</v>
      </c>
      <c r="W89" s="36">
        <f ca="1">DSUM($B$55:$X$67,W$55,$C$74:$D89)</f>
        <v>0.23345067636172789</v>
      </c>
      <c r="X89" s="36">
        <f ca="1">DSUM($B$55:$X$67,X$55,$C$74:$D89)</f>
        <v>0.23453353400127663</v>
      </c>
      <c r="Y89" s="36"/>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9" t="s">
        <v>113</v>
      </c>
      <c r="C90" s="58" t="s">
        <v>114</v>
      </c>
      <c r="D90" s="58" t="s">
        <v>115</v>
      </c>
      <c r="E90" s="36">
        <f ca="1">DSUM($B$55:$X$67,E$55,$C$74:$D90)</f>
        <v>0.16391048947653905</v>
      </c>
      <c r="F90" s="36">
        <f ca="1">DSUM($B$55:$X$67,F$55,$C$74:$D90)</f>
        <v>0.2293622701523641</v>
      </c>
      <c r="G90" s="36">
        <f ca="1">DSUM($B$55:$X$67,G$55,$C$74:$D90)</f>
        <v>0.26362052127876889</v>
      </c>
      <c r="H90" s="36">
        <f ca="1">DSUM($B$55:$X$67,H$55,$C$74:$D90)</f>
        <v>0.28117827219155284</v>
      </c>
      <c r="I90" s="36">
        <f ca="1">DSUM($B$55:$X$67,I$55,$C$74:$D90)</f>
        <v>0.28719266868192361</v>
      </c>
      <c r="J90" s="36">
        <f ca="1">DSUM($B$55:$X$67,J$55,$C$74:$D90)</f>
        <v>0.28058929112810665</v>
      </c>
      <c r="K90" s="36">
        <f ca="1">DSUM($B$55:$X$67,K$55,$C$74:$D90)</f>
        <v>0.27510447557088158</v>
      </c>
      <c r="L90" s="36">
        <f ca="1">DSUM($B$55:$X$67,L$55,$C$74:$D90)</f>
        <v>0.27405803418238844</v>
      </c>
      <c r="M90" s="36">
        <f ca="1">DSUM($B$55:$X$67,M$55,$C$74:$D90)</f>
        <v>0.27100463463214641</v>
      </c>
      <c r="N90" s="36">
        <f ca="1">DSUM($B$55:$X$67,N$55,$C$74:$D90)</f>
        <v>0.27378771351144665</v>
      </c>
      <c r="O90" s="36">
        <f ca="1">DSUM($B$55:$X$67,O$55,$C$74:$D90)</f>
        <v>0.27281426630644223</v>
      </c>
      <c r="P90" s="36">
        <f ca="1">DSUM($B$55:$X$67,P$55,$C$74:$D90)</f>
        <v>0.26748698194800447</v>
      </c>
      <c r="Q90" s="36">
        <f ca="1">DSUM($B$55:$X$67,Q$55,$C$74:$D90)</f>
        <v>0.25941480488226371</v>
      </c>
      <c r="R90" s="36">
        <f ca="1">DSUM($B$55:$X$67,R$55,$C$74:$D90)</f>
        <v>0.25663280421037832</v>
      </c>
      <c r="S90" s="36">
        <f ca="1">DSUM($B$55:$X$67,S$55,$C$74:$D90)</f>
        <v>0.25588529628050333</v>
      </c>
      <c r="T90" s="36">
        <f ca="1">DSUM($B$55:$X$67,T$55,$C$74:$D90)</f>
        <v>0.25095188503446147</v>
      </c>
      <c r="U90" s="36">
        <f ca="1">DSUM($B$55:$X$67,U$55,$C$74:$D90)</f>
        <v>0.24062890624962094</v>
      </c>
      <c r="V90" s="36">
        <f ca="1">DSUM($B$55:$X$67,V$55,$C$74:$D90)</f>
        <v>0.23667217362174947</v>
      </c>
      <c r="W90" s="36">
        <f ca="1">DSUM($B$55:$X$67,W$55,$C$74:$D90)</f>
        <v>0.23345067636172789</v>
      </c>
      <c r="X90" s="36">
        <f ca="1">DSUM($B$55:$X$67,X$55,$C$74:$D90)</f>
        <v>0.23453353400127663</v>
      </c>
      <c r="Y90" s="36"/>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9" t="s">
        <v>116</v>
      </c>
      <c r="C91" s="58" t="s">
        <v>117</v>
      </c>
      <c r="D91" s="58" t="s">
        <v>118</v>
      </c>
      <c r="E91" s="36">
        <f ca="1">DSUM($B$55:$X$67,E$55,$C$74:$D91)</f>
        <v>0.16391048947653905</v>
      </c>
      <c r="F91" s="36">
        <f ca="1">DSUM($B$55:$X$67,F$55,$C$74:$D91)</f>
        <v>0.2293622701523641</v>
      </c>
      <c r="G91" s="36">
        <f ca="1">DSUM($B$55:$X$67,G$55,$C$74:$D91)</f>
        <v>0.26362052127876889</v>
      </c>
      <c r="H91" s="36">
        <f ca="1">DSUM($B$55:$X$67,H$55,$C$74:$D91)</f>
        <v>0.28117827219155284</v>
      </c>
      <c r="I91" s="36">
        <f ca="1">DSUM($B$55:$X$67,I$55,$C$74:$D91)</f>
        <v>0.28719266868192361</v>
      </c>
      <c r="J91" s="36">
        <f ca="1">DSUM($B$55:$X$67,J$55,$C$74:$D91)</f>
        <v>0.28058929112810665</v>
      </c>
      <c r="K91" s="36">
        <f ca="1">DSUM($B$55:$X$67,K$55,$C$74:$D91)</f>
        <v>0.27510447557088158</v>
      </c>
      <c r="L91" s="36">
        <f ca="1">DSUM($B$55:$X$67,L$55,$C$74:$D91)</f>
        <v>0.27405803418238844</v>
      </c>
      <c r="M91" s="36">
        <f ca="1">DSUM($B$55:$X$67,M$55,$C$74:$D91)</f>
        <v>0.27100463463214641</v>
      </c>
      <c r="N91" s="36">
        <f ca="1">DSUM($B$55:$X$67,N$55,$C$74:$D91)</f>
        <v>0.27378771351144665</v>
      </c>
      <c r="O91" s="36">
        <f ca="1">DSUM($B$55:$X$67,O$55,$C$74:$D91)</f>
        <v>0.27281426630644223</v>
      </c>
      <c r="P91" s="36">
        <f ca="1">DSUM($B$55:$X$67,P$55,$C$74:$D91)</f>
        <v>0.26748698194800447</v>
      </c>
      <c r="Q91" s="36">
        <f ca="1">DSUM($B$55:$X$67,Q$55,$C$74:$D91)</f>
        <v>0.25941480488226371</v>
      </c>
      <c r="R91" s="36">
        <f ca="1">DSUM($B$55:$X$67,R$55,$C$74:$D91)</f>
        <v>0.25663280421037832</v>
      </c>
      <c r="S91" s="36">
        <f ca="1">DSUM($B$55:$X$67,S$55,$C$74:$D91)</f>
        <v>0.25588529628050333</v>
      </c>
      <c r="T91" s="36">
        <f ca="1">DSUM($B$55:$X$67,T$55,$C$74:$D91)</f>
        <v>0.25095188503446147</v>
      </c>
      <c r="U91" s="36">
        <f ca="1">DSUM($B$55:$X$67,U$55,$C$74:$D91)</f>
        <v>0.24062890624962094</v>
      </c>
      <c r="V91" s="36">
        <f ca="1">DSUM($B$55:$X$67,V$55,$C$74:$D91)</f>
        <v>0.23667217362174947</v>
      </c>
      <c r="W91" s="36">
        <f ca="1">DSUM($B$55:$X$67,W$55,$C$74:$D91)</f>
        <v>0.23345067636172789</v>
      </c>
      <c r="X91" s="36">
        <f ca="1">DSUM($B$55:$X$67,X$55,$C$74:$D91)</f>
        <v>0.23453353400127663</v>
      </c>
      <c r="Y91" s="36"/>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9" t="s">
        <v>119</v>
      </c>
      <c r="C92" s="58" t="s">
        <v>120</v>
      </c>
      <c r="D92" s="58" t="s">
        <v>121</v>
      </c>
      <c r="E92" s="36">
        <f ca="1">DSUM($B$55:$X$67,E$55,$C$74:$D92)</f>
        <v>0.16391048947653905</v>
      </c>
      <c r="F92" s="36">
        <f ca="1">DSUM($B$55:$X$67,F$55,$C$74:$D92)</f>
        <v>0.2293622701523641</v>
      </c>
      <c r="G92" s="36">
        <f ca="1">DSUM($B$55:$X$67,G$55,$C$74:$D92)</f>
        <v>0.26362052127876889</v>
      </c>
      <c r="H92" s="36">
        <f ca="1">DSUM($B$55:$X$67,H$55,$C$74:$D92)</f>
        <v>0.28117827219155284</v>
      </c>
      <c r="I92" s="36">
        <f ca="1">DSUM($B$55:$X$67,I$55,$C$74:$D92)</f>
        <v>0.28719266868192361</v>
      </c>
      <c r="J92" s="36">
        <f ca="1">DSUM($B$55:$X$67,J$55,$C$74:$D92)</f>
        <v>0.28058929112810665</v>
      </c>
      <c r="K92" s="36">
        <f ca="1">DSUM($B$55:$X$67,K$55,$C$74:$D92)</f>
        <v>0.27510447557088158</v>
      </c>
      <c r="L92" s="36">
        <f ca="1">DSUM($B$55:$X$67,L$55,$C$74:$D92)</f>
        <v>0.27405803418238844</v>
      </c>
      <c r="M92" s="36">
        <f ca="1">DSUM($B$55:$X$67,M$55,$C$74:$D92)</f>
        <v>0.27100463463214641</v>
      </c>
      <c r="N92" s="36">
        <f ca="1">DSUM($B$55:$X$67,N$55,$C$74:$D92)</f>
        <v>0.27378771351144665</v>
      </c>
      <c r="O92" s="36">
        <f ca="1">DSUM($B$55:$X$67,O$55,$C$74:$D92)</f>
        <v>0.27281426630644223</v>
      </c>
      <c r="P92" s="36">
        <f ca="1">DSUM($B$55:$X$67,P$55,$C$74:$D92)</f>
        <v>0.26748698194800447</v>
      </c>
      <c r="Q92" s="36">
        <f ca="1">DSUM($B$55:$X$67,Q$55,$C$74:$D92)</f>
        <v>0.25941480488226371</v>
      </c>
      <c r="R92" s="36">
        <f ca="1">DSUM($B$55:$X$67,R$55,$C$74:$D92)</f>
        <v>0.25663280421037832</v>
      </c>
      <c r="S92" s="36">
        <f ca="1">DSUM($B$55:$X$67,S$55,$C$74:$D92)</f>
        <v>0.25588529628050333</v>
      </c>
      <c r="T92" s="36">
        <f ca="1">DSUM($B$55:$X$67,T$55,$C$74:$D92)</f>
        <v>0.25095188503446147</v>
      </c>
      <c r="U92" s="36">
        <f ca="1">DSUM($B$55:$X$67,U$55,$C$74:$D92)</f>
        <v>0.24062890624962094</v>
      </c>
      <c r="V92" s="36">
        <f ca="1">DSUM($B$55:$X$67,V$55,$C$74:$D92)</f>
        <v>0.23667217362174947</v>
      </c>
      <c r="W92" s="36">
        <f ca="1">DSUM($B$55:$X$67,W$55,$C$74:$D92)</f>
        <v>0.23345067636172789</v>
      </c>
      <c r="X92" s="36">
        <f ca="1">DSUM($B$55:$X$67,X$55,$C$74:$D92)</f>
        <v>0.23453353400127663</v>
      </c>
      <c r="Y92" s="36"/>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9" t="s">
        <v>122</v>
      </c>
      <c r="C93" s="58" t="s">
        <v>123</v>
      </c>
      <c r="D93" s="58" t="s">
        <v>124</v>
      </c>
      <c r="E93" s="36">
        <f ca="1">DSUM($B$55:$X$67,E$55,$C$74:$D93)</f>
        <v>0.16391048947653905</v>
      </c>
      <c r="F93" s="36">
        <f ca="1">DSUM($B$55:$X$67,F$55,$C$74:$D93)</f>
        <v>0.2293622701523641</v>
      </c>
      <c r="G93" s="36">
        <f ca="1">DSUM($B$55:$X$67,G$55,$C$74:$D93)</f>
        <v>0.26362052127876889</v>
      </c>
      <c r="H93" s="36">
        <f ca="1">DSUM($B$55:$X$67,H$55,$C$74:$D93)</f>
        <v>0.28117827219155284</v>
      </c>
      <c r="I93" s="36">
        <f ca="1">DSUM($B$55:$X$67,I$55,$C$74:$D93)</f>
        <v>0.28719266868192361</v>
      </c>
      <c r="J93" s="36">
        <f ca="1">DSUM($B$55:$X$67,J$55,$C$74:$D93)</f>
        <v>0.28058929112810665</v>
      </c>
      <c r="K93" s="36">
        <f ca="1">DSUM($B$55:$X$67,K$55,$C$74:$D93)</f>
        <v>0.27510447557088158</v>
      </c>
      <c r="L93" s="36">
        <f ca="1">DSUM($B$55:$X$67,L$55,$C$74:$D93)</f>
        <v>0.27405803418238844</v>
      </c>
      <c r="M93" s="36">
        <f ca="1">DSUM($B$55:$X$67,M$55,$C$74:$D93)</f>
        <v>0.27100463463214641</v>
      </c>
      <c r="N93" s="36">
        <f ca="1">DSUM($B$55:$X$67,N$55,$C$74:$D93)</f>
        <v>0.27378771351144665</v>
      </c>
      <c r="O93" s="36">
        <f ca="1">DSUM($B$55:$X$67,O$55,$C$74:$D93)</f>
        <v>0.27281426630644223</v>
      </c>
      <c r="P93" s="36">
        <f ca="1">DSUM($B$55:$X$67,P$55,$C$74:$D93)</f>
        <v>0.26748698194800447</v>
      </c>
      <c r="Q93" s="36">
        <f ca="1">DSUM($B$55:$X$67,Q$55,$C$74:$D93)</f>
        <v>0.25941480488226371</v>
      </c>
      <c r="R93" s="36">
        <f ca="1">DSUM($B$55:$X$67,R$55,$C$74:$D93)</f>
        <v>0.25663280421037832</v>
      </c>
      <c r="S93" s="36">
        <f ca="1">DSUM($B$55:$X$67,S$55,$C$74:$D93)</f>
        <v>0.25588529628050333</v>
      </c>
      <c r="T93" s="36">
        <f ca="1">DSUM($B$55:$X$67,T$55,$C$74:$D93)</f>
        <v>0.25095188503446147</v>
      </c>
      <c r="U93" s="36">
        <f ca="1">DSUM($B$55:$X$67,U$55,$C$74:$D93)</f>
        <v>0.24062890624962094</v>
      </c>
      <c r="V93" s="36">
        <f ca="1">DSUM($B$55:$X$67,V$55,$C$74:$D93)</f>
        <v>0.23667217362174947</v>
      </c>
      <c r="W93" s="36">
        <f ca="1">DSUM($B$55:$X$67,W$55,$C$74:$D93)</f>
        <v>0.23345067636172789</v>
      </c>
      <c r="X93" s="36">
        <f ca="1">DSUM($B$55:$X$67,X$55,$C$74:$D93)</f>
        <v>0.23453353400127663</v>
      </c>
      <c r="Y93" s="36"/>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9" t="s">
        <v>125</v>
      </c>
      <c r="C94" s="58" t="s">
        <v>126</v>
      </c>
      <c r="D94" s="58" t="s">
        <v>127</v>
      </c>
      <c r="E94" s="36">
        <f ca="1">DSUM($B$55:$X$67,E$55,$C$74:$D94)</f>
        <v>0.16391048947653905</v>
      </c>
      <c r="F94" s="36">
        <f ca="1">DSUM($B$55:$X$67,F$55,$C$74:$D94)</f>
        <v>0.2293622701523641</v>
      </c>
      <c r="G94" s="36">
        <f ca="1">DSUM($B$55:$X$67,G$55,$C$74:$D94)</f>
        <v>0.26362052127876889</v>
      </c>
      <c r="H94" s="36">
        <f ca="1">DSUM($B$55:$X$67,H$55,$C$74:$D94)</f>
        <v>0.28117827219155284</v>
      </c>
      <c r="I94" s="36">
        <f ca="1">DSUM($B$55:$X$67,I$55,$C$74:$D94)</f>
        <v>0.28719266868192361</v>
      </c>
      <c r="J94" s="36">
        <f ca="1">DSUM($B$55:$X$67,J$55,$C$74:$D94)</f>
        <v>0.28058929112810665</v>
      </c>
      <c r="K94" s="36">
        <f ca="1">DSUM($B$55:$X$67,K$55,$C$74:$D94)</f>
        <v>0.27510447557088158</v>
      </c>
      <c r="L94" s="36">
        <f ca="1">DSUM($B$55:$X$67,L$55,$C$74:$D94)</f>
        <v>0.27405803418238844</v>
      </c>
      <c r="M94" s="36">
        <f ca="1">DSUM($B$55:$X$67,M$55,$C$74:$D94)</f>
        <v>0.27100463463214641</v>
      </c>
      <c r="N94" s="36">
        <f ca="1">DSUM($B$55:$X$67,N$55,$C$74:$D94)</f>
        <v>0.27378771351144665</v>
      </c>
      <c r="O94" s="36">
        <f ca="1">DSUM($B$55:$X$67,O$55,$C$74:$D94)</f>
        <v>0.27281426630644223</v>
      </c>
      <c r="P94" s="36">
        <f ca="1">DSUM($B$55:$X$67,P$55,$C$74:$D94)</f>
        <v>0.26748698194800447</v>
      </c>
      <c r="Q94" s="36">
        <f ca="1">DSUM($B$55:$X$67,Q$55,$C$74:$D94)</f>
        <v>0.25941480488226371</v>
      </c>
      <c r="R94" s="36">
        <f ca="1">DSUM($B$55:$X$67,R$55,$C$74:$D94)</f>
        <v>0.25663280421037832</v>
      </c>
      <c r="S94" s="36">
        <f ca="1">DSUM($B$55:$X$67,S$55,$C$74:$D94)</f>
        <v>0.25588529628050333</v>
      </c>
      <c r="T94" s="36">
        <f ca="1">DSUM($B$55:$X$67,T$55,$C$74:$D94)</f>
        <v>0.25095188503446147</v>
      </c>
      <c r="U94" s="36">
        <f ca="1">DSUM($B$55:$X$67,U$55,$C$74:$D94)</f>
        <v>0.24062890624962094</v>
      </c>
      <c r="V94" s="36">
        <f ca="1">DSUM($B$55:$X$67,V$55,$C$74:$D94)</f>
        <v>0.23667217362174947</v>
      </c>
      <c r="W94" s="36">
        <f ca="1">DSUM($B$55:$X$67,W$55,$C$74:$D94)</f>
        <v>0.23345067636172789</v>
      </c>
      <c r="X94" s="36">
        <f ca="1">DSUM($B$55:$X$67,X$55,$C$74:$D94)</f>
        <v>0.23453353400127663</v>
      </c>
      <c r="Y94" s="36"/>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B95" s="9" t="s">
        <v>128</v>
      </c>
      <c r="C95" s="58" t="s">
        <v>129</v>
      </c>
      <c r="D95" s="58" t="s">
        <v>130</v>
      </c>
      <c r="E95" s="36">
        <f ca="1">DSUM($B$55:$X$67,E$55,$C$74:$D95)</f>
        <v>0.16391048947653905</v>
      </c>
      <c r="F95" s="36">
        <f ca="1">DSUM($B$55:$X$67,F$55,$C$74:$D95)</f>
        <v>0.2293622701523641</v>
      </c>
      <c r="G95" s="36">
        <f ca="1">DSUM($B$55:$X$67,G$55,$C$74:$D95)</f>
        <v>0.26362052127876889</v>
      </c>
      <c r="H95" s="36">
        <f ca="1">DSUM($B$55:$X$67,H$55,$C$74:$D95)</f>
        <v>0.28117827219155284</v>
      </c>
      <c r="I95" s="36">
        <f ca="1">DSUM($B$55:$X$67,I$55,$C$74:$D95)</f>
        <v>0.28719266868192361</v>
      </c>
      <c r="J95" s="36">
        <f ca="1">DSUM($B$55:$X$67,J$55,$C$74:$D95)</f>
        <v>0.28058929112810665</v>
      </c>
      <c r="K95" s="36">
        <f ca="1">DSUM($B$55:$X$67,K$55,$C$74:$D95)</f>
        <v>0.27510447557088158</v>
      </c>
      <c r="L95" s="36">
        <f ca="1">DSUM($B$55:$X$67,L$55,$C$74:$D95)</f>
        <v>0.27405803418238844</v>
      </c>
      <c r="M95" s="36">
        <f ca="1">DSUM($B$55:$X$67,M$55,$C$74:$D95)</f>
        <v>0.27100463463214641</v>
      </c>
      <c r="N95" s="36">
        <f ca="1">DSUM($B$55:$X$67,N$55,$C$74:$D95)</f>
        <v>0.27378771351144665</v>
      </c>
      <c r="O95" s="36">
        <f ca="1">DSUM($B$55:$X$67,O$55,$C$74:$D95)</f>
        <v>0.27281426630644223</v>
      </c>
      <c r="P95" s="36">
        <f ca="1">DSUM($B$55:$X$67,P$55,$C$74:$D95)</f>
        <v>0.26748698194800447</v>
      </c>
      <c r="Q95" s="36">
        <f ca="1">DSUM($B$55:$X$67,Q$55,$C$74:$D95)</f>
        <v>0.25941480488226371</v>
      </c>
      <c r="R95" s="36">
        <f ca="1">DSUM($B$55:$X$67,R$55,$C$74:$D95)</f>
        <v>0.25663280421037832</v>
      </c>
      <c r="S95" s="36">
        <f ca="1">DSUM($B$55:$X$67,S$55,$C$74:$D95)</f>
        <v>0.25588529628050333</v>
      </c>
      <c r="T95" s="36">
        <f ca="1">DSUM($B$55:$X$67,T$55,$C$74:$D95)</f>
        <v>0.25095188503446147</v>
      </c>
      <c r="U95" s="36">
        <f ca="1">DSUM($B$55:$X$67,U$55,$C$74:$D95)</f>
        <v>0.24062890624962094</v>
      </c>
      <c r="V95" s="36">
        <f ca="1">DSUM($B$55:$X$67,V$55,$C$74:$D95)</f>
        <v>0.23667217362174947</v>
      </c>
      <c r="W95" s="36">
        <f ca="1">DSUM($B$55:$X$67,W$55,$C$74:$D95)</f>
        <v>0.23345067636172789</v>
      </c>
      <c r="X95" s="36">
        <f ca="1">DSUM($B$55:$X$67,X$55,$C$74:$D95)</f>
        <v>0.23453353400127663</v>
      </c>
      <c r="Y95" s="36"/>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B96" s="9" t="s">
        <v>534</v>
      </c>
      <c r="C96" s="58" t="s">
        <v>132</v>
      </c>
      <c r="D96" s="58" t="s">
        <v>535</v>
      </c>
      <c r="E96" s="36">
        <f ca="1">DSUM($B$55:$X$67,E$55,$C$74:$D96)</f>
        <v>0.16391048947653905</v>
      </c>
      <c r="F96" s="36">
        <f ca="1">DSUM($B$55:$X$67,F$55,$C$74:$D96)</f>
        <v>0.2293622701523641</v>
      </c>
      <c r="G96" s="36">
        <f ca="1">DSUM($B$55:$X$67,G$55,$C$74:$D96)</f>
        <v>0.26362052127876889</v>
      </c>
      <c r="H96" s="36">
        <f ca="1">DSUM($B$55:$X$67,H$55,$C$74:$D96)</f>
        <v>0.28117827219155284</v>
      </c>
      <c r="I96" s="36">
        <f ca="1">DSUM($B$55:$X$67,I$55,$C$74:$D96)</f>
        <v>0.28719266868192361</v>
      </c>
      <c r="J96" s="36">
        <f ca="1">DSUM($B$55:$X$67,J$55,$C$74:$D96)</f>
        <v>0.28058929112810665</v>
      </c>
      <c r="K96" s="36">
        <f ca="1">DSUM($B$55:$X$67,K$55,$C$74:$D96)</f>
        <v>0.27510447557088158</v>
      </c>
      <c r="L96" s="36">
        <f ca="1">DSUM($B$55:$X$67,L$55,$C$74:$D96)</f>
        <v>0.27405803418238844</v>
      </c>
      <c r="M96" s="36">
        <f ca="1">DSUM($B$55:$X$67,M$55,$C$74:$D96)</f>
        <v>0.27100463463214641</v>
      </c>
      <c r="N96" s="36">
        <f ca="1">DSUM($B$55:$X$67,N$55,$C$74:$D96)</f>
        <v>0.27378771351144665</v>
      </c>
      <c r="O96" s="36">
        <f ca="1">DSUM($B$55:$X$67,O$55,$C$74:$D96)</f>
        <v>0.27281426630644223</v>
      </c>
      <c r="P96" s="36">
        <f ca="1">DSUM($B$55:$X$67,P$55,$C$74:$D96)</f>
        <v>0.26748698194800447</v>
      </c>
      <c r="Q96" s="36">
        <f ca="1">DSUM($B$55:$X$67,Q$55,$C$74:$D96)</f>
        <v>0.25941480488226371</v>
      </c>
      <c r="R96" s="36">
        <f ca="1">DSUM($B$55:$X$67,R$55,$C$74:$D96)</f>
        <v>0.25663280421037832</v>
      </c>
      <c r="S96" s="36">
        <f ca="1">DSUM($B$55:$X$67,S$55,$C$74:$D96)</f>
        <v>0.25588529628050333</v>
      </c>
      <c r="T96" s="36">
        <f ca="1">DSUM($B$55:$X$67,T$55,$C$74:$D96)</f>
        <v>0.25095188503446147</v>
      </c>
      <c r="U96" s="36">
        <f ca="1">DSUM($B$55:$X$67,U$55,$C$74:$D96)</f>
        <v>0.24062890624962094</v>
      </c>
      <c r="V96" s="36">
        <f ca="1">DSUM($B$55:$X$67,V$55,$C$74:$D96)</f>
        <v>0.23667217362174947</v>
      </c>
      <c r="W96" s="36">
        <f ca="1">DSUM($B$55:$X$67,W$55,$C$74:$D96)</f>
        <v>0.23345067636172789</v>
      </c>
      <c r="X96" s="36">
        <f ca="1">DSUM($B$55:$X$67,X$55,$C$74:$D96)</f>
        <v>0.23453353400127663</v>
      </c>
      <c r="Y96" s="3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B97" s="9" t="s">
        <v>536</v>
      </c>
      <c r="C97" s="58" t="s">
        <v>537</v>
      </c>
      <c r="D97" s="58" t="s">
        <v>538</v>
      </c>
      <c r="E97" s="36">
        <f ca="1">DSUM($B$55:$X$67,E$55,$C$74:$D97)</f>
        <v>0.16391048947653905</v>
      </c>
      <c r="F97" s="36">
        <f ca="1">DSUM($B$55:$X$67,F$55,$C$74:$D97)</f>
        <v>0.2293622701523641</v>
      </c>
      <c r="G97" s="36">
        <f ca="1">DSUM($B$55:$X$67,G$55,$C$74:$D97)</f>
        <v>0.26362052127876889</v>
      </c>
      <c r="H97" s="36">
        <f ca="1">DSUM($B$55:$X$67,H$55,$C$74:$D97)</f>
        <v>0.28117827219155284</v>
      </c>
      <c r="I97" s="36">
        <f ca="1">DSUM($B$55:$X$67,I$55,$C$74:$D97)</f>
        <v>0.28719266868192361</v>
      </c>
      <c r="J97" s="36">
        <f ca="1">DSUM($B$55:$X$67,J$55,$C$74:$D97)</f>
        <v>0.28058929112810665</v>
      </c>
      <c r="K97" s="36">
        <f ca="1">DSUM($B$55:$X$67,K$55,$C$74:$D97)</f>
        <v>0.27510447557088158</v>
      </c>
      <c r="L97" s="36">
        <f ca="1">DSUM($B$55:$X$67,L$55,$C$74:$D97)</f>
        <v>0.27405803418238844</v>
      </c>
      <c r="M97" s="36">
        <f ca="1">DSUM($B$55:$X$67,M$55,$C$74:$D97)</f>
        <v>0.27100463463214641</v>
      </c>
      <c r="N97" s="36">
        <f ca="1">DSUM($B$55:$X$67,N$55,$C$74:$D97)</f>
        <v>0.27378771351144665</v>
      </c>
      <c r="O97" s="36">
        <f ca="1">DSUM($B$55:$X$67,O$55,$C$74:$D97)</f>
        <v>0.27281426630644223</v>
      </c>
      <c r="P97" s="36">
        <f ca="1">DSUM($B$55:$X$67,P$55,$C$74:$D97)</f>
        <v>0.26748698194800447</v>
      </c>
      <c r="Q97" s="36">
        <f ca="1">DSUM($B$55:$X$67,Q$55,$C$74:$D97)</f>
        <v>0.25941480488226371</v>
      </c>
      <c r="R97" s="36">
        <f ca="1">DSUM($B$55:$X$67,R$55,$C$74:$D97)</f>
        <v>0.25663280421037832</v>
      </c>
      <c r="S97" s="36">
        <f ca="1">DSUM($B$55:$X$67,S$55,$C$74:$D97)</f>
        <v>0.25588529628050333</v>
      </c>
      <c r="T97" s="36">
        <f ca="1">DSUM($B$55:$X$67,T$55,$C$74:$D97)</f>
        <v>0.25095188503446147</v>
      </c>
      <c r="U97" s="36">
        <f ca="1">DSUM($B$55:$X$67,U$55,$C$74:$D97)</f>
        <v>0.24062890624962094</v>
      </c>
      <c r="V97" s="36">
        <f ca="1">DSUM($B$55:$X$67,V$55,$C$74:$D97)</f>
        <v>0.23667217362174947</v>
      </c>
      <c r="W97" s="36">
        <f ca="1">DSUM($B$55:$X$67,W$55,$C$74:$D97)</f>
        <v>0.23345067636172789</v>
      </c>
      <c r="X97" s="36">
        <f ca="1">DSUM($B$55:$X$67,X$55,$C$74:$D97)</f>
        <v>0.23453353400127663</v>
      </c>
      <c r="Y97" s="36"/>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9" t="s">
        <v>539</v>
      </c>
      <c r="C98" s="58" t="s">
        <v>540</v>
      </c>
      <c r="D98" s="58" t="s">
        <v>541</v>
      </c>
      <c r="E98" s="36">
        <f ca="1">DSUM($B$55:$X$67,E$55,$C$74:$D98)</f>
        <v>0.16391048947653905</v>
      </c>
      <c r="F98" s="36">
        <f ca="1">DSUM($B$55:$X$67,F$55,$C$74:$D98)</f>
        <v>0.2293622701523641</v>
      </c>
      <c r="G98" s="36">
        <f ca="1">DSUM($B$55:$X$67,G$55,$C$74:$D98)</f>
        <v>0.26362052127876889</v>
      </c>
      <c r="H98" s="36">
        <f ca="1">DSUM($B$55:$X$67,H$55,$C$74:$D98)</f>
        <v>0.28117827219155284</v>
      </c>
      <c r="I98" s="36">
        <f ca="1">DSUM($B$55:$X$67,I$55,$C$74:$D98)</f>
        <v>0.28719266868192361</v>
      </c>
      <c r="J98" s="36">
        <f ca="1">DSUM($B$55:$X$67,J$55,$C$74:$D98)</f>
        <v>0.28058929112810665</v>
      </c>
      <c r="K98" s="36">
        <f ca="1">DSUM($B$55:$X$67,K$55,$C$74:$D98)</f>
        <v>0.27510447557088158</v>
      </c>
      <c r="L98" s="36">
        <f ca="1">DSUM($B$55:$X$67,L$55,$C$74:$D98)</f>
        <v>0.27405803418238844</v>
      </c>
      <c r="M98" s="36">
        <f ca="1">DSUM($B$55:$X$67,M$55,$C$74:$D98)</f>
        <v>0.27100463463214641</v>
      </c>
      <c r="N98" s="36">
        <f ca="1">DSUM($B$55:$X$67,N$55,$C$74:$D98)</f>
        <v>0.27378771351144665</v>
      </c>
      <c r="O98" s="36">
        <f ca="1">DSUM($B$55:$X$67,O$55,$C$74:$D98)</f>
        <v>0.27281426630644223</v>
      </c>
      <c r="P98" s="36">
        <f ca="1">DSUM($B$55:$X$67,P$55,$C$74:$D98)</f>
        <v>0.26748698194800447</v>
      </c>
      <c r="Q98" s="36">
        <f ca="1">DSUM($B$55:$X$67,Q$55,$C$74:$D98)</f>
        <v>0.25941480488226371</v>
      </c>
      <c r="R98" s="36">
        <f ca="1">DSUM($B$55:$X$67,R$55,$C$74:$D98)</f>
        <v>0.25663280421037832</v>
      </c>
      <c r="S98" s="36">
        <f ca="1">DSUM($B$55:$X$67,S$55,$C$74:$D98)</f>
        <v>0.25588529628050333</v>
      </c>
      <c r="T98" s="36">
        <f ca="1">DSUM($B$55:$X$67,T$55,$C$74:$D98)</f>
        <v>0.25095188503446147</v>
      </c>
      <c r="U98" s="36">
        <f ca="1">DSUM($B$55:$X$67,U$55,$C$74:$D98)</f>
        <v>0.24062890624962094</v>
      </c>
      <c r="V98" s="36">
        <f ca="1">DSUM($B$55:$X$67,V$55,$C$74:$D98)</f>
        <v>0.23667217362174947</v>
      </c>
      <c r="W98" s="36">
        <f ca="1">DSUM($B$55:$X$67,W$55,$C$74:$D98)</f>
        <v>0.23345067636172789</v>
      </c>
      <c r="X98" s="36">
        <f ca="1">DSUM($B$55:$X$67,X$55,$C$74:$D98)</f>
        <v>0.23453353400127663</v>
      </c>
      <c r="Y98" s="36"/>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B99" s="9" t="s">
        <v>542</v>
      </c>
      <c r="C99" s="58" t="s">
        <v>543</v>
      </c>
      <c r="D99" s="58" t="s">
        <v>544</v>
      </c>
      <c r="E99" s="36">
        <f ca="1">DSUM($B$55:$X$67,E$55,$C$74:$D99)</f>
        <v>0.16391048947653905</v>
      </c>
      <c r="F99" s="36">
        <f ca="1">DSUM($B$55:$X$67,F$55,$C$74:$D99)</f>
        <v>0.2293622701523641</v>
      </c>
      <c r="G99" s="36">
        <f ca="1">DSUM($B$55:$X$67,G$55,$C$74:$D99)</f>
        <v>0.26362052127876889</v>
      </c>
      <c r="H99" s="36">
        <f ca="1">DSUM($B$55:$X$67,H$55,$C$74:$D99)</f>
        <v>0.28117827219155284</v>
      </c>
      <c r="I99" s="36">
        <f ca="1">DSUM($B$55:$X$67,I$55,$C$74:$D99)</f>
        <v>0.28719266868192361</v>
      </c>
      <c r="J99" s="36">
        <f ca="1">DSUM($B$55:$X$67,J$55,$C$74:$D99)</f>
        <v>0.28058929112810665</v>
      </c>
      <c r="K99" s="36">
        <f ca="1">DSUM($B$55:$X$67,K$55,$C$74:$D99)</f>
        <v>0.27510447557088158</v>
      </c>
      <c r="L99" s="36">
        <f ca="1">DSUM($B$55:$X$67,L$55,$C$74:$D99)</f>
        <v>0.27405803418238844</v>
      </c>
      <c r="M99" s="36">
        <f ca="1">DSUM($B$55:$X$67,M$55,$C$74:$D99)</f>
        <v>0.27100463463214641</v>
      </c>
      <c r="N99" s="36">
        <f ca="1">DSUM($B$55:$X$67,N$55,$C$74:$D99)</f>
        <v>0.27378771351144665</v>
      </c>
      <c r="O99" s="36">
        <f ca="1">DSUM($B$55:$X$67,O$55,$C$74:$D99)</f>
        <v>0.27281426630644223</v>
      </c>
      <c r="P99" s="36">
        <f ca="1">DSUM($B$55:$X$67,P$55,$C$74:$D99)</f>
        <v>0.26748698194800447</v>
      </c>
      <c r="Q99" s="36">
        <f ca="1">DSUM($B$55:$X$67,Q$55,$C$74:$D99)</f>
        <v>0.25941480488226371</v>
      </c>
      <c r="R99" s="36">
        <f ca="1">DSUM($B$55:$X$67,R$55,$C$74:$D99)</f>
        <v>0.25663280421037832</v>
      </c>
      <c r="S99" s="36">
        <f ca="1">DSUM($B$55:$X$67,S$55,$C$74:$D99)</f>
        <v>0.25588529628050333</v>
      </c>
      <c r="T99" s="36">
        <f ca="1">DSUM($B$55:$X$67,T$55,$C$74:$D99)</f>
        <v>0.25095188503446147</v>
      </c>
      <c r="U99" s="36">
        <f ca="1">DSUM($B$55:$X$67,U$55,$C$74:$D99)</f>
        <v>0.24062890624962094</v>
      </c>
      <c r="V99" s="36">
        <f ca="1">DSUM($B$55:$X$67,V$55,$C$74:$D99)</f>
        <v>0.23667217362174947</v>
      </c>
      <c r="W99" s="36">
        <f ca="1">DSUM($B$55:$X$67,W$55,$C$74:$D99)</f>
        <v>0.23345067636172789</v>
      </c>
      <c r="X99" s="36">
        <f ca="1">DSUM($B$55:$X$67,X$55,$C$74:$D99)</f>
        <v>0.23453353400127663</v>
      </c>
      <c r="Y99" s="36"/>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c r="B100" s="9" t="s">
        <v>545</v>
      </c>
      <c r="C100" s="58" t="s">
        <v>546</v>
      </c>
      <c r="D100" s="58" t="s">
        <v>547</v>
      </c>
      <c r="E100" s="36">
        <f ca="1">DSUM($B$55:$X$67,E$55,$C$74:$D100)</f>
        <v>0.16391048947653905</v>
      </c>
      <c r="F100" s="36">
        <f ca="1">DSUM($B$55:$X$67,F$55,$C$74:$D100)</f>
        <v>0.2293622701523641</v>
      </c>
      <c r="G100" s="36">
        <f ca="1">DSUM($B$55:$X$67,G$55,$C$74:$D100)</f>
        <v>0.26362052127876889</v>
      </c>
      <c r="H100" s="36">
        <f ca="1">DSUM($B$55:$X$67,H$55,$C$74:$D100)</f>
        <v>0.28117827219155284</v>
      </c>
      <c r="I100" s="36">
        <f ca="1">DSUM($B$55:$X$67,I$55,$C$74:$D100)</f>
        <v>0.28719266868192361</v>
      </c>
      <c r="J100" s="36">
        <f ca="1">DSUM($B$55:$X$67,J$55,$C$74:$D100)</f>
        <v>0.28058929112810665</v>
      </c>
      <c r="K100" s="36">
        <f ca="1">DSUM($B$55:$X$67,K$55,$C$74:$D100)</f>
        <v>0.27510447557088158</v>
      </c>
      <c r="L100" s="36">
        <f ca="1">DSUM($B$55:$X$67,L$55,$C$74:$D100)</f>
        <v>0.27405803418238844</v>
      </c>
      <c r="M100" s="36">
        <f ca="1">DSUM($B$55:$X$67,M$55,$C$74:$D100)</f>
        <v>0.27100463463214641</v>
      </c>
      <c r="N100" s="36">
        <f ca="1">DSUM($B$55:$X$67,N$55,$C$74:$D100)</f>
        <v>0.27378771351144665</v>
      </c>
      <c r="O100" s="36">
        <f ca="1">DSUM($B$55:$X$67,O$55,$C$74:$D100)</f>
        <v>0.27281426630644223</v>
      </c>
      <c r="P100" s="36">
        <f ca="1">DSUM($B$55:$X$67,P$55,$C$74:$D100)</f>
        <v>0.26748698194800447</v>
      </c>
      <c r="Q100" s="36">
        <f ca="1">DSUM($B$55:$X$67,Q$55,$C$74:$D100)</f>
        <v>0.25941480488226371</v>
      </c>
      <c r="R100" s="36">
        <f ca="1">DSUM($B$55:$X$67,R$55,$C$74:$D100)</f>
        <v>0.25663280421037832</v>
      </c>
      <c r="S100" s="36">
        <f ca="1">DSUM($B$55:$X$67,S$55,$C$74:$D100)</f>
        <v>0.25588529628050333</v>
      </c>
      <c r="T100" s="36">
        <f ca="1">DSUM($B$55:$X$67,T$55,$C$74:$D100)</f>
        <v>0.25095188503446147</v>
      </c>
      <c r="U100" s="36">
        <f ca="1">DSUM($B$55:$X$67,U$55,$C$74:$D100)</f>
        <v>0.24062890624962094</v>
      </c>
      <c r="V100" s="36">
        <f ca="1">DSUM($B$55:$X$67,V$55,$C$74:$D100)</f>
        <v>0.23667217362174947</v>
      </c>
      <c r="W100" s="36">
        <f ca="1">DSUM($B$55:$X$67,W$55,$C$74:$D100)</f>
        <v>0.23345067636172789</v>
      </c>
      <c r="X100" s="36">
        <f ca="1">DSUM($B$55:$X$67,X$55,$C$74:$D100)</f>
        <v>0.23453353400127663</v>
      </c>
      <c r="Y100" s="36"/>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c r="B101" s="9" t="s">
        <v>548</v>
      </c>
      <c r="C101" s="58" t="s">
        <v>549</v>
      </c>
      <c r="D101" s="58" t="s">
        <v>550</v>
      </c>
      <c r="E101" s="36">
        <f ca="1">DSUM($B$55:$X$67,E$55,$C$74:$D101)</f>
        <v>0.16391048947653905</v>
      </c>
      <c r="F101" s="36">
        <f ca="1">DSUM($B$55:$X$67,F$55,$C$74:$D101)</f>
        <v>0.2293622701523641</v>
      </c>
      <c r="G101" s="36">
        <f ca="1">DSUM($B$55:$X$67,G$55,$C$74:$D101)</f>
        <v>0.26362052127876889</v>
      </c>
      <c r="H101" s="36">
        <f ca="1">DSUM($B$55:$X$67,H$55,$C$74:$D101)</f>
        <v>0.28117827219155284</v>
      </c>
      <c r="I101" s="36">
        <f ca="1">DSUM($B$55:$X$67,I$55,$C$74:$D101)</f>
        <v>0.28719266868192361</v>
      </c>
      <c r="J101" s="36">
        <f ca="1">DSUM($B$55:$X$67,J$55,$C$74:$D101)</f>
        <v>0.28058929112810665</v>
      </c>
      <c r="K101" s="36">
        <f ca="1">DSUM($B$55:$X$67,K$55,$C$74:$D101)</f>
        <v>0.27510447557088158</v>
      </c>
      <c r="L101" s="36">
        <f ca="1">DSUM($B$55:$X$67,L$55,$C$74:$D101)</f>
        <v>0.27405803418238844</v>
      </c>
      <c r="M101" s="36">
        <f ca="1">DSUM($B$55:$X$67,M$55,$C$74:$D101)</f>
        <v>0.27100463463214641</v>
      </c>
      <c r="N101" s="36">
        <f ca="1">DSUM($B$55:$X$67,N$55,$C$74:$D101)</f>
        <v>0.27378771351144665</v>
      </c>
      <c r="O101" s="36">
        <f ca="1">DSUM($B$55:$X$67,O$55,$C$74:$D101)</f>
        <v>0.27281426630644223</v>
      </c>
      <c r="P101" s="36">
        <f ca="1">DSUM($B$55:$X$67,P$55,$C$74:$D101)</f>
        <v>0.26748698194800447</v>
      </c>
      <c r="Q101" s="36">
        <f ca="1">DSUM($B$55:$X$67,Q$55,$C$74:$D101)</f>
        <v>0.25941480488226371</v>
      </c>
      <c r="R101" s="36">
        <f ca="1">DSUM($B$55:$X$67,R$55,$C$74:$D101)</f>
        <v>0.25663280421037832</v>
      </c>
      <c r="S101" s="36">
        <f ca="1">DSUM($B$55:$X$67,S$55,$C$74:$D101)</f>
        <v>0.25588529628050333</v>
      </c>
      <c r="T101" s="36">
        <f ca="1">DSUM($B$55:$X$67,T$55,$C$74:$D101)</f>
        <v>0.25095188503446147</v>
      </c>
      <c r="U101" s="36">
        <f ca="1">DSUM($B$55:$X$67,U$55,$C$74:$D101)</f>
        <v>0.24062890624962094</v>
      </c>
      <c r="V101" s="36">
        <f ca="1">DSUM($B$55:$X$67,V$55,$C$74:$D101)</f>
        <v>0.23667217362174947</v>
      </c>
      <c r="W101" s="36">
        <f ca="1">DSUM($B$55:$X$67,W$55,$C$74:$D101)</f>
        <v>0.23345067636172789</v>
      </c>
      <c r="X101" s="36">
        <f ca="1">DSUM($B$55:$X$67,X$55,$C$74:$D101)</f>
        <v>0.23453353400127663</v>
      </c>
      <c r="Y101" s="36"/>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c r="B102" s="9" t="s">
        <v>551</v>
      </c>
      <c r="C102" s="58" t="s">
        <v>552</v>
      </c>
      <c r="D102" s="58" t="s">
        <v>553</v>
      </c>
      <c r="E102" s="36">
        <f ca="1">DSUM($B$55:$X$67,E$55,$C$74:$D102)</f>
        <v>0.16391048947653905</v>
      </c>
      <c r="F102" s="36">
        <f ca="1">DSUM($B$55:$X$67,F$55,$C$74:$D102)</f>
        <v>0.2293622701523641</v>
      </c>
      <c r="G102" s="36">
        <f ca="1">DSUM($B$55:$X$67,G$55,$C$74:$D102)</f>
        <v>0.26362052127876889</v>
      </c>
      <c r="H102" s="36">
        <f ca="1">DSUM($B$55:$X$67,H$55,$C$74:$D102)</f>
        <v>0.28117827219155284</v>
      </c>
      <c r="I102" s="36">
        <f ca="1">DSUM($B$55:$X$67,I$55,$C$74:$D102)</f>
        <v>0.28719266868192361</v>
      </c>
      <c r="J102" s="36">
        <f ca="1">DSUM($B$55:$X$67,J$55,$C$74:$D102)</f>
        <v>0.28058929112810665</v>
      </c>
      <c r="K102" s="36">
        <f ca="1">DSUM($B$55:$X$67,K$55,$C$74:$D102)</f>
        <v>0.27510447557088158</v>
      </c>
      <c r="L102" s="36">
        <f ca="1">DSUM($B$55:$X$67,L$55,$C$74:$D102)</f>
        <v>0.27405803418238844</v>
      </c>
      <c r="M102" s="36">
        <f ca="1">DSUM($B$55:$X$67,M$55,$C$74:$D102)</f>
        <v>0.27100463463214641</v>
      </c>
      <c r="N102" s="36">
        <f ca="1">DSUM($B$55:$X$67,N$55,$C$74:$D102)</f>
        <v>0.27378771351144665</v>
      </c>
      <c r="O102" s="36">
        <f ca="1">DSUM($B$55:$X$67,O$55,$C$74:$D102)</f>
        <v>0.27281426630644223</v>
      </c>
      <c r="P102" s="36">
        <f ca="1">DSUM($B$55:$X$67,P$55,$C$74:$D102)</f>
        <v>0.26748698194800447</v>
      </c>
      <c r="Q102" s="36">
        <f ca="1">DSUM($B$55:$X$67,Q$55,$C$74:$D102)</f>
        <v>0.25941480488226371</v>
      </c>
      <c r="R102" s="36">
        <f ca="1">DSUM($B$55:$X$67,R$55,$C$74:$D102)</f>
        <v>0.25663280421037832</v>
      </c>
      <c r="S102" s="36">
        <f ca="1">DSUM($B$55:$X$67,S$55,$C$74:$D102)</f>
        <v>0.25588529628050333</v>
      </c>
      <c r="T102" s="36">
        <f ca="1">DSUM($B$55:$X$67,T$55,$C$74:$D102)</f>
        <v>0.25095188503446147</v>
      </c>
      <c r="U102" s="36">
        <f ca="1">DSUM($B$55:$X$67,U$55,$C$74:$D102)</f>
        <v>0.24062890624962094</v>
      </c>
      <c r="V102" s="36">
        <f ca="1">DSUM($B$55:$X$67,V$55,$C$74:$D102)</f>
        <v>0.23667217362174947</v>
      </c>
      <c r="W102" s="36">
        <f ca="1">DSUM($B$55:$X$67,W$55,$C$74:$D102)</f>
        <v>0.23345067636172789</v>
      </c>
      <c r="X102" s="36">
        <f ca="1">DSUM($B$55:$X$67,X$55,$C$74:$D102)</f>
        <v>0.23453353400127663</v>
      </c>
      <c r="Y102" s="36"/>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c r="B103" s="9" t="s">
        <v>554</v>
      </c>
      <c r="C103" s="58" t="s">
        <v>555</v>
      </c>
      <c r="D103" s="58" t="s">
        <v>556</v>
      </c>
      <c r="E103" s="36">
        <f ca="1">DSUM($B$55:$X$67,E$55,$C$74:$D103)</f>
        <v>0.16391048947653905</v>
      </c>
      <c r="F103" s="36">
        <f ca="1">DSUM($B$55:$X$67,F$55,$C$74:$D103)</f>
        <v>0.2293622701523641</v>
      </c>
      <c r="G103" s="36">
        <f ca="1">DSUM($B$55:$X$67,G$55,$C$74:$D103)</f>
        <v>0.26362052127876889</v>
      </c>
      <c r="H103" s="36">
        <f ca="1">DSUM($B$55:$X$67,H$55,$C$74:$D103)</f>
        <v>0.28117827219155284</v>
      </c>
      <c r="I103" s="36">
        <f ca="1">DSUM($B$55:$X$67,I$55,$C$74:$D103)</f>
        <v>0.28719266868192361</v>
      </c>
      <c r="J103" s="36">
        <f ca="1">DSUM($B$55:$X$67,J$55,$C$74:$D103)</f>
        <v>0.28058929112810665</v>
      </c>
      <c r="K103" s="36">
        <f ca="1">DSUM($B$55:$X$67,K$55,$C$74:$D103)</f>
        <v>0.27510447557088158</v>
      </c>
      <c r="L103" s="36">
        <f ca="1">DSUM($B$55:$X$67,L$55,$C$74:$D103)</f>
        <v>0.27405803418238844</v>
      </c>
      <c r="M103" s="36">
        <f ca="1">DSUM($B$55:$X$67,M$55,$C$74:$D103)</f>
        <v>0.27100463463214641</v>
      </c>
      <c r="N103" s="36">
        <f ca="1">DSUM($B$55:$X$67,N$55,$C$74:$D103)</f>
        <v>0.27378771351144665</v>
      </c>
      <c r="O103" s="36">
        <f ca="1">DSUM($B$55:$X$67,O$55,$C$74:$D103)</f>
        <v>0.27281426630644223</v>
      </c>
      <c r="P103" s="36">
        <f ca="1">DSUM($B$55:$X$67,P$55,$C$74:$D103)</f>
        <v>0.26748698194800447</v>
      </c>
      <c r="Q103" s="36">
        <f ca="1">DSUM($B$55:$X$67,Q$55,$C$74:$D103)</f>
        <v>0.25941480488226371</v>
      </c>
      <c r="R103" s="36">
        <f ca="1">DSUM($B$55:$X$67,R$55,$C$74:$D103)</f>
        <v>0.25663280421037832</v>
      </c>
      <c r="S103" s="36">
        <f ca="1">DSUM($B$55:$X$67,S$55,$C$74:$D103)</f>
        <v>0.25588529628050333</v>
      </c>
      <c r="T103" s="36">
        <f ca="1">DSUM($B$55:$X$67,T$55,$C$74:$D103)</f>
        <v>0.25095188503446147</v>
      </c>
      <c r="U103" s="36">
        <f ca="1">DSUM($B$55:$X$67,U$55,$C$74:$D103)</f>
        <v>0.24062890624962094</v>
      </c>
      <c r="V103" s="36">
        <f ca="1">DSUM($B$55:$X$67,V$55,$C$74:$D103)</f>
        <v>0.23667217362174947</v>
      </c>
      <c r="W103" s="36">
        <f ca="1">DSUM($B$55:$X$67,W$55,$C$74:$D103)</f>
        <v>0.23345067636172789</v>
      </c>
      <c r="X103" s="36">
        <f ca="1">DSUM($B$55:$X$67,X$55,$C$74:$D103)</f>
        <v>0.23453353400127663</v>
      </c>
      <c r="Y103" s="36"/>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c r="B104" s="9" t="s">
        <v>557</v>
      </c>
      <c r="C104" s="58" t="s">
        <v>558</v>
      </c>
      <c r="D104" s="58" t="s">
        <v>559</v>
      </c>
      <c r="E104" s="36">
        <f ca="1">DSUM($B$55:$X$67,E$55,$C$74:$D104)</f>
        <v>0.16391048947653905</v>
      </c>
      <c r="F104" s="36">
        <f ca="1">DSUM($B$55:$X$67,F$55,$C$74:$D104)</f>
        <v>0.2293622701523641</v>
      </c>
      <c r="G104" s="36">
        <f ca="1">DSUM($B$55:$X$67,G$55,$C$74:$D104)</f>
        <v>0.26362052127876889</v>
      </c>
      <c r="H104" s="36">
        <f ca="1">DSUM($B$55:$X$67,H$55,$C$74:$D104)</f>
        <v>0.28117827219155284</v>
      </c>
      <c r="I104" s="36">
        <f ca="1">DSUM($B$55:$X$67,I$55,$C$74:$D104)</f>
        <v>0.28719266868192361</v>
      </c>
      <c r="J104" s="36">
        <f ca="1">DSUM($B$55:$X$67,J$55,$C$74:$D104)</f>
        <v>0.28058929112810665</v>
      </c>
      <c r="K104" s="36">
        <f ca="1">DSUM($B$55:$X$67,K$55,$C$74:$D104)</f>
        <v>0.27510447557088158</v>
      </c>
      <c r="L104" s="36">
        <f ca="1">DSUM($B$55:$X$67,L$55,$C$74:$D104)</f>
        <v>0.27405803418238844</v>
      </c>
      <c r="M104" s="36">
        <f ca="1">DSUM($B$55:$X$67,M$55,$C$74:$D104)</f>
        <v>0.27100463463214641</v>
      </c>
      <c r="N104" s="36">
        <f ca="1">DSUM($B$55:$X$67,N$55,$C$74:$D104)</f>
        <v>0.27378771351144665</v>
      </c>
      <c r="O104" s="36">
        <f ca="1">DSUM($B$55:$X$67,O$55,$C$74:$D104)</f>
        <v>0.27281426630644223</v>
      </c>
      <c r="P104" s="36">
        <f ca="1">DSUM($B$55:$X$67,P$55,$C$74:$D104)</f>
        <v>0.26748698194800447</v>
      </c>
      <c r="Q104" s="36">
        <f ca="1">DSUM($B$55:$X$67,Q$55,$C$74:$D104)</f>
        <v>0.25941480488226371</v>
      </c>
      <c r="R104" s="36">
        <f ca="1">DSUM($B$55:$X$67,R$55,$C$74:$D104)</f>
        <v>0.25663280421037832</v>
      </c>
      <c r="S104" s="36">
        <f ca="1">DSUM($B$55:$X$67,S$55,$C$74:$D104)</f>
        <v>0.25588529628050333</v>
      </c>
      <c r="T104" s="36">
        <f ca="1">DSUM($B$55:$X$67,T$55,$C$74:$D104)</f>
        <v>0.25095188503446147</v>
      </c>
      <c r="U104" s="36">
        <f ca="1">DSUM($B$55:$X$67,U$55,$C$74:$D104)</f>
        <v>0.24062890624962094</v>
      </c>
      <c r="V104" s="36">
        <f ca="1">DSUM($B$55:$X$67,V$55,$C$74:$D104)</f>
        <v>0.23667217362174947</v>
      </c>
      <c r="W104" s="36">
        <f ca="1">DSUM($B$55:$X$67,W$55,$C$74:$D104)</f>
        <v>0.23345067636172789</v>
      </c>
      <c r="X104" s="36">
        <f ca="1">DSUM($B$55:$X$67,X$55,$C$74:$D104)</f>
        <v>0.23453353400127663</v>
      </c>
      <c r="Y104" s="36"/>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c r="B105" s="9" t="s">
        <v>560</v>
      </c>
      <c r="C105" s="58" t="s">
        <v>561</v>
      </c>
      <c r="D105" s="58" t="s">
        <v>562</v>
      </c>
      <c r="E105" s="36">
        <f ca="1">DSUM($B$55:$X$67,E$55,$C$74:$D105)</f>
        <v>0.16391048947653905</v>
      </c>
      <c r="F105" s="36">
        <f ca="1">DSUM($B$55:$X$67,F$55,$C$74:$D105)</f>
        <v>0.2293622701523641</v>
      </c>
      <c r="G105" s="36">
        <f ca="1">DSUM($B$55:$X$67,G$55,$C$74:$D105)</f>
        <v>0.26362052127876889</v>
      </c>
      <c r="H105" s="36">
        <f ca="1">DSUM($B$55:$X$67,H$55,$C$74:$D105)</f>
        <v>0.28117827219155284</v>
      </c>
      <c r="I105" s="36">
        <f ca="1">DSUM($B$55:$X$67,I$55,$C$74:$D105)</f>
        <v>0.28719266868192361</v>
      </c>
      <c r="J105" s="36">
        <f ca="1">DSUM($B$55:$X$67,J$55,$C$74:$D105)</f>
        <v>0.28058929112810665</v>
      </c>
      <c r="K105" s="36">
        <f ca="1">DSUM($B$55:$X$67,K$55,$C$74:$D105)</f>
        <v>0.27510447557088158</v>
      </c>
      <c r="L105" s="36">
        <f ca="1">DSUM($B$55:$X$67,L$55,$C$74:$D105)</f>
        <v>0.27405803418238844</v>
      </c>
      <c r="M105" s="36">
        <f ca="1">DSUM($B$55:$X$67,M$55,$C$74:$D105)</f>
        <v>0.27100463463214641</v>
      </c>
      <c r="N105" s="36">
        <f ca="1">DSUM($B$55:$X$67,N$55,$C$74:$D105)</f>
        <v>0.27378771351144665</v>
      </c>
      <c r="O105" s="36">
        <f ca="1">DSUM($B$55:$X$67,O$55,$C$74:$D105)</f>
        <v>0.27281426630644223</v>
      </c>
      <c r="P105" s="36">
        <f ca="1">DSUM($B$55:$X$67,P$55,$C$74:$D105)</f>
        <v>0.26748698194800447</v>
      </c>
      <c r="Q105" s="36">
        <f ca="1">DSUM($B$55:$X$67,Q$55,$C$74:$D105)</f>
        <v>0.25941480488226371</v>
      </c>
      <c r="R105" s="36">
        <f ca="1">DSUM($B$55:$X$67,R$55,$C$74:$D105)</f>
        <v>0.25663280421037832</v>
      </c>
      <c r="S105" s="36">
        <f ca="1">DSUM($B$55:$X$67,S$55,$C$74:$D105)</f>
        <v>0.25588529628050333</v>
      </c>
      <c r="T105" s="36">
        <f ca="1">DSUM($B$55:$X$67,T$55,$C$74:$D105)</f>
        <v>0.25095188503446147</v>
      </c>
      <c r="U105" s="36">
        <f ca="1">DSUM($B$55:$X$67,U$55,$C$74:$D105)</f>
        <v>0.24062890624962094</v>
      </c>
      <c r="V105" s="36">
        <f ca="1">DSUM($B$55:$X$67,V$55,$C$74:$D105)</f>
        <v>0.23667217362174947</v>
      </c>
      <c r="W105" s="36">
        <f ca="1">DSUM($B$55:$X$67,W$55,$C$74:$D105)</f>
        <v>0.23345067636172789</v>
      </c>
      <c r="X105" s="36">
        <f ca="1">DSUM($B$55:$X$67,X$55,$C$74:$D105)</f>
        <v>0.23453353400127663</v>
      </c>
      <c r="Y105" s="36"/>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c r="B106" s="9" t="s">
        <v>563</v>
      </c>
      <c r="C106" s="58" t="s">
        <v>564</v>
      </c>
      <c r="D106" s="58" t="s">
        <v>133</v>
      </c>
      <c r="E106" s="36">
        <f ca="1">DSUM($B$55:$X$67,E$55,$C$74:$D106)</f>
        <v>0.17999343004514345</v>
      </c>
      <c r="F106" s="36">
        <f ca="1">DSUM($B$55:$X$67,F$55,$C$74:$D106)</f>
        <v>0.2543047590207077</v>
      </c>
      <c r="G106" s="36">
        <f ca="1">DSUM($B$55:$X$67,G$55,$C$74:$D106)</f>
        <v>0.29512684259563782</v>
      </c>
      <c r="H106" s="36">
        <f ca="1">DSUM($B$55:$X$67,H$55,$C$74:$D106)</f>
        <v>0.31790947058240299</v>
      </c>
      <c r="I106" s="36">
        <f ca="1">DSUM($B$55:$X$67,I$55,$C$74:$D106)</f>
        <v>0.32800595075119288</v>
      </c>
      <c r="J106" s="36">
        <f ca="1">DSUM($B$55:$X$67,J$55,$C$74:$D106)</f>
        <v>0.32086020174923346</v>
      </c>
      <c r="K106" s="36">
        <f ca="1">DSUM($B$55:$X$67,K$55,$C$74:$D106)</f>
        <v>0.31497844273902764</v>
      </c>
      <c r="L106" s="36">
        <f ca="1">DSUM($B$55:$X$67,L$55,$C$74:$D106)</f>
        <v>0.31417278559762768</v>
      </c>
      <c r="M106" s="36">
        <f ca="1">DSUM($B$55:$X$67,M$55,$C$74:$D106)</f>
        <v>0.31105896390932425</v>
      </c>
      <c r="N106" s="36">
        <f ca="1">DSUM($B$55:$X$67,N$55,$C$74:$D106)</f>
        <v>0.31467968749565778</v>
      </c>
      <c r="O106" s="36">
        <f ca="1">DSUM($B$55:$X$67,O$55,$C$74:$D106)</f>
        <v>0.31400799075596791</v>
      </c>
      <c r="P106" s="36">
        <f ca="1">DSUM($B$55:$X$67,P$55,$C$74:$D106)</f>
        <v>0.30830157641719597</v>
      </c>
      <c r="Q106" s="36">
        <f ca="1">DSUM($B$55:$X$67,Q$55,$C$74:$D106)</f>
        <v>0.29940143971750738</v>
      </c>
      <c r="R106" s="36">
        <f ca="1">DSUM($B$55:$X$67,R$55,$C$74:$D106)</f>
        <v>0.29663997602210629</v>
      </c>
      <c r="S106" s="36">
        <f ca="1">DSUM($B$55:$X$67,S$55,$C$74:$D106)</f>
        <v>0.29624693787502432</v>
      </c>
      <c r="T106" s="36">
        <f ca="1">DSUM($B$55:$X$67,T$55,$C$74:$D106)</f>
        <v>0.29109104234587579</v>
      </c>
      <c r="U106" s="36">
        <f ca="1">DSUM($B$55:$X$67,U$55,$C$74:$D106)</f>
        <v>0.27962654297736844</v>
      </c>
      <c r="V106" s="36">
        <f ca="1">DSUM($B$55:$X$67,V$55,$C$74:$D106)</f>
        <v>0.27557534703548153</v>
      </c>
      <c r="W106" s="36">
        <f ca="1">DSUM($B$55:$X$67,W$55,$C$74:$D106)</f>
        <v>0.27238377030676431</v>
      </c>
      <c r="X106" s="36">
        <f ca="1">DSUM($B$55:$X$67,X$55,$C$74:$D106)</f>
        <v>0.27365846302928992</v>
      </c>
      <c r="Y106" s="3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ht="15">
      <c r="A109" s="63" t="s">
        <v>134</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ht="15">
      <c r="C110" s="72" t="s">
        <v>139</v>
      </c>
      <c r="D110" s="72"/>
      <c r="E110" s="66">
        <f t="shared" ref="E110:X110" si="35">E11</f>
        <v>2016</v>
      </c>
      <c r="F110" s="67">
        <f t="shared" si="35"/>
        <v>2017</v>
      </c>
      <c r="G110" s="67">
        <f t="shared" si="35"/>
        <v>2018</v>
      </c>
      <c r="H110" s="67">
        <f t="shared" si="35"/>
        <v>2019</v>
      </c>
      <c r="I110" s="67">
        <f t="shared" si="35"/>
        <v>2020</v>
      </c>
      <c r="J110" s="67">
        <f t="shared" si="35"/>
        <v>2021</v>
      </c>
      <c r="K110" s="67">
        <f t="shared" si="35"/>
        <v>2022</v>
      </c>
      <c r="L110" s="67">
        <f t="shared" si="35"/>
        <v>2023</v>
      </c>
      <c r="M110" s="67">
        <f t="shared" si="35"/>
        <v>2024</v>
      </c>
      <c r="N110" s="67">
        <f t="shared" si="35"/>
        <v>2025</v>
      </c>
      <c r="O110" s="67">
        <f t="shared" si="35"/>
        <v>2026</v>
      </c>
      <c r="P110" s="67">
        <f t="shared" si="35"/>
        <v>2027</v>
      </c>
      <c r="Q110" s="67">
        <f t="shared" si="35"/>
        <v>2028</v>
      </c>
      <c r="R110" s="67">
        <f t="shared" si="35"/>
        <v>2029</v>
      </c>
      <c r="S110" s="67">
        <f t="shared" si="35"/>
        <v>2030</v>
      </c>
      <c r="T110" s="67">
        <f t="shared" si="35"/>
        <v>2031</v>
      </c>
      <c r="U110" s="67">
        <f t="shared" si="35"/>
        <v>2032</v>
      </c>
      <c r="V110" s="67">
        <f t="shared" si="35"/>
        <v>2033</v>
      </c>
      <c r="W110" s="67">
        <f t="shared" si="35"/>
        <v>2034</v>
      </c>
      <c r="X110" s="67">
        <f t="shared" si="35"/>
        <v>2035</v>
      </c>
      <c r="Y110" s="68" t="s">
        <v>59</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ht="15">
      <c r="C111" s="72" t="str">
        <f>C8</f>
        <v>Computer</v>
      </c>
      <c r="D111" s="72"/>
      <c r="E111" s="69" t="str">
        <f t="shared" ref="E111:X111" si="36">CONCATENATE("aMW_",E$11)</f>
        <v>aMW_2016</v>
      </c>
      <c r="F111" s="70" t="str">
        <f t="shared" si="36"/>
        <v>aMW_2017</v>
      </c>
      <c r="G111" s="70" t="str">
        <f t="shared" si="36"/>
        <v>aMW_2018</v>
      </c>
      <c r="H111" s="70" t="str">
        <f t="shared" si="36"/>
        <v>aMW_2019</v>
      </c>
      <c r="I111" s="70" t="str">
        <f t="shared" si="36"/>
        <v>aMW_2020</v>
      </c>
      <c r="J111" s="70" t="str">
        <f t="shared" si="36"/>
        <v>aMW_2021</v>
      </c>
      <c r="K111" s="70" t="str">
        <f t="shared" si="36"/>
        <v>aMW_2022</v>
      </c>
      <c r="L111" s="70" t="str">
        <f t="shared" si="36"/>
        <v>aMW_2023</v>
      </c>
      <c r="M111" s="70" t="str">
        <f t="shared" si="36"/>
        <v>aMW_2024</v>
      </c>
      <c r="N111" s="70" t="str">
        <f t="shared" si="36"/>
        <v>aMW_2025</v>
      </c>
      <c r="O111" s="70" t="str">
        <f t="shared" si="36"/>
        <v>aMW_2026</v>
      </c>
      <c r="P111" s="70" t="str">
        <f t="shared" si="36"/>
        <v>aMW_2027</v>
      </c>
      <c r="Q111" s="70" t="str">
        <f t="shared" si="36"/>
        <v>aMW_2028</v>
      </c>
      <c r="R111" s="70" t="str">
        <f t="shared" si="36"/>
        <v>aMW_2029</v>
      </c>
      <c r="S111" s="70" t="str">
        <f t="shared" si="36"/>
        <v>aMW_2030</v>
      </c>
      <c r="T111" s="70" t="str">
        <f t="shared" si="36"/>
        <v>aMW_2031</v>
      </c>
      <c r="U111" s="70" t="str">
        <f t="shared" si="36"/>
        <v>aMW_2032</v>
      </c>
      <c r="V111" s="70" t="str">
        <f t="shared" si="36"/>
        <v>aMW_2033</v>
      </c>
      <c r="W111" s="70" t="str">
        <f t="shared" si="36"/>
        <v>aMW_2034</v>
      </c>
      <c r="X111" s="70" t="str">
        <f t="shared" si="36"/>
        <v>aMW_2035</v>
      </c>
      <c r="Y111" s="71" t="s">
        <v>59</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c r="C112" s="9" t="s">
        <v>68</v>
      </c>
      <c r="E112" s="36">
        <f t="shared" ref="E112:X112" si="37">E75</f>
        <v>0</v>
      </c>
      <c r="F112" s="36">
        <f t="shared" si="37"/>
        <v>0</v>
      </c>
      <c r="G112" s="36">
        <f t="shared" si="37"/>
        <v>0</v>
      </c>
      <c r="H112" s="36">
        <f t="shared" si="37"/>
        <v>0</v>
      </c>
      <c r="I112" s="36">
        <f t="shared" si="37"/>
        <v>0</v>
      </c>
      <c r="J112" s="36">
        <f t="shared" si="37"/>
        <v>0</v>
      </c>
      <c r="K112" s="36">
        <f t="shared" si="37"/>
        <v>0</v>
      </c>
      <c r="L112" s="36">
        <f t="shared" si="37"/>
        <v>0</v>
      </c>
      <c r="M112" s="36">
        <f t="shared" si="37"/>
        <v>0</v>
      </c>
      <c r="N112" s="36">
        <f t="shared" si="37"/>
        <v>0</v>
      </c>
      <c r="O112" s="36">
        <f t="shared" si="37"/>
        <v>0</v>
      </c>
      <c r="P112" s="36">
        <f t="shared" si="37"/>
        <v>0</v>
      </c>
      <c r="Q112" s="36">
        <f t="shared" si="37"/>
        <v>0</v>
      </c>
      <c r="R112" s="36">
        <f t="shared" si="37"/>
        <v>0</v>
      </c>
      <c r="S112" s="36">
        <f t="shared" si="37"/>
        <v>0</v>
      </c>
      <c r="T112" s="36">
        <f t="shared" si="37"/>
        <v>0</v>
      </c>
      <c r="U112" s="36">
        <f t="shared" si="37"/>
        <v>0</v>
      </c>
      <c r="V112" s="36">
        <f t="shared" si="37"/>
        <v>0</v>
      </c>
      <c r="W112" s="36">
        <f t="shared" si="37"/>
        <v>0</v>
      </c>
      <c r="X112" s="36">
        <f t="shared" si="37"/>
        <v>0</v>
      </c>
      <c r="Y112" s="36">
        <f>SUM(E112:X112)</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572</v>
      </c>
      <c r="E113" s="36">
        <f t="shared" ref="E113:X125" si="38">E76-E75</f>
        <v>0</v>
      </c>
      <c r="F113" s="36">
        <f t="shared" si="38"/>
        <v>0</v>
      </c>
      <c r="G113" s="36">
        <f t="shared" si="38"/>
        <v>0</v>
      </c>
      <c r="H113" s="36">
        <f t="shared" si="38"/>
        <v>0</v>
      </c>
      <c r="I113" s="36">
        <f t="shared" si="38"/>
        <v>0</v>
      </c>
      <c r="J113" s="36">
        <f t="shared" si="38"/>
        <v>0</v>
      </c>
      <c r="K113" s="36">
        <f t="shared" si="38"/>
        <v>0</v>
      </c>
      <c r="L113" s="36">
        <f t="shared" si="38"/>
        <v>0</v>
      </c>
      <c r="M113" s="36">
        <f t="shared" si="38"/>
        <v>0</v>
      </c>
      <c r="N113" s="36">
        <f t="shared" si="38"/>
        <v>0</v>
      </c>
      <c r="O113" s="36">
        <f t="shared" si="38"/>
        <v>0</v>
      </c>
      <c r="P113" s="36">
        <f t="shared" si="38"/>
        <v>0</v>
      </c>
      <c r="Q113" s="36">
        <f t="shared" si="38"/>
        <v>0</v>
      </c>
      <c r="R113" s="36">
        <f t="shared" si="38"/>
        <v>0</v>
      </c>
      <c r="S113" s="36">
        <f t="shared" si="38"/>
        <v>0</v>
      </c>
      <c r="T113" s="36">
        <f t="shared" si="38"/>
        <v>0</v>
      </c>
      <c r="U113" s="36">
        <f t="shared" si="38"/>
        <v>0</v>
      </c>
      <c r="V113" s="36">
        <f t="shared" si="38"/>
        <v>0</v>
      </c>
      <c r="W113" s="36">
        <f t="shared" si="38"/>
        <v>0</v>
      </c>
      <c r="X113" s="36">
        <f t="shared" si="38"/>
        <v>0</v>
      </c>
      <c r="Y113" s="36">
        <f t="shared" ref="Y113:Y143" si="39">SUM(E113:X113)</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74</v>
      </c>
      <c r="E114" s="36">
        <f t="shared" si="38"/>
        <v>0</v>
      </c>
      <c r="F114" s="36">
        <f t="shared" si="38"/>
        <v>0</v>
      </c>
      <c r="G114" s="36">
        <f t="shared" si="38"/>
        <v>0</v>
      </c>
      <c r="H114" s="36">
        <f t="shared" si="38"/>
        <v>0</v>
      </c>
      <c r="I114" s="36">
        <f t="shared" si="38"/>
        <v>0</v>
      </c>
      <c r="J114" s="36">
        <f t="shared" si="38"/>
        <v>0</v>
      </c>
      <c r="K114" s="36">
        <f t="shared" si="38"/>
        <v>0</v>
      </c>
      <c r="L114" s="36">
        <f t="shared" si="38"/>
        <v>0</v>
      </c>
      <c r="M114" s="36">
        <f t="shared" si="38"/>
        <v>0</v>
      </c>
      <c r="N114" s="36">
        <f t="shared" si="38"/>
        <v>0</v>
      </c>
      <c r="O114" s="36">
        <f t="shared" si="38"/>
        <v>0</v>
      </c>
      <c r="P114" s="36">
        <f t="shared" si="38"/>
        <v>0</v>
      </c>
      <c r="Q114" s="36">
        <f t="shared" si="38"/>
        <v>0</v>
      </c>
      <c r="R114" s="36">
        <f t="shared" si="38"/>
        <v>0</v>
      </c>
      <c r="S114" s="36">
        <f t="shared" si="38"/>
        <v>0</v>
      </c>
      <c r="T114" s="36">
        <f t="shared" si="38"/>
        <v>0</v>
      </c>
      <c r="U114" s="36">
        <f t="shared" si="38"/>
        <v>0</v>
      </c>
      <c r="V114" s="36">
        <f t="shared" si="38"/>
        <v>0</v>
      </c>
      <c r="W114" s="36">
        <f t="shared" si="38"/>
        <v>0</v>
      </c>
      <c r="X114" s="36">
        <f t="shared" si="38"/>
        <v>0</v>
      </c>
      <c r="Y114" s="36">
        <f t="shared" si="39"/>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77</v>
      </c>
      <c r="E115" s="36">
        <f t="shared" si="38"/>
        <v>0</v>
      </c>
      <c r="F115" s="36">
        <f t="shared" si="38"/>
        <v>0</v>
      </c>
      <c r="G115" s="36">
        <f t="shared" si="38"/>
        <v>0</v>
      </c>
      <c r="H115" s="36">
        <f t="shared" si="38"/>
        <v>0</v>
      </c>
      <c r="I115" s="36">
        <f t="shared" si="38"/>
        <v>0</v>
      </c>
      <c r="J115" s="36">
        <f t="shared" si="38"/>
        <v>0</v>
      </c>
      <c r="K115" s="36">
        <f t="shared" si="38"/>
        <v>0</v>
      </c>
      <c r="L115" s="36">
        <f t="shared" si="38"/>
        <v>0</v>
      </c>
      <c r="M115" s="36">
        <f t="shared" si="38"/>
        <v>0</v>
      </c>
      <c r="N115" s="36">
        <f t="shared" si="38"/>
        <v>0</v>
      </c>
      <c r="O115" s="36">
        <f t="shared" si="38"/>
        <v>0</v>
      </c>
      <c r="P115" s="36">
        <f t="shared" si="38"/>
        <v>0</v>
      </c>
      <c r="Q115" s="36">
        <f t="shared" si="38"/>
        <v>0</v>
      </c>
      <c r="R115" s="36">
        <f t="shared" si="38"/>
        <v>0</v>
      </c>
      <c r="S115" s="36">
        <f t="shared" si="38"/>
        <v>0</v>
      </c>
      <c r="T115" s="36">
        <f t="shared" si="38"/>
        <v>0</v>
      </c>
      <c r="U115" s="36">
        <f t="shared" si="38"/>
        <v>0</v>
      </c>
      <c r="V115" s="36">
        <f t="shared" si="38"/>
        <v>0</v>
      </c>
      <c r="W115" s="36">
        <f t="shared" si="38"/>
        <v>0</v>
      </c>
      <c r="X115" s="36">
        <f t="shared" si="38"/>
        <v>0</v>
      </c>
      <c r="Y115" s="36">
        <f t="shared" si="39"/>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80</v>
      </c>
      <c r="E116" s="36">
        <f t="shared" si="38"/>
        <v>0</v>
      </c>
      <c r="F116" s="36">
        <f t="shared" si="38"/>
        <v>0</v>
      </c>
      <c r="G116" s="36">
        <f t="shared" si="38"/>
        <v>0</v>
      </c>
      <c r="H116" s="36">
        <f t="shared" si="38"/>
        <v>0</v>
      </c>
      <c r="I116" s="36">
        <f t="shared" si="38"/>
        <v>0</v>
      </c>
      <c r="J116" s="36">
        <f t="shared" si="38"/>
        <v>0</v>
      </c>
      <c r="K116" s="36">
        <f t="shared" si="38"/>
        <v>0</v>
      </c>
      <c r="L116" s="36">
        <f t="shared" si="38"/>
        <v>0</v>
      </c>
      <c r="M116" s="36">
        <f t="shared" si="38"/>
        <v>0</v>
      </c>
      <c r="N116" s="36">
        <f t="shared" si="38"/>
        <v>0</v>
      </c>
      <c r="O116" s="36">
        <f t="shared" si="38"/>
        <v>0</v>
      </c>
      <c r="P116" s="36">
        <f t="shared" si="38"/>
        <v>0</v>
      </c>
      <c r="Q116" s="36">
        <f t="shared" si="38"/>
        <v>0</v>
      </c>
      <c r="R116" s="36">
        <f t="shared" si="38"/>
        <v>0</v>
      </c>
      <c r="S116" s="36">
        <f t="shared" si="38"/>
        <v>0</v>
      </c>
      <c r="T116" s="36">
        <f t="shared" si="38"/>
        <v>0</v>
      </c>
      <c r="U116" s="36">
        <f t="shared" si="38"/>
        <v>0</v>
      </c>
      <c r="V116" s="36">
        <f t="shared" si="38"/>
        <v>0</v>
      </c>
      <c r="W116" s="36">
        <f t="shared" si="38"/>
        <v>0</v>
      </c>
      <c r="X116" s="36">
        <f t="shared" si="38"/>
        <v>0</v>
      </c>
      <c r="Y116" s="36">
        <f t="shared" si="39"/>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83</v>
      </c>
      <c r="E117" s="36">
        <f t="shared" ca="1" si="38"/>
        <v>0.16391048947653905</v>
      </c>
      <c r="F117" s="36">
        <f t="shared" ca="1" si="38"/>
        <v>0.2293622701523641</v>
      </c>
      <c r="G117" s="36">
        <f t="shared" ca="1" si="38"/>
        <v>0.26362052127876889</v>
      </c>
      <c r="H117" s="36">
        <f t="shared" ca="1" si="38"/>
        <v>0.28117827219155284</v>
      </c>
      <c r="I117" s="36">
        <f t="shared" ca="1" si="38"/>
        <v>0.28719266868192361</v>
      </c>
      <c r="J117" s="36">
        <f t="shared" ca="1" si="38"/>
        <v>0.28058929112810665</v>
      </c>
      <c r="K117" s="36">
        <f t="shared" ca="1" si="38"/>
        <v>0.27510447557088158</v>
      </c>
      <c r="L117" s="36">
        <f t="shared" ca="1" si="38"/>
        <v>0.27405803418238844</v>
      </c>
      <c r="M117" s="36">
        <f t="shared" ca="1" si="38"/>
        <v>0.27100463463214641</v>
      </c>
      <c r="N117" s="36">
        <f t="shared" ca="1" si="38"/>
        <v>0.27378771351144665</v>
      </c>
      <c r="O117" s="36">
        <f t="shared" ca="1" si="38"/>
        <v>0.27281426630644223</v>
      </c>
      <c r="P117" s="36">
        <f t="shared" ca="1" si="38"/>
        <v>0.26748698194800447</v>
      </c>
      <c r="Q117" s="36">
        <f t="shared" ca="1" si="38"/>
        <v>0.25941480488226371</v>
      </c>
      <c r="R117" s="36">
        <f t="shared" ca="1" si="38"/>
        <v>0.25663280421037832</v>
      </c>
      <c r="S117" s="36">
        <f t="shared" ca="1" si="38"/>
        <v>0.25588529628050333</v>
      </c>
      <c r="T117" s="36">
        <f t="shared" ca="1" si="38"/>
        <v>0.25095188503446147</v>
      </c>
      <c r="U117" s="36">
        <f t="shared" ca="1" si="38"/>
        <v>0.24062890624962094</v>
      </c>
      <c r="V117" s="36">
        <f t="shared" ca="1" si="38"/>
        <v>0.23667217362174947</v>
      </c>
      <c r="W117" s="36">
        <f t="shared" ca="1" si="38"/>
        <v>0.23345067636172789</v>
      </c>
      <c r="X117" s="36">
        <f t="shared" ca="1" si="38"/>
        <v>0.23453353400127663</v>
      </c>
      <c r="Y117" s="36">
        <f t="shared" ca="1" si="39"/>
        <v>5.1082796997025479</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86</v>
      </c>
      <c r="E118" s="36">
        <f t="shared" ca="1" si="38"/>
        <v>0</v>
      </c>
      <c r="F118" s="36">
        <f t="shared" ca="1" si="38"/>
        <v>0</v>
      </c>
      <c r="G118" s="36">
        <f t="shared" ca="1" si="38"/>
        <v>0</v>
      </c>
      <c r="H118" s="36">
        <f t="shared" ca="1" si="38"/>
        <v>0</v>
      </c>
      <c r="I118" s="36">
        <f t="shared" ca="1" si="38"/>
        <v>0</v>
      </c>
      <c r="J118" s="36">
        <f t="shared" ca="1" si="38"/>
        <v>0</v>
      </c>
      <c r="K118" s="36">
        <f t="shared" ca="1" si="38"/>
        <v>0</v>
      </c>
      <c r="L118" s="36">
        <f t="shared" ca="1" si="38"/>
        <v>0</v>
      </c>
      <c r="M118" s="36">
        <f t="shared" ca="1" si="38"/>
        <v>0</v>
      </c>
      <c r="N118" s="36">
        <f t="shared" ca="1" si="38"/>
        <v>0</v>
      </c>
      <c r="O118" s="36">
        <f t="shared" ca="1" si="38"/>
        <v>0</v>
      </c>
      <c r="P118" s="36">
        <f t="shared" ca="1" si="38"/>
        <v>0</v>
      </c>
      <c r="Q118" s="36">
        <f t="shared" ca="1" si="38"/>
        <v>0</v>
      </c>
      <c r="R118" s="36">
        <f t="shared" ca="1" si="38"/>
        <v>0</v>
      </c>
      <c r="S118" s="36">
        <f t="shared" ca="1" si="38"/>
        <v>0</v>
      </c>
      <c r="T118" s="36">
        <f t="shared" ca="1" si="38"/>
        <v>0</v>
      </c>
      <c r="U118" s="36">
        <f t="shared" ca="1" si="38"/>
        <v>0</v>
      </c>
      <c r="V118" s="36">
        <f t="shared" ca="1" si="38"/>
        <v>0</v>
      </c>
      <c r="W118" s="36">
        <f t="shared" ca="1" si="38"/>
        <v>0</v>
      </c>
      <c r="X118" s="36">
        <f t="shared" ca="1" si="38"/>
        <v>0</v>
      </c>
      <c r="Y118" s="36">
        <f t="shared" ca="1" si="39"/>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89</v>
      </c>
      <c r="E119" s="36">
        <f t="shared" ca="1" si="38"/>
        <v>0</v>
      </c>
      <c r="F119" s="36">
        <f t="shared" ca="1" si="38"/>
        <v>0</v>
      </c>
      <c r="G119" s="36">
        <f t="shared" ca="1" si="38"/>
        <v>0</v>
      </c>
      <c r="H119" s="36">
        <f t="shared" ca="1" si="38"/>
        <v>0</v>
      </c>
      <c r="I119" s="36">
        <f t="shared" ca="1" si="38"/>
        <v>0</v>
      </c>
      <c r="J119" s="36">
        <f t="shared" ca="1" si="38"/>
        <v>0</v>
      </c>
      <c r="K119" s="36">
        <f t="shared" ca="1" si="38"/>
        <v>0</v>
      </c>
      <c r="L119" s="36">
        <f t="shared" ca="1" si="38"/>
        <v>0</v>
      </c>
      <c r="M119" s="36">
        <f t="shared" ca="1" si="38"/>
        <v>0</v>
      </c>
      <c r="N119" s="36">
        <f t="shared" ca="1" si="38"/>
        <v>0</v>
      </c>
      <c r="O119" s="36">
        <f t="shared" ca="1" si="38"/>
        <v>0</v>
      </c>
      <c r="P119" s="36">
        <f t="shared" ca="1" si="38"/>
        <v>0</v>
      </c>
      <c r="Q119" s="36">
        <f t="shared" ca="1" si="38"/>
        <v>0</v>
      </c>
      <c r="R119" s="36">
        <f t="shared" ca="1" si="38"/>
        <v>0</v>
      </c>
      <c r="S119" s="36">
        <f t="shared" ca="1" si="38"/>
        <v>0</v>
      </c>
      <c r="T119" s="36">
        <f t="shared" ca="1" si="38"/>
        <v>0</v>
      </c>
      <c r="U119" s="36">
        <f t="shared" ca="1" si="38"/>
        <v>0</v>
      </c>
      <c r="V119" s="36">
        <f t="shared" ca="1" si="38"/>
        <v>0</v>
      </c>
      <c r="W119" s="36">
        <f t="shared" ca="1" si="38"/>
        <v>0</v>
      </c>
      <c r="X119" s="36">
        <f t="shared" ca="1" si="38"/>
        <v>0</v>
      </c>
      <c r="Y119" s="36">
        <f t="shared" ca="1" si="39"/>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92</v>
      </c>
      <c r="E120" s="36">
        <f t="shared" ca="1" si="38"/>
        <v>0</v>
      </c>
      <c r="F120" s="36">
        <f t="shared" ca="1" si="38"/>
        <v>0</v>
      </c>
      <c r="G120" s="36">
        <f t="shared" ca="1" si="38"/>
        <v>0</v>
      </c>
      <c r="H120" s="36">
        <f t="shared" ca="1" si="38"/>
        <v>0</v>
      </c>
      <c r="I120" s="36">
        <f t="shared" ca="1" si="38"/>
        <v>0</v>
      </c>
      <c r="J120" s="36">
        <f t="shared" ca="1" si="38"/>
        <v>0</v>
      </c>
      <c r="K120" s="36">
        <f t="shared" ca="1" si="38"/>
        <v>0</v>
      </c>
      <c r="L120" s="36">
        <f t="shared" ca="1" si="38"/>
        <v>0</v>
      </c>
      <c r="M120" s="36">
        <f t="shared" ca="1" si="38"/>
        <v>0</v>
      </c>
      <c r="N120" s="36">
        <f t="shared" ca="1" si="38"/>
        <v>0</v>
      </c>
      <c r="O120" s="36">
        <f t="shared" ca="1" si="38"/>
        <v>0</v>
      </c>
      <c r="P120" s="36">
        <f t="shared" ca="1" si="38"/>
        <v>0</v>
      </c>
      <c r="Q120" s="36">
        <f t="shared" ca="1" si="38"/>
        <v>0</v>
      </c>
      <c r="R120" s="36">
        <f t="shared" ca="1" si="38"/>
        <v>0</v>
      </c>
      <c r="S120" s="36">
        <f t="shared" ca="1" si="38"/>
        <v>0</v>
      </c>
      <c r="T120" s="36">
        <f t="shared" ca="1" si="38"/>
        <v>0</v>
      </c>
      <c r="U120" s="36">
        <f t="shared" ca="1" si="38"/>
        <v>0</v>
      </c>
      <c r="V120" s="36">
        <f t="shared" ca="1" si="38"/>
        <v>0</v>
      </c>
      <c r="W120" s="36">
        <f t="shared" ca="1" si="38"/>
        <v>0</v>
      </c>
      <c r="X120" s="36">
        <f t="shared" ca="1" si="38"/>
        <v>0</v>
      </c>
      <c r="Y120" s="36">
        <f t="shared" ca="1" si="39"/>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95</v>
      </c>
      <c r="E121" s="36">
        <f t="shared" ca="1" si="38"/>
        <v>0</v>
      </c>
      <c r="F121" s="36">
        <f t="shared" ca="1" si="38"/>
        <v>0</v>
      </c>
      <c r="G121" s="36">
        <f t="shared" ca="1" si="38"/>
        <v>0</v>
      </c>
      <c r="H121" s="36">
        <f t="shared" ca="1" si="38"/>
        <v>0</v>
      </c>
      <c r="I121" s="36">
        <f t="shared" ca="1" si="38"/>
        <v>0</v>
      </c>
      <c r="J121" s="36">
        <f t="shared" ca="1" si="38"/>
        <v>0</v>
      </c>
      <c r="K121" s="36">
        <f t="shared" ca="1" si="38"/>
        <v>0</v>
      </c>
      <c r="L121" s="36">
        <f t="shared" ca="1" si="38"/>
        <v>0</v>
      </c>
      <c r="M121" s="36">
        <f t="shared" ca="1" si="38"/>
        <v>0</v>
      </c>
      <c r="N121" s="36">
        <f t="shared" ca="1" si="38"/>
        <v>0</v>
      </c>
      <c r="O121" s="36">
        <f t="shared" ca="1" si="38"/>
        <v>0</v>
      </c>
      <c r="P121" s="36">
        <f t="shared" ca="1" si="38"/>
        <v>0</v>
      </c>
      <c r="Q121" s="36">
        <f t="shared" ca="1" si="38"/>
        <v>0</v>
      </c>
      <c r="R121" s="36">
        <f t="shared" ca="1" si="38"/>
        <v>0</v>
      </c>
      <c r="S121" s="36">
        <f t="shared" ca="1" si="38"/>
        <v>0</v>
      </c>
      <c r="T121" s="36">
        <f t="shared" ca="1" si="38"/>
        <v>0</v>
      </c>
      <c r="U121" s="36">
        <f t="shared" ca="1" si="38"/>
        <v>0</v>
      </c>
      <c r="V121" s="36">
        <f t="shared" ca="1" si="38"/>
        <v>0</v>
      </c>
      <c r="W121" s="36">
        <f t="shared" ca="1" si="38"/>
        <v>0</v>
      </c>
      <c r="X121" s="36">
        <f t="shared" ca="1" si="38"/>
        <v>0</v>
      </c>
      <c r="Y121" s="36">
        <f t="shared" ca="1" si="39"/>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98</v>
      </c>
      <c r="E122" s="36">
        <f t="shared" ca="1" si="38"/>
        <v>0</v>
      </c>
      <c r="F122" s="36">
        <f t="shared" ca="1" si="38"/>
        <v>0</v>
      </c>
      <c r="G122" s="36">
        <f t="shared" ca="1" si="38"/>
        <v>0</v>
      </c>
      <c r="H122" s="36">
        <f t="shared" ca="1" si="38"/>
        <v>0</v>
      </c>
      <c r="I122" s="36">
        <f t="shared" ca="1" si="38"/>
        <v>0</v>
      </c>
      <c r="J122" s="36">
        <f t="shared" ca="1" si="38"/>
        <v>0</v>
      </c>
      <c r="K122" s="36">
        <f t="shared" ca="1" si="38"/>
        <v>0</v>
      </c>
      <c r="L122" s="36">
        <f t="shared" ca="1" si="38"/>
        <v>0</v>
      </c>
      <c r="M122" s="36">
        <f t="shared" ca="1" si="38"/>
        <v>0</v>
      </c>
      <c r="N122" s="36">
        <f t="shared" ca="1" si="38"/>
        <v>0</v>
      </c>
      <c r="O122" s="36">
        <f t="shared" ca="1" si="38"/>
        <v>0</v>
      </c>
      <c r="P122" s="36">
        <f t="shared" ca="1" si="38"/>
        <v>0</v>
      </c>
      <c r="Q122" s="36">
        <f t="shared" ca="1" si="38"/>
        <v>0</v>
      </c>
      <c r="R122" s="36">
        <f t="shared" ca="1" si="38"/>
        <v>0</v>
      </c>
      <c r="S122" s="36">
        <f t="shared" ca="1" si="38"/>
        <v>0</v>
      </c>
      <c r="T122" s="36">
        <f t="shared" ca="1" si="38"/>
        <v>0</v>
      </c>
      <c r="U122" s="36">
        <f t="shared" ca="1" si="38"/>
        <v>0</v>
      </c>
      <c r="V122" s="36">
        <f t="shared" ca="1" si="38"/>
        <v>0</v>
      </c>
      <c r="W122" s="36">
        <f t="shared" ca="1" si="38"/>
        <v>0</v>
      </c>
      <c r="X122" s="36">
        <f t="shared" ca="1" si="38"/>
        <v>0</v>
      </c>
      <c r="Y122" s="36">
        <f t="shared" ca="1" si="39"/>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101</v>
      </c>
      <c r="E123" s="36">
        <f t="shared" ca="1" si="38"/>
        <v>0</v>
      </c>
      <c r="F123" s="36">
        <f t="shared" ca="1" si="38"/>
        <v>0</v>
      </c>
      <c r="G123" s="36">
        <f t="shared" ca="1" si="38"/>
        <v>0</v>
      </c>
      <c r="H123" s="36">
        <f t="shared" ca="1" si="38"/>
        <v>0</v>
      </c>
      <c r="I123" s="36">
        <f t="shared" ca="1" si="38"/>
        <v>0</v>
      </c>
      <c r="J123" s="36">
        <f t="shared" ca="1" si="38"/>
        <v>0</v>
      </c>
      <c r="K123" s="36">
        <f t="shared" ca="1" si="38"/>
        <v>0</v>
      </c>
      <c r="L123" s="36">
        <f t="shared" ca="1" si="38"/>
        <v>0</v>
      </c>
      <c r="M123" s="36">
        <f t="shared" ca="1" si="38"/>
        <v>0</v>
      </c>
      <c r="N123" s="36">
        <f t="shared" ca="1" si="38"/>
        <v>0</v>
      </c>
      <c r="O123" s="36">
        <f t="shared" ca="1" si="38"/>
        <v>0</v>
      </c>
      <c r="P123" s="36">
        <f t="shared" ca="1" si="38"/>
        <v>0</v>
      </c>
      <c r="Q123" s="36">
        <f t="shared" ca="1" si="38"/>
        <v>0</v>
      </c>
      <c r="R123" s="36">
        <f t="shared" ca="1" si="38"/>
        <v>0</v>
      </c>
      <c r="S123" s="36">
        <f t="shared" ca="1" si="38"/>
        <v>0</v>
      </c>
      <c r="T123" s="36">
        <f t="shared" ca="1" si="38"/>
        <v>0</v>
      </c>
      <c r="U123" s="36">
        <f t="shared" ca="1" si="38"/>
        <v>0</v>
      </c>
      <c r="V123" s="36">
        <f t="shared" ca="1" si="38"/>
        <v>0</v>
      </c>
      <c r="W123" s="36">
        <f t="shared" ca="1" si="38"/>
        <v>0</v>
      </c>
      <c r="X123" s="36">
        <f t="shared" ca="1" si="38"/>
        <v>0</v>
      </c>
      <c r="Y123" s="36">
        <f t="shared" ca="1" si="39"/>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104</v>
      </c>
      <c r="E124" s="36">
        <f t="shared" ca="1" si="38"/>
        <v>0</v>
      </c>
      <c r="F124" s="36">
        <f t="shared" ca="1" si="38"/>
        <v>0</v>
      </c>
      <c r="G124" s="36">
        <f t="shared" ca="1" si="38"/>
        <v>0</v>
      </c>
      <c r="H124" s="36">
        <f t="shared" ca="1" si="38"/>
        <v>0</v>
      </c>
      <c r="I124" s="36">
        <f t="shared" ca="1" si="38"/>
        <v>0</v>
      </c>
      <c r="J124" s="36">
        <f t="shared" ca="1" si="38"/>
        <v>0</v>
      </c>
      <c r="K124" s="36">
        <f t="shared" ca="1" si="38"/>
        <v>0</v>
      </c>
      <c r="L124" s="36">
        <f t="shared" ca="1" si="38"/>
        <v>0</v>
      </c>
      <c r="M124" s="36">
        <f t="shared" ca="1" si="38"/>
        <v>0</v>
      </c>
      <c r="N124" s="36">
        <f t="shared" ca="1" si="38"/>
        <v>0</v>
      </c>
      <c r="O124" s="36">
        <f t="shared" ca="1" si="38"/>
        <v>0</v>
      </c>
      <c r="P124" s="36">
        <f t="shared" ca="1" si="38"/>
        <v>0</v>
      </c>
      <c r="Q124" s="36">
        <f t="shared" ca="1" si="38"/>
        <v>0</v>
      </c>
      <c r="R124" s="36">
        <f t="shared" ca="1" si="38"/>
        <v>0</v>
      </c>
      <c r="S124" s="36">
        <f t="shared" ca="1" si="38"/>
        <v>0</v>
      </c>
      <c r="T124" s="36">
        <f t="shared" ca="1" si="38"/>
        <v>0</v>
      </c>
      <c r="U124" s="36">
        <f t="shared" ca="1" si="38"/>
        <v>0</v>
      </c>
      <c r="V124" s="36">
        <f t="shared" ca="1" si="38"/>
        <v>0</v>
      </c>
      <c r="W124" s="36">
        <f t="shared" ca="1" si="38"/>
        <v>0</v>
      </c>
      <c r="X124" s="36">
        <f t="shared" ca="1" si="38"/>
        <v>0</v>
      </c>
      <c r="Y124" s="36">
        <f t="shared" ca="1" si="39"/>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9" t="s">
        <v>107</v>
      </c>
      <c r="E125" s="36">
        <f t="shared" ca="1" si="38"/>
        <v>0</v>
      </c>
      <c r="F125" s="36">
        <f t="shared" ca="1" si="38"/>
        <v>0</v>
      </c>
      <c r="G125" s="36">
        <f t="shared" ca="1" si="38"/>
        <v>0</v>
      </c>
      <c r="H125" s="36">
        <f t="shared" ref="H125:X125" ca="1" si="40">H88-H87</f>
        <v>0</v>
      </c>
      <c r="I125" s="36">
        <f t="shared" ca="1" si="40"/>
        <v>0</v>
      </c>
      <c r="J125" s="36">
        <f t="shared" ca="1" si="40"/>
        <v>0</v>
      </c>
      <c r="K125" s="36">
        <f t="shared" ca="1" si="40"/>
        <v>0</v>
      </c>
      <c r="L125" s="36">
        <f t="shared" ca="1" si="40"/>
        <v>0</v>
      </c>
      <c r="M125" s="36">
        <f t="shared" ca="1" si="40"/>
        <v>0</v>
      </c>
      <c r="N125" s="36">
        <f t="shared" ca="1" si="40"/>
        <v>0</v>
      </c>
      <c r="O125" s="36">
        <f t="shared" ca="1" si="40"/>
        <v>0</v>
      </c>
      <c r="P125" s="36">
        <f t="shared" ca="1" si="40"/>
        <v>0</v>
      </c>
      <c r="Q125" s="36">
        <f t="shared" ca="1" si="40"/>
        <v>0</v>
      </c>
      <c r="R125" s="36">
        <f t="shared" ca="1" si="40"/>
        <v>0</v>
      </c>
      <c r="S125" s="36">
        <f t="shared" ca="1" si="40"/>
        <v>0</v>
      </c>
      <c r="T125" s="36">
        <f t="shared" ca="1" si="40"/>
        <v>0</v>
      </c>
      <c r="U125" s="36">
        <f t="shared" ca="1" si="40"/>
        <v>0</v>
      </c>
      <c r="V125" s="36">
        <f t="shared" ca="1" si="40"/>
        <v>0</v>
      </c>
      <c r="W125" s="36">
        <f t="shared" ca="1" si="40"/>
        <v>0</v>
      </c>
      <c r="X125" s="36">
        <f t="shared" ca="1" si="40"/>
        <v>0</v>
      </c>
      <c r="Y125" s="36">
        <f t="shared" ca="1" si="39"/>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9" t="s">
        <v>110</v>
      </c>
      <c r="E126" s="36">
        <f t="shared" ref="E126:X126" ca="1" si="41">E89-E88</f>
        <v>0</v>
      </c>
      <c r="F126" s="36">
        <f t="shared" ca="1" si="41"/>
        <v>0</v>
      </c>
      <c r="G126" s="36">
        <f t="shared" ca="1" si="41"/>
        <v>0</v>
      </c>
      <c r="H126" s="36">
        <f t="shared" ca="1" si="41"/>
        <v>0</v>
      </c>
      <c r="I126" s="36">
        <f t="shared" ca="1" si="41"/>
        <v>0</v>
      </c>
      <c r="J126" s="36">
        <f t="shared" ca="1" si="41"/>
        <v>0</v>
      </c>
      <c r="K126" s="36">
        <f t="shared" ca="1" si="41"/>
        <v>0</v>
      </c>
      <c r="L126" s="36">
        <f t="shared" ca="1" si="41"/>
        <v>0</v>
      </c>
      <c r="M126" s="36">
        <f t="shared" ca="1" si="41"/>
        <v>0</v>
      </c>
      <c r="N126" s="36">
        <f t="shared" ca="1" si="41"/>
        <v>0</v>
      </c>
      <c r="O126" s="36">
        <f t="shared" ca="1" si="41"/>
        <v>0</v>
      </c>
      <c r="P126" s="36">
        <f t="shared" ca="1" si="41"/>
        <v>0</v>
      </c>
      <c r="Q126" s="36">
        <f t="shared" ca="1" si="41"/>
        <v>0</v>
      </c>
      <c r="R126" s="36">
        <f t="shared" ca="1" si="41"/>
        <v>0</v>
      </c>
      <c r="S126" s="36">
        <f t="shared" ca="1" si="41"/>
        <v>0</v>
      </c>
      <c r="T126" s="36">
        <f t="shared" ca="1" si="41"/>
        <v>0</v>
      </c>
      <c r="U126" s="36">
        <f t="shared" ca="1" si="41"/>
        <v>0</v>
      </c>
      <c r="V126" s="36">
        <f t="shared" ca="1" si="41"/>
        <v>0</v>
      </c>
      <c r="W126" s="36">
        <f t="shared" ca="1" si="41"/>
        <v>0</v>
      </c>
      <c r="X126" s="36">
        <f t="shared" ca="1" si="41"/>
        <v>0</v>
      </c>
      <c r="Y126" s="36">
        <f t="shared" ca="1" si="39"/>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9" t="s">
        <v>113</v>
      </c>
      <c r="E127" s="36">
        <f t="shared" ref="E127:X127" ca="1" si="42">E90-E89</f>
        <v>0</v>
      </c>
      <c r="F127" s="36">
        <f t="shared" ca="1" si="42"/>
        <v>0</v>
      </c>
      <c r="G127" s="36">
        <f t="shared" ca="1" si="42"/>
        <v>0</v>
      </c>
      <c r="H127" s="36">
        <f t="shared" ca="1" si="42"/>
        <v>0</v>
      </c>
      <c r="I127" s="36">
        <f t="shared" ca="1" si="42"/>
        <v>0</v>
      </c>
      <c r="J127" s="36">
        <f t="shared" ca="1" si="42"/>
        <v>0</v>
      </c>
      <c r="K127" s="36">
        <f t="shared" ca="1" si="42"/>
        <v>0</v>
      </c>
      <c r="L127" s="36">
        <f t="shared" ca="1" si="42"/>
        <v>0</v>
      </c>
      <c r="M127" s="36">
        <f t="shared" ca="1" si="42"/>
        <v>0</v>
      </c>
      <c r="N127" s="36">
        <f t="shared" ca="1" si="42"/>
        <v>0</v>
      </c>
      <c r="O127" s="36">
        <f t="shared" ca="1" si="42"/>
        <v>0</v>
      </c>
      <c r="P127" s="36">
        <f t="shared" ca="1" si="42"/>
        <v>0</v>
      </c>
      <c r="Q127" s="36">
        <f t="shared" ca="1" si="42"/>
        <v>0</v>
      </c>
      <c r="R127" s="36">
        <f t="shared" ca="1" si="42"/>
        <v>0</v>
      </c>
      <c r="S127" s="36">
        <f t="shared" ca="1" si="42"/>
        <v>0</v>
      </c>
      <c r="T127" s="36">
        <f t="shared" ca="1" si="42"/>
        <v>0</v>
      </c>
      <c r="U127" s="36">
        <f t="shared" ca="1" si="42"/>
        <v>0</v>
      </c>
      <c r="V127" s="36">
        <f t="shared" ca="1" si="42"/>
        <v>0</v>
      </c>
      <c r="W127" s="36">
        <f t="shared" ca="1" si="42"/>
        <v>0</v>
      </c>
      <c r="X127" s="36">
        <f t="shared" ca="1" si="42"/>
        <v>0</v>
      </c>
      <c r="Y127" s="36">
        <f t="shared" ca="1" si="39"/>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9" t="s">
        <v>116</v>
      </c>
      <c r="E128" s="36">
        <f t="shared" ref="E128:X128" ca="1" si="43">E91-E90</f>
        <v>0</v>
      </c>
      <c r="F128" s="36">
        <f t="shared" ca="1" si="43"/>
        <v>0</v>
      </c>
      <c r="G128" s="36">
        <f t="shared" ca="1" si="43"/>
        <v>0</v>
      </c>
      <c r="H128" s="36">
        <f t="shared" ca="1" si="43"/>
        <v>0</v>
      </c>
      <c r="I128" s="36">
        <f t="shared" ca="1" si="43"/>
        <v>0</v>
      </c>
      <c r="J128" s="36">
        <f t="shared" ca="1" si="43"/>
        <v>0</v>
      </c>
      <c r="K128" s="36">
        <f t="shared" ca="1" si="43"/>
        <v>0</v>
      </c>
      <c r="L128" s="36">
        <f t="shared" ca="1" si="43"/>
        <v>0</v>
      </c>
      <c r="M128" s="36">
        <f t="shared" ca="1" si="43"/>
        <v>0</v>
      </c>
      <c r="N128" s="36">
        <f t="shared" ca="1" si="43"/>
        <v>0</v>
      </c>
      <c r="O128" s="36">
        <f t="shared" ca="1" si="43"/>
        <v>0</v>
      </c>
      <c r="P128" s="36">
        <f t="shared" ca="1" si="43"/>
        <v>0</v>
      </c>
      <c r="Q128" s="36">
        <f t="shared" ca="1" si="43"/>
        <v>0</v>
      </c>
      <c r="R128" s="36">
        <f t="shared" ca="1" si="43"/>
        <v>0</v>
      </c>
      <c r="S128" s="36">
        <f t="shared" ca="1" si="43"/>
        <v>0</v>
      </c>
      <c r="T128" s="36">
        <f t="shared" ca="1" si="43"/>
        <v>0</v>
      </c>
      <c r="U128" s="36">
        <f t="shared" ca="1" si="43"/>
        <v>0</v>
      </c>
      <c r="V128" s="36">
        <f t="shared" ca="1" si="43"/>
        <v>0</v>
      </c>
      <c r="W128" s="36">
        <f t="shared" ca="1" si="43"/>
        <v>0</v>
      </c>
      <c r="X128" s="36">
        <f t="shared" ca="1" si="43"/>
        <v>0</v>
      </c>
      <c r="Y128" s="36">
        <f t="shared" ca="1" si="39"/>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3:80">
      <c r="C129" s="9" t="s">
        <v>119</v>
      </c>
      <c r="E129" s="36">
        <f t="shared" ref="E129:X129" ca="1" si="44">E92-E91</f>
        <v>0</v>
      </c>
      <c r="F129" s="36">
        <f t="shared" ca="1" si="44"/>
        <v>0</v>
      </c>
      <c r="G129" s="36">
        <f t="shared" ca="1" si="44"/>
        <v>0</v>
      </c>
      <c r="H129" s="36">
        <f t="shared" ca="1" si="44"/>
        <v>0</v>
      </c>
      <c r="I129" s="36">
        <f t="shared" ca="1" si="44"/>
        <v>0</v>
      </c>
      <c r="J129" s="36">
        <f t="shared" ca="1" si="44"/>
        <v>0</v>
      </c>
      <c r="K129" s="36">
        <f t="shared" ca="1" si="44"/>
        <v>0</v>
      </c>
      <c r="L129" s="36">
        <f t="shared" ca="1" si="44"/>
        <v>0</v>
      </c>
      <c r="M129" s="36">
        <f t="shared" ca="1" si="44"/>
        <v>0</v>
      </c>
      <c r="N129" s="36">
        <f t="shared" ca="1" si="44"/>
        <v>0</v>
      </c>
      <c r="O129" s="36">
        <f t="shared" ca="1" si="44"/>
        <v>0</v>
      </c>
      <c r="P129" s="36">
        <f t="shared" ca="1" si="44"/>
        <v>0</v>
      </c>
      <c r="Q129" s="36">
        <f t="shared" ca="1" si="44"/>
        <v>0</v>
      </c>
      <c r="R129" s="36">
        <f t="shared" ca="1" si="44"/>
        <v>0</v>
      </c>
      <c r="S129" s="36">
        <f t="shared" ca="1" si="44"/>
        <v>0</v>
      </c>
      <c r="T129" s="36">
        <f t="shared" ca="1" si="44"/>
        <v>0</v>
      </c>
      <c r="U129" s="36">
        <f t="shared" ca="1" si="44"/>
        <v>0</v>
      </c>
      <c r="V129" s="36">
        <f t="shared" ca="1" si="44"/>
        <v>0</v>
      </c>
      <c r="W129" s="36">
        <f t="shared" ca="1" si="44"/>
        <v>0</v>
      </c>
      <c r="X129" s="36">
        <f t="shared" ca="1" si="44"/>
        <v>0</v>
      </c>
      <c r="Y129" s="36">
        <f t="shared" ca="1" si="39"/>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3:80">
      <c r="C130" s="9" t="s">
        <v>122</v>
      </c>
      <c r="E130" s="36">
        <f t="shared" ref="E130:X130" ca="1" si="45">E93-E92</f>
        <v>0</v>
      </c>
      <c r="F130" s="36">
        <f t="shared" ca="1" si="45"/>
        <v>0</v>
      </c>
      <c r="G130" s="36">
        <f t="shared" ca="1" si="45"/>
        <v>0</v>
      </c>
      <c r="H130" s="36">
        <f t="shared" ca="1" si="45"/>
        <v>0</v>
      </c>
      <c r="I130" s="36">
        <f t="shared" ca="1" si="45"/>
        <v>0</v>
      </c>
      <c r="J130" s="36">
        <f t="shared" ca="1" si="45"/>
        <v>0</v>
      </c>
      <c r="K130" s="36">
        <f t="shared" ca="1" si="45"/>
        <v>0</v>
      </c>
      <c r="L130" s="36">
        <f t="shared" ca="1" si="45"/>
        <v>0</v>
      </c>
      <c r="M130" s="36">
        <f t="shared" ca="1" si="45"/>
        <v>0</v>
      </c>
      <c r="N130" s="36">
        <f t="shared" ca="1" si="45"/>
        <v>0</v>
      </c>
      <c r="O130" s="36">
        <f t="shared" ca="1" si="45"/>
        <v>0</v>
      </c>
      <c r="P130" s="36">
        <f t="shared" ca="1" si="45"/>
        <v>0</v>
      </c>
      <c r="Q130" s="36">
        <f t="shared" ca="1" si="45"/>
        <v>0</v>
      </c>
      <c r="R130" s="36">
        <f t="shared" ca="1" si="45"/>
        <v>0</v>
      </c>
      <c r="S130" s="36">
        <f t="shared" ca="1" si="45"/>
        <v>0</v>
      </c>
      <c r="T130" s="36">
        <f t="shared" ca="1" si="45"/>
        <v>0</v>
      </c>
      <c r="U130" s="36">
        <f t="shared" ca="1" si="45"/>
        <v>0</v>
      </c>
      <c r="V130" s="36">
        <f t="shared" ca="1" si="45"/>
        <v>0</v>
      </c>
      <c r="W130" s="36">
        <f t="shared" ca="1" si="45"/>
        <v>0</v>
      </c>
      <c r="X130" s="36">
        <f t="shared" ca="1" si="45"/>
        <v>0</v>
      </c>
      <c r="Y130" s="36">
        <f t="shared" ca="1" si="39"/>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3:80">
      <c r="C131" s="9" t="s">
        <v>125</v>
      </c>
      <c r="E131" s="36">
        <f t="shared" ref="E131:X131" ca="1" si="46">E94-E93</f>
        <v>0</v>
      </c>
      <c r="F131" s="36">
        <f t="shared" ca="1" si="46"/>
        <v>0</v>
      </c>
      <c r="G131" s="36">
        <f t="shared" ca="1" si="46"/>
        <v>0</v>
      </c>
      <c r="H131" s="36">
        <f t="shared" ca="1" si="46"/>
        <v>0</v>
      </c>
      <c r="I131" s="36">
        <f t="shared" ca="1" si="46"/>
        <v>0</v>
      </c>
      <c r="J131" s="36">
        <f t="shared" ca="1" si="46"/>
        <v>0</v>
      </c>
      <c r="K131" s="36">
        <f t="shared" ca="1" si="46"/>
        <v>0</v>
      </c>
      <c r="L131" s="36">
        <f t="shared" ca="1" si="46"/>
        <v>0</v>
      </c>
      <c r="M131" s="36">
        <f t="shared" ca="1" si="46"/>
        <v>0</v>
      </c>
      <c r="N131" s="36">
        <f t="shared" ca="1" si="46"/>
        <v>0</v>
      </c>
      <c r="O131" s="36">
        <f t="shared" ca="1" si="46"/>
        <v>0</v>
      </c>
      <c r="P131" s="36">
        <f t="shared" ca="1" si="46"/>
        <v>0</v>
      </c>
      <c r="Q131" s="36">
        <f t="shared" ca="1" si="46"/>
        <v>0</v>
      </c>
      <c r="R131" s="36">
        <f t="shared" ca="1" si="46"/>
        <v>0</v>
      </c>
      <c r="S131" s="36">
        <f t="shared" ca="1" si="46"/>
        <v>0</v>
      </c>
      <c r="T131" s="36">
        <f t="shared" ca="1" si="46"/>
        <v>0</v>
      </c>
      <c r="U131" s="36">
        <f t="shared" ca="1" si="46"/>
        <v>0</v>
      </c>
      <c r="V131" s="36">
        <f t="shared" ca="1" si="46"/>
        <v>0</v>
      </c>
      <c r="W131" s="36">
        <f t="shared" ca="1" si="46"/>
        <v>0</v>
      </c>
      <c r="X131" s="36">
        <f t="shared" ca="1" si="46"/>
        <v>0</v>
      </c>
      <c r="Y131" s="36">
        <f t="shared" ca="1" si="39"/>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3:80">
      <c r="C132" s="9" t="s">
        <v>128</v>
      </c>
      <c r="E132" s="36">
        <f t="shared" ref="E132:X132" ca="1" si="47">E95-E94</f>
        <v>0</v>
      </c>
      <c r="F132" s="36">
        <f t="shared" ca="1" si="47"/>
        <v>0</v>
      </c>
      <c r="G132" s="36">
        <f t="shared" ca="1" si="47"/>
        <v>0</v>
      </c>
      <c r="H132" s="36">
        <f t="shared" ca="1" si="47"/>
        <v>0</v>
      </c>
      <c r="I132" s="36">
        <f t="shared" ca="1" si="47"/>
        <v>0</v>
      </c>
      <c r="J132" s="36">
        <f t="shared" ca="1" si="47"/>
        <v>0</v>
      </c>
      <c r="K132" s="36">
        <f t="shared" ca="1" si="47"/>
        <v>0</v>
      </c>
      <c r="L132" s="36">
        <f t="shared" ca="1" si="47"/>
        <v>0</v>
      </c>
      <c r="M132" s="36">
        <f t="shared" ca="1" si="47"/>
        <v>0</v>
      </c>
      <c r="N132" s="36">
        <f t="shared" ca="1" si="47"/>
        <v>0</v>
      </c>
      <c r="O132" s="36">
        <f t="shared" ca="1" si="47"/>
        <v>0</v>
      </c>
      <c r="P132" s="36">
        <f t="shared" ca="1" si="47"/>
        <v>0</v>
      </c>
      <c r="Q132" s="36">
        <f t="shared" ca="1" si="47"/>
        <v>0</v>
      </c>
      <c r="R132" s="36">
        <f t="shared" ca="1" si="47"/>
        <v>0</v>
      </c>
      <c r="S132" s="36">
        <f t="shared" ca="1" si="47"/>
        <v>0</v>
      </c>
      <c r="T132" s="36">
        <f t="shared" ca="1" si="47"/>
        <v>0</v>
      </c>
      <c r="U132" s="36">
        <f t="shared" ca="1" si="47"/>
        <v>0</v>
      </c>
      <c r="V132" s="36">
        <f t="shared" ca="1" si="47"/>
        <v>0</v>
      </c>
      <c r="W132" s="36">
        <f t="shared" ca="1" si="47"/>
        <v>0</v>
      </c>
      <c r="X132" s="36">
        <f t="shared" ca="1" si="47"/>
        <v>0</v>
      </c>
      <c r="Y132" s="36">
        <f t="shared" ca="1" si="39"/>
        <v>0</v>
      </c>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3:80">
      <c r="C133" s="9" t="s">
        <v>534</v>
      </c>
      <c r="E133" s="36">
        <f t="shared" ref="E133:X133" ca="1" si="48">E96-E95</f>
        <v>0</v>
      </c>
      <c r="F133" s="36">
        <f t="shared" ca="1" si="48"/>
        <v>0</v>
      </c>
      <c r="G133" s="36">
        <f t="shared" ca="1" si="48"/>
        <v>0</v>
      </c>
      <c r="H133" s="36">
        <f t="shared" ca="1" si="48"/>
        <v>0</v>
      </c>
      <c r="I133" s="36">
        <f t="shared" ca="1" si="48"/>
        <v>0</v>
      </c>
      <c r="J133" s="36">
        <f t="shared" ca="1" si="48"/>
        <v>0</v>
      </c>
      <c r="K133" s="36">
        <f t="shared" ca="1" si="48"/>
        <v>0</v>
      </c>
      <c r="L133" s="36">
        <f t="shared" ca="1" si="48"/>
        <v>0</v>
      </c>
      <c r="M133" s="36">
        <f t="shared" ca="1" si="48"/>
        <v>0</v>
      </c>
      <c r="N133" s="36">
        <f t="shared" ca="1" si="48"/>
        <v>0</v>
      </c>
      <c r="O133" s="36">
        <f t="shared" ca="1" si="48"/>
        <v>0</v>
      </c>
      <c r="P133" s="36">
        <f t="shared" ca="1" si="48"/>
        <v>0</v>
      </c>
      <c r="Q133" s="36">
        <f t="shared" ca="1" si="48"/>
        <v>0</v>
      </c>
      <c r="R133" s="36">
        <f t="shared" ca="1" si="48"/>
        <v>0</v>
      </c>
      <c r="S133" s="36">
        <f t="shared" ca="1" si="48"/>
        <v>0</v>
      </c>
      <c r="T133" s="36">
        <f t="shared" ca="1" si="48"/>
        <v>0</v>
      </c>
      <c r="U133" s="36">
        <f t="shared" ca="1" si="48"/>
        <v>0</v>
      </c>
      <c r="V133" s="36">
        <f t="shared" ca="1" si="48"/>
        <v>0</v>
      </c>
      <c r="W133" s="36">
        <f t="shared" ca="1" si="48"/>
        <v>0</v>
      </c>
      <c r="X133" s="36">
        <f t="shared" ca="1" si="48"/>
        <v>0</v>
      </c>
      <c r="Y133" s="36">
        <f t="shared" ca="1" si="39"/>
        <v>0</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3:80">
      <c r="C134" s="9" t="s">
        <v>536</v>
      </c>
      <c r="E134" s="36">
        <f t="shared" ref="E134:X134" ca="1" si="49">E97-E96</f>
        <v>0</v>
      </c>
      <c r="F134" s="36">
        <f t="shared" ca="1" si="49"/>
        <v>0</v>
      </c>
      <c r="G134" s="36">
        <f t="shared" ca="1" si="49"/>
        <v>0</v>
      </c>
      <c r="H134" s="36">
        <f t="shared" ca="1" si="49"/>
        <v>0</v>
      </c>
      <c r="I134" s="36">
        <f t="shared" ca="1" si="49"/>
        <v>0</v>
      </c>
      <c r="J134" s="36">
        <f t="shared" ca="1" si="49"/>
        <v>0</v>
      </c>
      <c r="K134" s="36">
        <f t="shared" ca="1" si="49"/>
        <v>0</v>
      </c>
      <c r="L134" s="36">
        <f t="shared" ca="1" si="49"/>
        <v>0</v>
      </c>
      <c r="M134" s="36">
        <f t="shared" ca="1" si="49"/>
        <v>0</v>
      </c>
      <c r="N134" s="36">
        <f t="shared" ca="1" si="49"/>
        <v>0</v>
      </c>
      <c r="O134" s="36">
        <f t="shared" ca="1" si="49"/>
        <v>0</v>
      </c>
      <c r="P134" s="36">
        <f t="shared" ca="1" si="49"/>
        <v>0</v>
      </c>
      <c r="Q134" s="36">
        <f t="shared" ca="1" si="49"/>
        <v>0</v>
      </c>
      <c r="R134" s="36">
        <f t="shared" ca="1" si="49"/>
        <v>0</v>
      </c>
      <c r="S134" s="36">
        <f t="shared" ca="1" si="49"/>
        <v>0</v>
      </c>
      <c r="T134" s="36">
        <f t="shared" ca="1" si="49"/>
        <v>0</v>
      </c>
      <c r="U134" s="36">
        <f t="shared" ca="1" si="49"/>
        <v>0</v>
      </c>
      <c r="V134" s="36">
        <f t="shared" ca="1" si="49"/>
        <v>0</v>
      </c>
      <c r="W134" s="36">
        <f t="shared" ca="1" si="49"/>
        <v>0</v>
      </c>
      <c r="X134" s="36">
        <f t="shared" ca="1" si="49"/>
        <v>0</v>
      </c>
      <c r="Y134" s="36">
        <f t="shared" ca="1" si="39"/>
        <v>0</v>
      </c>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5" spans="3:80">
      <c r="C135" s="9" t="s">
        <v>539</v>
      </c>
      <c r="E135" s="36">
        <f t="shared" ref="E135:X135" ca="1" si="50">E98-E97</f>
        <v>0</v>
      </c>
      <c r="F135" s="36">
        <f t="shared" ca="1" si="50"/>
        <v>0</v>
      </c>
      <c r="G135" s="36">
        <f t="shared" ca="1" si="50"/>
        <v>0</v>
      </c>
      <c r="H135" s="36">
        <f t="shared" ca="1" si="50"/>
        <v>0</v>
      </c>
      <c r="I135" s="36">
        <f t="shared" ca="1" si="50"/>
        <v>0</v>
      </c>
      <c r="J135" s="36">
        <f t="shared" ca="1" si="50"/>
        <v>0</v>
      </c>
      <c r="K135" s="36">
        <f t="shared" ca="1" si="50"/>
        <v>0</v>
      </c>
      <c r="L135" s="36">
        <f t="shared" ca="1" si="50"/>
        <v>0</v>
      </c>
      <c r="M135" s="36">
        <f t="shared" ca="1" si="50"/>
        <v>0</v>
      </c>
      <c r="N135" s="36">
        <f t="shared" ca="1" si="50"/>
        <v>0</v>
      </c>
      <c r="O135" s="36">
        <f t="shared" ca="1" si="50"/>
        <v>0</v>
      </c>
      <c r="P135" s="36">
        <f t="shared" ca="1" si="50"/>
        <v>0</v>
      </c>
      <c r="Q135" s="36">
        <f t="shared" ca="1" si="50"/>
        <v>0</v>
      </c>
      <c r="R135" s="36">
        <f t="shared" ca="1" si="50"/>
        <v>0</v>
      </c>
      <c r="S135" s="36">
        <f t="shared" ca="1" si="50"/>
        <v>0</v>
      </c>
      <c r="T135" s="36">
        <f t="shared" ca="1" si="50"/>
        <v>0</v>
      </c>
      <c r="U135" s="36">
        <f t="shared" ca="1" si="50"/>
        <v>0</v>
      </c>
      <c r="V135" s="36">
        <f t="shared" ca="1" si="50"/>
        <v>0</v>
      </c>
      <c r="W135" s="36">
        <f t="shared" ca="1" si="50"/>
        <v>0</v>
      </c>
      <c r="X135" s="36">
        <f t="shared" ca="1" si="50"/>
        <v>0</v>
      </c>
      <c r="Y135" s="36">
        <f t="shared" ca="1" si="39"/>
        <v>0</v>
      </c>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row>
    <row r="136" spans="3:80">
      <c r="C136" s="9" t="s">
        <v>542</v>
      </c>
      <c r="E136" s="36">
        <f t="shared" ref="E136:X136" ca="1" si="51">E99-E98</f>
        <v>0</v>
      </c>
      <c r="F136" s="36">
        <f t="shared" ca="1" si="51"/>
        <v>0</v>
      </c>
      <c r="G136" s="36">
        <f t="shared" ca="1" si="51"/>
        <v>0</v>
      </c>
      <c r="H136" s="36">
        <f t="shared" ca="1" si="51"/>
        <v>0</v>
      </c>
      <c r="I136" s="36">
        <f t="shared" ca="1" si="51"/>
        <v>0</v>
      </c>
      <c r="J136" s="36">
        <f t="shared" ca="1" si="51"/>
        <v>0</v>
      </c>
      <c r="K136" s="36">
        <f t="shared" ca="1" si="51"/>
        <v>0</v>
      </c>
      <c r="L136" s="36">
        <f t="shared" ca="1" si="51"/>
        <v>0</v>
      </c>
      <c r="M136" s="36">
        <f t="shared" ca="1" si="51"/>
        <v>0</v>
      </c>
      <c r="N136" s="36">
        <f t="shared" ca="1" si="51"/>
        <v>0</v>
      </c>
      <c r="O136" s="36">
        <f t="shared" ca="1" si="51"/>
        <v>0</v>
      </c>
      <c r="P136" s="36">
        <f t="shared" ca="1" si="51"/>
        <v>0</v>
      </c>
      <c r="Q136" s="36">
        <f t="shared" ca="1" si="51"/>
        <v>0</v>
      </c>
      <c r="R136" s="36">
        <f t="shared" ca="1" si="51"/>
        <v>0</v>
      </c>
      <c r="S136" s="36">
        <f t="shared" ca="1" si="51"/>
        <v>0</v>
      </c>
      <c r="T136" s="36">
        <f t="shared" ca="1" si="51"/>
        <v>0</v>
      </c>
      <c r="U136" s="36">
        <f t="shared" ca="1" si="51"/>
        <v>0</v>
      </c>
      <c r="V136" s="36">
        <f t="shared" ca="1" si="51"/>
        <v>0</v>
      </c>
      <c r="W136" s="36">
        <f t="shared" ca="1" si="51"/>
        <v>0</v>
      </c>
      <c r="X136" s="36">
        <f t="shared" ca="1" si="51"/>
        <v>0</v>
      </c>
      <c r="Y136" s="36">
        <f t="shared" ca="1" si="39"/>
        <v>0</v>
      </c>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row>
    <row r="137" spans="3:80">
      <c r="C137" s="9" t="s">
        <v>545</v>
      </c>
      <c r="E137" s="36">
        <f t="shared" ref="E137:X137" ca="1" si="52">E100-E99</f>
        <v>0</v>
      </c>
      <c r="F137" s="36">
        <f t="shared" ca="1" si="52"/>
        <v>0</v>
      </c>
      <c r="G137" s="36">
        <f t="shared" ca="1" si="52"/>
        <v>0</v>
      </c>
      <c r="H137" s="36">
        <f t="shared" ca="1" si="52"/>
        <v>0</v>
      </c>
      <c r="I137" s="36">
        <f t="shared" ca="1" si="52"/>
        <v>0</v>
      </c>
      <c r="J137" s="36">
        <f t="shared" ca="1" si="52"/>
        <v>0</v>
      </c>
      <c r="K137" s="36">
        <f t="shared" ca="1" si="52"/>
        <v>0</v>
      </c>
      <c r="L137" s="36">
        <f t="shared" ca="1" si="52"/>
        <v>0</v>
      </c>
      <c r="M137" s="36">
        <f t="shared" ca="1" si="52"/>
        <v>0</v>
      </c>
      <c r="N137" s="36">
        <f t="shared" ca="1" si="52"/>
        <v>0</v>
      </c>
      <c r="O137" s="36">
        <f t="shared" ca="1" si="52"/>
        <v>0</v>
      </c>
      <c r="P137" s="36">
        <f t="shared" ca="1" si="52"/>
        <v>0</v>
      </c>
      <c r="Q137" s="36">
        <f t="shared" ca="1" si="52"/>
        <v>0</v>
      </c>
      <c r="R137" s="36">
        <f t="shared" ca="1" si="52"/>
        <v>0</v>
      </c>
      <c r="S137" s="36">
        <f t="shared" ca="1" si="52"/>
        <v>0</v>
      </c>
      <c r="T137" s="36">
        <f t="shared" ca="1" si="52"/>
        <v>0</v>
      </c>
      <c r="U137" s="36">
        <f t="shared" ca="1" si="52"/>
        <v>0</v>
      </c>
      <c r="V137" s="36">
        <f t="shared" ca="1" si="52"/>
        <v>0</v>
      </c>
      <c r="W137" s="36">
        <f t="shared" ca="1" si="52"/>
        <v>0</v>
      </c>
      <c r="X137" s="36">
        <f t="shared" ca="1" si="52"/>
        <v>0</v>
      </c>
      <c r="Y137" s="36">
        <f t="shared" ca="1" si="39"/>
        <v>0</v>
      </c>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3:80">
      <c r="C138" s="9" t="s">
        <v>548</v>
      </c>
      <c r="E138" s="36">
        <f t="shared" ref="E138:X138" ca="1" si="53">E101-E100</f>
        <v>0</v>
      </c>
      <c r="F138" s="36">
        <f t="shared" ca="1" si="53"/>
        <v>0</v>
      </c>
      <c r="G138" s="36">
        <f t="shared" ca="1" si="53"/>
        <v>0</v>
      </c>
      <c r="H138" s="36">
        <f t="shared" ca="1" si="53"/>
        <v>0</v>
      </c>
      <c r="I138" s="36">
        <f t="shared" ca="1" si="53"/>
        <v>0</v>
      </c>
      <c r="J138" s="36">
        <f t="shared" ca="1" si="53"/>
        <v>0</v>
      </c>
      <c r="K138" s="36">
        <f t="shared" ca="1" si="53"/>
        <v>0</v>
      </c>
      <c r="L138" s="36">
        <f t="shared" ca="1" si="53"/>
        <v>0</v>
      </c>
      <c r="M138" s="36">
        <f t="shared" ca="1" si="53"/>
        <v>0</v>
      </c>
      <c r="N138" s="36">
        <f t="shared" ca="1" si="53"/>
        <v>0</v>
      </c>
      <c r="O138" s="36">
        <f t="shared" ca="1" si="53"/>
        <v>0</v>
      </c>
      <c r="P138" s="36">
        <f t="shared" ca="1" si="53"/>
        <v>0</v>
      </c>
      <c r="Q138" s="36">
        <f t="shared" ca="1" si="53"/>
        <v>0</v>
      </c>
      <c r="R138" s="36">
        <f t="shared" ca="1" si="53"/>
        <v>0</v>
      </c>
      <c r="S138" s="36">
        <f t="shared" ca="1" si="53"/>
        <v>0</v>
      </c>
      <c r="T138" s="36">
        <f t="shared" ca="1" si="53"/>
        <v>0</v>
      </c>
      <c r="U138" s="36">
        <f t="shared" ca="1" si="53"/>
        <v>0</v>
      </c>
      <c r="V138" s="36">
        <f t="shared" ca="1" si="53"/>
        <v>0</v>
      </c>
      <c r="W138" s="36">
        <f t="shared" ca="1" si="53"/>
        <v>0</v>
      </c>
      <c r="X138" s="36">
        <f t="shared" ca="1" si="53"/>
        <v>0</v>
      </c>
      <c r="Y138" s="36">
        <f t="shared" ca="1" si="39"/>
        <v>0</v>
      </c>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row>
    <row r="139" spans="3:80">
      <c r="C139" s="9" t="s">
        <v>551</v>
      </c>
      <c r="E139" s="36">
        <f t="shared" ref="E139:X139" ca="1" si="54">E102-E101</f>
        <v>0</v>
      </c>
      <c r="F139" s="36">
        <f t="shared" ca="1" si="54"/>
        <v>0</v>
      </c>
      <c r="G139" s="36">
        <f t="shared" ca="1" si="54"/>
        <v>0</v>
      </c>
      <c r="H139" s="36">
        <f t="shared" ca="1" si="54"/>
        <v>0</v>
      </c>
      <c r="I139" s="36">
        <f t="shared" ca="1" si="54"/>
        <v>0</v>
      </c>
      <c r="J139" s="36">
        <f t="shared" ca="1" si="54"/>
        <v>0</v>
      </c>
      <c r="K139" s="36">
        <f t="shared" ca="1" si="54"/>
        <v>0</v>
      </c>
      <c r="L139" s="36">
        <f t="shared" ca="1" si="54"/>
        <v>0</v>
      </c>
      <c r="M139" s="36">
        <f t="shared" ca="1" si="54"/>
        <v>0</v>
      </c>
      <c r="N139" s="36">
        <f t="shared" ca="1" si="54"/>
        <v>0</v>
      </c>
      <c r="O139" s="36">
        <f t="shared" ca="1" si="54"/>
        <v>0</v>
      </c>
      <c r="P139" s="36">
        <f t="shared" ca="1" si="54"/>
        <v>0</v>
      </c>
      <c r="Q139" s="36">
        <f t="shared" ca="1" si="54"/>
        <v>0</v>
      </c>
      <c r="R139" s="36">
        <f t="shared" ca="1" si="54"/>
        <v>0</v>
      </c>
      <c r="S139" s="36">
        <f t="shared" ca="1" si="54"/>
        <v>0</v>
      </c>
      <c r="T139" s="36">
        <f t="shared" ca="1" si="54"/>
        <v>0</v>
      </c>
      <c r="U139" s="36">
        <f t="shared" ca="1" si="54"/>
        <v>0</v>
      </c>
      <c r="V139" s="36">
        <f t="shared" ca="1" si="54"/>
        <v>0</v>
      </c>
      <c r="W139" s="36">
        <f t="shared" ca="1" si="54"/>
        <v>0</v>
      </c>
      <c r="X139" s="36">
        <f t="shared" ca="1" si="54"/>
        <v>0</v>
      </c>
      <c r="Y139" s="36">
        <f t="shared" ca="1" si="39"/>
        <v>0</v>
      </c>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3:80">
      <c r="C140" s="9" t="s">
        <v>554</v>
      </c>
      <c r="E140" s="36">
        <f t="shared" ref="E140:X140" ca="1" si="55">E103-E102</f>
        <v>0</v>
      </c>
      <c r="F140" s="36">
        <f t="shared" ca="1" si="55"/>
        <v>0</v>
      </c>
      <c r="G140" s="36">
        <f t="shared" ca="1" si="55"/>
        <v>0</v>
      </c>
      <c r="H140" s="36">
        <f t="shared" ca="1" si="55"/>
        <v>0</v>
      </c>
      <c r="I140" s="36">
        <f t="shared" ca="1" si="55"/>
        <v>0</v>
      </c>
      <c r="J140" s="36">
        <f t="shared" ca="1" si="55"/>
        <v>0</v>
      </c>
      <c r="K140" s="36">
        <f t="shared" ca="1" si="55"/>
        <v>0</v>
      </c>
      <c r="L140" s="36">
        <f t="shared" ca="1" si="55"/>
        <v>0</v>
      </c>
      <c r="M140" s="36">
        <f t="shared" ca="1" si="55"/>
        <v>0</v>
      </c>
      <c r="N140" s="36">
        <f t="shared" ca="1" si="55"/>
        <v>0</v>
      </c>
      <c r="O140" s="36">
        <f t="shared" ca="1" si="55"/>
        <v>0</v>
      </c>
      <c r="P140" s="36">
        <f t="shared" ca="1" si="55"/>
        <v>0</v>
      </c>
      <c r="Q140" s="36">
        <f t="shared" ca="1" si="55"/>
        <v>0</v>
      </c>
      <c r="R140" s="36">
        <f t="shared" ca="1" si="55"/>
        <v>0</v>
      </c>
      <c r="S140" s="36">
        <f t="shared" ca="1" si="55"/>
        <v>0</v>
      </c>
      <c r="T140" s="36">
        <f t="shared" ca="1" si="55"/>
        <v>0</v>
      </c>
      <c r="U140" s="36">
        <f t="shared" ca="1" si="55"/>
        <v>0</v>
      </c>
      <c r="V140" s="36">
        <f t="shared" ca="1" si="55"/>
        <v>0</v>
      </c>
      <c r="W140" s="36">
        <f t="shared" ca="1" si="55"/>
        <v>0</v>
      </c>
      <c r="X140" s="36">
        <f t="shared" ca="1" si="55"/>
        <v>0</v>
      </c>
      <c r="Y140" s="36">
        <f t="shared" ca="1" si="39"/>
        <v>0</v>
      </c>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row>
    <row r="141" spans="3:80">
      <c r="C141" s="9" t="s">
        <v>557</v>
      </c>
      <c r="E141" s="36">
        <f t="shared" ref="E141:X141" ca="1" si="56">E104-E103</f>
        <v>0</v>
      </c>
      <c r="F141" s="36">
        <f t="shared" ca="1" si="56"/>
        <v>0</v>
      </c>
      <c r="G141" s="36">
        <f t="shared" ca="1" si="56"/>
        <v>0</v>
      </c>
      <c r="H141" s="36">
        <f t="shared" ca="1" si="56"/>
        <v>0</v>
      </c>
      <c r="I141" s="36">
        <f t="shared" ca="1" si="56"/>
        <v>0</v>
      </c>
      <c r="J141" s="36">
        <f t="shared" ca="1" si="56"/>
        <v>0</v>
      </c>
      <c r="K141" s="36">
        <f t="shared" ca="1" si="56"/>
        <v>0</v>
      </c>
      <c r="L141" s="36">
        <f t="shared" ca="1" si="56"/>
        <v>0</v>
      </c>
      <c r="M141" s="36">
        <f t="shared" ca="1" si="56"/>
        <v>0</v>
      </c>
      <c r="N141" s="36">
        <f t="shared" ca="1" si="56"/>
        <v>0</v>
      </c>
      <c r="O141" s="36">
        <f t="shared" ca="1" si="56"/>
        <v>0</v>
      </c>
      <c r="P141" s="36">
        <f t="shared" ca="1" si="56"/>
        <v>0</v>
      </c>
      <c r="Q141" s="36">
        <f t="shared" ca="1" si="56"/>
        <v>0</v>
      </c>
      <c r="R141" s="36">
        <f t="shared" ca="1" si="56"/>
        <v>0</v>
      </c>
      <c r="S141" s="36">
        <f t="shared" ca="1" si="56"/>
        <v>0</v>
      </c>
      <c r="T141" s="36">
        <f t="shared" ca="1" si="56"/>
        <v>0</v>
      </c>
      <c r="U141" s="36">
        <f t="shared" ca="1" si="56"/>
        <v>0</v>
      </c>
      <c r="V141" s="36">
        <f t="shared" ca="1" si="56"/>
        <v>0</v>
      </c>
      <c r="W141" s="36">
        <f t="shared" ca="1" si="56"/>
        <v>0</v>
      </c>
      <c r="X141" s="36">
        <f t="shared" ca="1" si="56"/>
        <v>0</v>
      </c>
      <c r="Y141" s="36">
        <f t="shared" ca="1" si="39"/>
        <v>0</v>
      </c>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3:80">
      <c r="C142" s="9" t="s">
        <v>560</v>
      </c>
      <c r="E142" s="36">
        <f t="shared" ref="E142:X142" ca="1" si="57">E105-E104</f>
        <v>0</v>
      </c>
      <c r="F142" s="36">
        <f t="shared" ca="1" si="57"/>
        <v>0</v>
      </c>
      <c r="G142" s="36">
        <f t="shared" ca="1" si="57"/>
        <v>0</v>
      </c>
      <c r="H142" s="36">
        <f t="shared" ca="1" si="57"/>
        <v>0</v>
      </c>
      <c r="I142" s="36">
        <f t="shared" ca="1" si="57"/>
        <v>0</v>
      </c>
      <c r="J142" s="36">
        <f t="shared" ca="1" si="57"/>
        <v>0</v>
      </c>
      <c r="K142" s="36">
        <f t="shared" ca="1" si="57"/>
        <v>0</v>
      </c>
      <c r="L142" s="36">
        <f t="shared" ca="1" si="57"/>
        <v>0</v>
      </c>
      <c r="M142" s="36">
        <f t="shared" ca="1" si="57"/>
        <v>0</v>
      </c>
      <c r="N142" s="36">
        <f t="shared" ca="1" si="57"/>
        <v>0</v>
      </c>
      <c r="O142" s="36">
        <f t="shared" ca="1" si="57"/>
        <v>0</v>
      </c>
      <c r="P142" s="36">
        <f t="shared" ca="1" si="57"/>
        <v>0</v>
      </c>
      <c r="Q142" s="36">
        <f t="shared" ca="1" si="57"/>
        <v>0</v>
      </c>
      <c r="R142" s="36">
        <f t="shared" ca="1" si="57"/>
        <v>0</v>
      </c>
      <c r="S142" s="36">
        <f t="shared" ca="1" si="57"/>
        <v>0</v>
      </c>
      <c r="T142" s="36">
        <f t="shared" ca="1" si="57"/>
        <v>0</v>
      </c>
      <c r="U142" s="36">
        <f t="shared" ca="1" si="57"/>
        <v>0</v>
      </c>
      <c r="V142" s="36">
        <f t="shared" ca="1" si="57"/>
        <v>0</v>
      </c>
      <c r="W142" s="36">
        <f t="shared" ca="1" si="57"/>
        <v>0</v>
      </c>
      <c r="X142" s="36">
        <f t="shared" ca="1" si="57"/>
        <v>0</v>
      </c>
      <c r="Y142" s="36">
        <f t="shared" ca="1" si="39"/>
        <v>0</v>
      </c>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row>
    <row r="143" spans="3:80">
      <c r="C143" s="9" t="s">
        <v>563</v>
      </c>
      <c r="E143" s="36">
        <f t="shared" ref="E143:X143" ca="1" si="58">E106-E95</f>
        <v>1.6082940568604404E-2</v>
      </c>
      <c r="F143" s="36">
        <f t="shared" ca="1" si="58"/>
        <v>2.4942488868343604E-2</v>
      </c>
      <c r="G143" s="36">
        <f t="shared" ca="1" si="58"/>
        <v>3.1506321316868924E-2</v>
      </c>
      <c r="H143" s="36">
        <f t="shared" ca="1" si="58"/>
        <v>3.673119839085015E-2</v>
      </c>
      <c r="I143" s="36">
        <f t="shared" ca="1" si="58"/>
        <v>4.0813282069269263E-2</v>
      </c>
      <c r="J143" s="36">
        <f t="shared" ca="1" si="58"/>
        <v>4.027091062112681E-2</v>
      </c>
      <c r="K143" s="36">
        <f t="shared" ca="1" si="58"/>
        <v>3.9873967168146063E-2</v>
      </c>
      <c r="L143" s="36">
        <f t="shared" ca="1" si="58"/>
        <v>4.0114751415239236E-2</v>
      </c>
      <c r="M143" s="36">
        <f t="shared" ca="1" si="58"/>
        <v>4.0054329277177836E-2</v>
      </c>
      <c r="N143" s="36">
        <f t="shared" ca="1" si="58"/>
        <v>4.0891973984211127E-2</v>
      </c>
      <c r="O143" s="36">
        <f t="shared" ca="1" si="58"/>
        <v>4.1193724449525682E-2</v>
      </c>
      <c r="P143" s="36">
        <f t="shared" ca="1" si="58"/>
        <v>4.0814594469191501E-2</v>
      </c>
      <c r="Q143" s="36">
        <f t="shared" ca="1" si="58"/>
        <v>3.9986634835243673E-2</v>
      </c>
      <c r="R143" s="36">
        <f t="shared" ca="1" si="58"/>
        <v>4.0007171811727971E-2</v>
      </c>
      <c r="S143" s="36">
        <f t="shared" ca="1" si="58"/>
        <v>4.0361641594520992E-2</v>
      </c>
      <c r="T143" s="36">
        <f t="shared" ca="1" si="58"/>
        <v>4.013915731141432E-2</v>
      </c>
      <c r="U143" s="36">
        <f t="shared" ca="1" si="58"/>
        <v>3.8997636727747503E-2</v>
      </c>
      <c r="V143" s="36">
        <f t="shared" ca="1" si="58"/>
        <v>3.8903173413732062E-2</v>
      </c>
      <c r="W143" s="36">
        <f t="shared" ca="1" si="58"/>
        <v>3.8933093945036412E-2</v>
      </c>
      <c r="X143" s="36">
        <f t="shared" ca="1" si="58"/>
        <v>3.9124929028013289E-2</v>
      </c>
      <c r="Y143" s="36">
        <f t="shared" ca="1" si="39"/>
        <v>0.74974392126599065</v>
      </c>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3:80">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row>
    <row r="145" spans="1:80" ht="15">
      <c r="C145" s="73" t="s">
        <v>135</v>
      </c>
      <c r="D145" s="74"/>
      <c r="E145" s="74">
        <f t="shared" ref="E145:X145" ca="1" si="59">SUM(E112:E143)</f>
        <v>0.17999343004514345</v>
      </c>
      <c r="F145" s="74">
        <f t="shared" ca="1" si="59"/>
        <v>0.2543047590207077</v>
      </c>
      <c r="G145" s="74">
        <f t="shared" ca="1" si="59"/>
        <v>0.29512684259563782</v>
      </c>
      <c r="H145" s="74">
        <f t="shared" ca="1" si="59"/>
        <v>0.31790947058240299</v>
      </c>
      <c r="I145" s="74">
        <f t="shared" ca="1" si="59"/>
        <v>0.32800595075119288</v>
      </c>
      <c r="J145" s="74">
        <f t="shared" ca="1" si="59"/>
        <v>0.32086020174923346</v>
      </c>
      <c r="K145" s="74">
        <f t="shared" ca="1" si="59"/>
        <v>0.31497844273902764</v>
      </c>
      <c r="L145" s="74">
        <f t="shared" ca="1" si="59"/>
        <v>0.31417278559762768</v>
      </c>
      <c r="M145" s="74">
        <f t="shared" ca="1" si="59"/>
        <v>0.31105896390932425</v>
      </c>
      <c r="N145" s="74">
        <f t="shared" ca="1" si="59"/>
        <v>0.31467968749565778</v>
      </c>
      <c r="O145" s="74">
        <f t="shared" ca="1" si="59"/>
        <v>0.31400799075596791</v>
      </c>
      <c r="P145" s="74">
        <f t="shared" ca="1" si="59"/>
        <v>0.30830157641719597</v>
      </c>
      <c r="Q145" s="74">
        <f t="shared" ca="1" si="59"/>
        <v>0.29940143971750738</v>
      </c>
      <c r="R145" s="74">
        <f t="shared" ca="1" si="59"/>
        <v>0.29663997602210629</v>
      </c>
      <c r="S145" s="74">
        <f t="shared" ca="1" si="59"/>
        <v>0.29624693787502432</v>
      </c>
      <c r="T145" s="74">
        <f t="shared" ca="1" si="59"/>
        <v>0.29109104234587579</v>
      </c>
      <c r="U145" s="74">
        <f t="shared" ca="1" si="59"/>
        <v>0.27962654297736844</v>
      </c>
      <c r="V145" s="74">
        <f t="shared" ca="1" si="59"/>
        <v>0.27557534703548153</v>
      </c>
      <c r="W145" s="74">
        <f t="shared" ca="1" si="59"/>
        <v>0.27238377030676431</v>
      </c>
      <c r="X145" s="74">
        <f t="shared" ca="1" si="59"/>
        <v>0.27365846302928992</v>
      </c>
      <c r="Y145" s="74"/>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ht="15">
      <c r="C146" s="73" t="s">
        <v>136</v>
      </c>
      <c r="D146" s="74"/>
      <c r="E146" s="74">
        <f ca="1">E145</f>
        <v>0.17999343004514345</v>
      </c>
      <c r="F146" s="74">
        <f t="shared" ref="F146:X146" ca="1" si="60">E146+F145</f>
        <v>0.43429818906585116</v>
      </c>
      <c r="G146" s="74">
        <f t="shared" ca="1" si="60"/>
        <v>0.72942503166148898</v>
      </c>
      <c r="H146" s="74">
        <f t="shared" ca="1" si="60"/>
        <v>1.047334502243892</v>
      </c>
      <c r="I146" s="74">
        <f t="shared" ca="1" si="60"/>
        <v>1.375340452995085</v>
      </c>
      <c r="J146" s="74">
        <f t="shared" ca="1" si="60"/>
        <v>1.6962006547443185</v>
      </c>
      <c r="K146" s="74">
        <f t="shared" ca="1" si="60"/>
        <v>2.0111790974833461</v>
      </c>
      <c r="L146" s="74">
        <f t="shared" ca="1" si="60"/>
        <v>2.3253518830809736</v>
      </c>
      <c r="M146" s="74">
        <f t="shared" ca="1" si="60"/>
        <v>2.636410846990298</v>
      </c>
      <c r="N146" s="74">
        <f t="shared" ca="1" si="60"/>
        <v>2.9510905344859557</v>
      </c>
      <c r="O146" s="74">
        <f t="shared" ca="1" si="60"/>
        <v>3.2650985252419238</v>
      </c>
      <c r="P146" s="74">
        <f t="shared" ca="1" si="60"/>
        <v>3.5734001016591197</v>
      </c>
      <c r="Q146" s="74">
        <f t="shared" ca="1" si="60"/>
        <v>3.872801541376627</v>
      </c>
      <c r="R146" s="74">
        <f t="shared" ca="1" si="60"/>
        <v>4.1694415173987336</v>
      </c>
      <c r="S146" s="74">
        <f t="shared" ca="1" si="60"/>
        <v>4.4656884552737584</v>
      </c>
      <c r="T146" s="74">
        <f t="shared" ca="1" si="60"/>
        <v>4.7567794976196343</v>
      </c>
      <c r="U146" s="74">
        <f t="shared" ca="1" si="60"/>
        <v>5.0364060405970026</v>
      </c>
      <c r="V146" s="74">
        <f t="shared" ca="1" si="60"/>
        <v>5.3119813876324837</v>
      </c>
      <c r="W146" s="74">
        <f t="shared" ca="1" si="60"/>
        <v>5.5843651579392484</v>
      </c>
      <c r="X146" s="74">
        <f t="shared" ca="1" si="60"/>
        <v>5.8580236209685381</v>
      </c>
      <c r="Y146" s="74">
        <f ca="1">SUM(Y112:Y143)</f>
        <v>5.8580236209685381</v>
      </c>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row>
    <row r="149" spans="1:80">
      <c r="A149" s="9" t="s">
        <v>140</v>
      </c>
    </row>
    <row r="151" spans="1:80">
      <c r="E151" s="42"/>
      <c r="F151" s="42"/>
      <c r="G151" s="42"/>
      <c r="H151" s="42"/>
      <c r="I151" s="42"/>
      <c r="J151" s="42"/>
      <c r="K151" s="42"/>
      <c r="L151" s="42"/>
      <c r="M151" s="42"/>
      <c r="N151" s="42"/>
      <c r="O151" s="42"/>
      <c r="P151" s="42"/>
      <c r="Q151" s="42"/>
      <c r="R151" s="42"/>
      <c r="S151" s="42"/>
      <c r="T151" s="42"/>
      <c r="U151" s="42"/>
      <c r="V151" s="42"/>
      <c r="W151" s="42"/>
      <c r="X151" s="42"/>
      <c r="Y151" s="42"/>
    </row>
    <row r="152" spans="1:80">
      <c r="E152" s="42"/>
      <c r="F152" s="42"/>
      <c r="G152" s="42"/>
      <c r="H152" s="42"/>
      <c r="I152" s="42"/>
      <c r="J152" s="42"/>
      <c r="K152" s="42"/>
      <c r="L152" s="42"/>
      <c r="M152" s="42"/>
      <c r="N152" s="42"/>
      <c r="O152" s="42"/>
      <c r="P152" s="42"/>
      <c r="Q152" s="42"/>
      <c r="R152" s="42"/>
      <c r="S152" s="42"/>
      <c r="T152" s="42"/>
      <c r="U152" s="42"/>
      <c r="V152" s="42"/>
      <c r="W152" s="42"/>
      <c r="X152" s="42"/>
      <c r="Y152" s="42"/>
    </row>
    <row r="153" spans="1:80" ht="15">
      <c r="A153" s="63" t="s">
        <v>141</v>
      </c>
      <c r="E153" s="42"/>
      <c r="F153" s="42"/>
      <c r="G153" s="42"/>
      <c r="H153" s="42"/>
      <c r="I153" s="42"/>
      <c r="J153" s="42"/>
      <c r="K153" s="42"/>
      <c r="L153" s="42"/>
      <c r="M153" s="42"/>
      <c r="N153" s="42"/>
      <c r="O153" s="42"/>
      <c r="P153" s="42"/>
      <c r="Q153" s="42"/>
      <c r="R153" s="42"/>
      <c r="S153" s="42"/>
      <c r="T153" s="42"/>
      <c r="U153" s="42"/>
      <c r="V153" s="42"/>
      <c r="W153" s="42"/>
      <c r="X153" s="42"/>
      <c r="Y153" s="42"/>
    </row>
    <row r="154" spans="1:80">
      <c r="A154" s="9" t="s">
        <v>142</v>
      </c>
      <c r="C154"/>
      <c r="D154"/>
      <c r="E154" s="9" t="s">
        <v>143</v>
      </c>
    </row>
    <row r="155" spans="1:80" ht="15">
      <c r="C155" s="53"/>
      <c r="D155" s="53"/>
      <c r="E155" s="72" t="str">
        <f>E12</f>
        <v>HOMES_2016</v>
      </c>
      <c r="F155" s="72" t="str">
        <f t="shared" ref="F155:X155" si="61">F12</f>
        <v>HOMES_2017</v>
      </c>
      <c r="G155" s="72" t="str">
        <f t="shared" si="61"/>
        <v>HOMES_2018</v>
      </c>
      <c r="H155" s="72" t="str">
        <f t="shared" si="61"/>
        <v>HOMES_2019</v>
      </c>
      <c r="I155" s="72" t="str">
        <f t="shared" si="61"/>
        <v>HOMES_2020</v>
      </c>
      <c r="J155" s="72" t="str">
        <f t="shared" si="61"/>
        <v>HOMES_2021</v>
      </c>
      <c r="K155" s="72" t="str">
        <f t="shared" si="61"/>
        <v>HOMES_2022</v>
      </c>
      <c r="L155" s="72" t="str">
        <f t="shared" si="61"/>
        <v>HOMES_2023</v>
      </c>
      <c r="M155" s="72" t="str">
        <f t="shared" si="61"/>
        <v>HOMES_2024</v>
      </c>
      <c r="N155" s="72" t="str">
        <f t="shared" si="61"/>
        <v>HOMES_2025</v>
      </c>
      <c r="O155" s="72" t="str">
        <f t="shared" si="61"/>
        <v>HOMES_2026</v>
      </c>
      <c r="P155" s="72" t="str">
        <f t="shared" si="61"/>
        <v>HOMES_2027</v>
      </c>
      <c r="Q155" s="72" t="str">
        <f t="shared" si="61"/>
        <v>HOMES_2028</v>
      </c>
      <c r="R155" s="72" t="str">
        <f t="shared" si="61"/>
        <v>HOMES_2029</v>
      </c>
      <c r="S155" s="72" t="str">
        <f t="shared" si="61"/>
        <v>HOMES_2030</v>
      </c>
      <c r="T155" s="72" t="str">
        <f t="shared" si="61"/>
        <v>HOMES_2031</v>
      </c>
      <c r="U155" s="72" t="str">
        <f t="shared" si="61"/>
        <v>HOMES_2032</v>
      </c>
      <c r="V155" s="72" t="str">
        <f t="shared" si="61"/>
        <v>HOMES_2033</v>
      </c>
      <c r="W155" s="72" t="str">
        <f t="shared" si="61"/>
        <v>HOMES_2034</v>
      </c>
      <c r="X155" s="72" t="str">
        <f t="shared" si="61"/>
        <v>HOMES_2035</v>
      </c>
      <c r="Y155" s="72"/>
    </row>
    <row r="156" spans="1:80">
      <c r="C156" s="9" t="str">
        <f>C13</f>
        <v>Single Family</v>
      </c>
      <c r="E156" s="42">
        <f ca="1">(E13-E41/$B27)+(E13-E45/$B31)</f>
        <v>98889.942677925734</v>
      </c>
      <c r="F156" s="42">
        <f t="shared" ref="F156:X159" ca="1" si="62">(F13-F41/$B27)+(F13-F45/$B31)</f>
        <v>81797.315747468529</v>
      </c>
      <c r="G156" s="42">
        <f t="shared" ca="1" si="62"/>
        <v>68745.584920655354</v>
      </c>
      <c r="H156" s="42">
        <f t="shared" ca="1" si="62"/>
        <v>60415.046406380774</v>
      </c>
      <c r="I156" s="42">
        <f t="shared" ca="1" si="62"/>
        <v>54314.362628191215</v>
      </c>
      <c r="J156" s="42">
        <f t="shared" ca="1" si="62"/>
        <v>50420.773797307222</v>
      </c>
      <c r="K156" s="42">
        <f t="shared" ca="1" si="62"/>
        <v>48579.662156561229</v>
      </c>
      <c r="L156" s="42">
        <f t="shared" ca="1" si="62"/>
        <v>48319.731700516699</v>
      </c>
      <c r="M156" s="42">
        <f t="shared" ca="1" si="62"/>
        <v>47963.997564310383</v>
      </c>
      <c r="N156" s="42">
        <f t="shared" ca="1" si="62"/>
        <v>49027.024637621973</v>
      </c>
      <c r="O156" s="42">
        <f t="shared" ca="1" si="62"/>
        <v>49604.189734328058</v>
      </c>
      <c r="P156" s="42">
        <f t="shared" ca="1" si="62"/>
        <v>49206.210715463189</v>
      </c>
      <c r="Q156" s="42">
        <f t="shared" ca="1" si="62"/>
        <v>48137.210909276335</v>
      </c>
      <c r="R156" s="42">
        <f t="shared" ca="1" si="62"/>
        <v>48422.371921076716</v>
      </c>
      <c r="S156" s="42">
        <f t="shared" ca="1" si="62"/>
        <v>49225.594764916845</v>
      </c>
      <c r="T156" s="42">
        <f t="shared" ca="1" si="62"/>
        <v>49308.106440950083</v>
      </c>
      <c r="U156" s="42">
        <f t="shared" ca="1" si="62"/>
        <v>47959.773616453473</v>
      </c>
      <c r="V156" s="42">
        <f t="shared" ca="1" si="62"/>
        <v>48160.048684194684</v>
      </c>
      <c r="W156" s="42">
        <f t="shared" ca="1" si="62"/>
        <v>48565.419653684417</v>
      </c>
      <c r="X156" s="42">
        <f t="shared" ca="1" si="62"/>
        <v>48895.124302316122</v>
      </c>
      <c r="Y156" s="42"/>
      <c r="AA156" s="42">
        <f t="shared" ref="AA156:AA159" ca="1" si="63">SUM(E156:Y156)</f>
        <v>1095957.4929795989</v>
      </c>
    </row>
    <row r="157" spans="1:80">
      <c r="C157" s="9" t="str">
        <f>C14</f>
        <v>Multifamily - Low Rise</v>
      </c>
      <c r="E157" s="42">
        <f t="shared" ref="E157:T159" ca="1" si="64">(E14-E42/$B28)+(E14-E46/$B32)</f>
        <v>36725.920321562458</v>
      </c>
      <c r="F157" s="42">
        <f t="shared" ca="1" si="64"/>
        <v>31399.384493118079</v>
      </c>
      <c r="G157" s="42">
        <f t="shared" ca="1" si="64"/>
        <v>27592.586129867297</v>
      </c>
      <c r="H157" s="42">
        <f t="shared" ca="1" si="64"/>
        <v>24266.926969167042</v>
      </c>
      <c r="I157" s="42">
        <f t="shared" ca="1" si="64"/>
        <v>21131.78555779604</v>
      </c>
      <c r="J157" s="42">
        <f t="shared" ca="1" si="64"/>
        <v>19849.319792844937</v>
      </c>
      <c r="K157" s="42">
        <f t="shared" ca="1" si="64"/>
        <v>19493.777031994621</v>
      </c>
      <c r="L157" s="42">
        <f t="shared" ca="1" si="64"/>
        <v>19844.917401908999</v>
      </c>
      <c r="M157" s="42">
        <f t="shared" ca="1" si="64"/>
        <v>20388.300781185582</v>
      </c>
      <c r="N157" s="42">
        <f t="shared" ca="1" si="64"/>
        <v>21032.809846415261</v>
      </c>
      <c r="O157" s="42">
        <f t="shared" ca="1" si="64"/>
        <v>21221.062648217769</v>
      </c>
      <c r="P157" s="42">
        <f t="shared" ca="1" si="64"/>
        <v>21330.436283865663</v>
      </c>
      <c r="Q157" s="42">
        <f t="shared" ca="1" si="64"/>
        <v>21469.166005685445</v>
      </c>
      <c r="R157" s="42">
        <f t="shared" ca="1" si="64"/>
        <v>21339.128456190541</v>
      </c>
      <c r="S157" s="42">
        <f t="shared" ca="1" si="64"/>
        <v>21184.428426275736</v>
      </c>
      <c r="T157" s="42">
        <f t="shared" ca="1" si="64"/>
        <v>20874.810359969102</v>
      </c>
      <c r="U157" s="42">
        <f t="shared" ca="1" si="62"/>
        <v>20640.642087406752</v>
      </c>
      <c r="V157" s="42">
        <f t="shared" ca="1" si="62"/>
        <v>20499.143676857857</v>
      </c>
      <c r="W157" s="42">
        <f t="shared" ca="1" si="62"/>
        <v>20222.32418684203</v>
      </c>
      <c r="X157" s="42">
        <f t="shared" ca="1" si="62"/>
        <v>20145.821562668971</v>
      </c>
      <c r="Y157" s="42"/>
      <c r="AA157" s="42">
        <f t="shared" ca="1" si="63"/>
        <v>450652.69201984018</v>
      </c>
    </row>
    <row r="158" spans="1:80">
      <c r="C158" s="9" t="str">
        <f>C15</f>
        <v>Multifamily - High Rise</v>
      </c>
      <c r="E158" s="42">
        <f t="shared" ca="1" si="64"/>
        <v>8244.6548909790672</v>
      </c>
      <c r="F158" s="42">
        <f t="shared" ca="1" si="62"/>
        <v>7148.121575637786</v>
      </c>
      <c r="G158" s="42">
        <f t="shared" ca="1" si="62"/>
        <v>6376.0401024482135</v>
      </c>
      <c r="H158" s="42">
        <f t="shared" ca="1" si="62"/>
        <v>5478.2455020142579</v>
      </c>
      <c r="I158" s="42">
        <f t="shared" ca="1" si="62"/>
        <v>4678.088407543416</v>
      </c>
      <c r="J158" s="42">
        <f t="shared" ca="1" si="62"/>
        <v>4459.9896853416594</v>
      </c>
      <c r="K158" s="42">
        <f t="shared" ca="1" si="62"/>
        <v>4392.959480902955</v>
      </c>
      <c r="L158" s="42">
        <f t="shared" ca="1" si="62"/>
        <v>4527.6802789527901</v>
      </c>
      <c r="M158" s="42">
        <f t="shared" ca="1" si="62"/>
        <v>4618.9522659357672</v>
      </c>
      <c r="N158" s="42">
        <f t="shared" ca="1" si="62"/>
        <v>4764.4667142164999</v>
      </c>
      <c r="O158" s="42">
        <f t="shared" ca="1" si="62"/>
        <v>4749.2435342544604</v>
      </c>
      <c r="P158" s="42">
        <f t="shared" ca="1" si="62"/>
        <v>4764.4858476388199</v>
      </c>
      <c r="Q158" s="42">
        <f t="shared" ca="1" si="62"/>
        <v>4754.1056628784772</v>
      </c>
      <c r="R158" s="42">
        <f t="shared" ca="1" si="62"/>
        <v>4762.3304211262503</v>
      </c>
      <c r="S158" s="42">
        <f t="shared" ca="1" si="62"/>
        <v>4750.3277926769515</v>
      </c>
      <c r="T158" s="42">
        <f t="shared" ca="1" si="62"/>
        <v>4677.5849343804512</v>
      </c>
      <c r="U158" s="42">
        <f t="shared" ca="1" si="62"/>
        <v>4630.6623116773071</v>
      </c>
      <c r="V158" s="42">
        <f t="shared" ca="1" si="62"/>
        <v>4550.6877778993839</v>
      </c>
      <c r="W158" s="42">
        <f t="shared" ca="1" si="62"/>
        <v>4559.896647474573</v>
      </c>
      <c r="X158" s="42">
        <f t="shared" ca="1" si="62"/>
        <v>4539.1231518453969</v>
      </c>
      <c r="Y158" s="42"/>
      <c r="AA158" s="42">
        <f t="shared" ca="1" si="63"/>
        <v>101427.64698582447</v>
      </c>
    </row>
    <row r="159" spans="1:80">
      <c r="C159" s="9" t="str">
        <f>C16</f>
        <v>Manufactured</v>
      </c>
      <c r="E159" s="42">
        <f t="shared" ca="1" si="64"/>
        <v>2949.3493831934984</v>
      </c>
      <c r="F159" s="42">
        <f t="shared" ca="1" si="62"/>
        <v>2567.0666221456158</v>
      </c>
      <c r="G159" s="42">
        <f t="shared" ca="1" si="62"/>
        <v>2357.6438443411707</v>
      </c>
      <c r="H159" s="42">
        <f t="shared" ca="1" si="62"/>
        <v>2220.7919127981299</v>
      </c>
      <c r="I159" s="42">
        <f t="shared" ca="1" si="62"/>
        <v>1989.055374663111</v>
      </c>
      <c r="J159" s="42">
        <f t="shared" ca="1" si="62"/>
        <v>1907.3441772403901</v>
      </c>
      <c r="K159" s="42">
        <f t="shared" ca="1" si="62"/>
        <v>1896.6250529205524</v>
      </c>
      <c r="L159" s="42">
        <f t="shared" ca="1" si="62"/>
        <v>1906.2232124402544</v>
      </c>
      <c r="M159" s="42">
        <f t="shared" ca="1" si="62"/>
        <v>1922.4007845975382</v>
      </c>
      <c r="N159" s="42">
        <f t="shared" ca="1" si="62"/>
        <v>1931.9154878738641</v>
      </c>
      <c r="O159" s="42">
        <f t="shared" ca="1" si="62"/>
        <v>1930.6257112191806</v>
      </c>
      <c r="P159" s="42">
        <f t="shared" ca="1" si="62"/>
        <v>1938.0029567423653</v>
      </c>
      <c r="Q159" s="42">
        <f t="shared" ca="1" si="62"/>
        <v>1950.2606647851492</v>
      </c>
      <c r="R159" s="42">
        <f t="shared" ca="1" si="62"/>
        <v>1961.9596536398051</v>
      </c>
      <c r="S159" s="42">
        <f t="shared" ca="1" si="62"/>
        <v>1972.2128021612536</v>
      </c>
      <c r="T159" s="42">
        <f t="shared" ca="1" si="62"/>
        <v>1983.0051043868425</v>
      </c>
      <c r="U159" s="42">
        <f t="shared" ca="1" si="62"/>
        <v>1993.4118885088553</v>
      </c>
      <c r="V159" s="42">
        <f t="shared" ca="1" si="62"/>
        <v>2005.3882314632881</v>
      </c>
      <c r="W159" s="42">
        <f t="shared" ca="1" si="62"/>
        <v>2017.7579003749834</v>
      </c>
      <c r="X159" s="42">
        <f t="shared" ca="1" si="62"/>
        <v>2017.9960493660178</v>
      </c>
      <c r="Y159" s="42"/>
      <c r="AA159" s="42">
        <f t="shared" ca="1" si="63"/>
        <v>41419.036814861865</v>
      </c>
    </row>
    <row r="160" spans="1:80">
      <c r="E160" s="42"/>
      <c r="F160" s="42"/>
      <c r="G160" s="42"/>
      <c r="H160" s="42"/>
      <c r="I160" s="42"/>
      <c r="J160" s="42"/>
      <c r="K160" s="42"/>
      <c r="L160" s="42"/>
      <c r="M160" s="42"/>
      <c r="N160" s="42"/>
      <c r="O160" s="42"/>
      <c r="P160" s="42"/>
      <c r="Q160" s="42"/>
      <c r="R160" s="42"/>
      <c r="S160" s="42"/>
      <c r="T160" s="42"/>
      <c r="U160" s="42"/>
      <c r="V160" s="42"/>
      <c r="W160" s="42"/>
      <c r="X160" s="42"/>
      <c r="Y160" s="42"/>
    </row>
    <row r="161" spans="3:27">
      <c r="C161" s="9" t="s">
        <v>144</v>
      </c>
      <c r="E161" s="42">
        <f t="shared" ref="E161:X161" ca="1" si="65">SUM(E156:E159)</f>
        <v>146809.86727366076</v>
      </c>
      <c r="F161" s="42">
        <f t="shared" ca="1" si="65"/>
        <v>122911.88843837002</v>
      </c>
      <c r="G161" s="42">
        <f t="shared" ca="1" si="65"/>
        <v>105071.85499731204</v>
      </c>
      <c r="H161" s="42">
        <f t="shared" ca="1" si="65"/>
        <v>92381.010790360204</v>
      </c>
      <c r="I161" s="42">
        <f t="shared" ca="1" si="65"/>
        <v>82113.291968193778</v>
      </c>
      <c r="J161" s="42">
        <f t="shared" ca="1" si="65"/>
        <v>76637.427452734206</v>
      </c>
      <c r="K161" s="42">
        <f t="shared" ca="1" si="65"/>
        <v>74363.023722379352</v>
      </c>
      <c r="L161" s="42">
        <f t="shared" ca="1" si="65"/>
        <v>74598.552593818735</v>
      </c>
      <c r="M161" s="42">
        <f t="shared" ca="1" si="65"/>
        <v>74893.651396029265</v>
      </c>
      <c r="N161" s="42">
        <f t="shared" ca="1" si="65"/>
        <v>76756.216686127591</v>
      </c>
      <c r="O161" s="42">
        <f t="shared" ca="1" si="65"/>
        <v>77505.121628019464</v>
      </c>
      <c r="P161" s="42">
        <f t="shared" ca="1" si="65"/>
        <v>77239.135803710029</v>
      </c>
      <c r="Q161" s="42">
        <f t="shared" ca="1" si="65"/>
        <v>76310.743242625409</v>
      </c>
      <c r="R161" s="42">
        <f t="shared" ca="1" si="65"/>
        <v>76485.790452033296</v>
      </c>
      <c r="S161" s="42">
        <f t="shared" ca="1" si="65"/>
        <v>77132.563786030791</v>
      </c>
      <c r="T161" s="42">
        <f t="shared" ca="1" si="65"/>
        <v>76843.506839686495</v>
      </c>
      <c r="U161" s="42">
        <f t="shared" ca="1" si="65"/>
        <v>75224.489904046393</v>
      </c>
      <c r="V161" s="42">
        <f t="shared" ca="1" si="65"/>
        <v>75215.268370415215</v>
      </c>
      <c r="W161" s="42">
        <f t="shared" ca="1" si="65"/>
        <v>75365.398388375994</v>
      </c>
      <c r="X161" s="42">
        <f t="shared" ca="1" si="65"/>
        <v>75598.065066196505</v>
      </c>
      <c r="Y161" s="42"/>
      <c r="AA161" s="42">
        <f ca="1">SUM(E161:Y161)</f>
        <v>1689456.8688001256</v>
      </c>
    </row>
  </sheetData>
  <mergeCells count="1">
    <mergeCell ref="B1:T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6"/>
  <dimension ref="A1:CC179"/>
  <sheetViews>
    <sheetView topLeftCell="C1" workbookViewId="0">
      <selection activeCell="H14" sqref="H14"/>
    </sheetView>
  </sheetViews>
  <sheetFormatPr defaultRowHeight="12.75"/>
  <cols>
    <col min="1" max="1" width="35" style="9" customWidth="1"/>
    <col min="2" max="2" width="30.140625" style="9" customWidth="1"/>
    <col min="3" max="3" width="19.85546875" style="9" customWidth="1"/>
    <col min="4" max="4" width="36.140625" style="9" bestFit="1" customWidth="1"/>
    <col min="5" max="5" width="22.42578125" style="9" customWidth="1"/>
    <col min="6"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50" t="s">
        <v>53</v>
      </c>
      <c r="B1" s="421" t="s">
        <v>306</v>
      </c>
      <c r="C1" s="421"/>
      <c r="D1" s="421"/>
      <c r="E1" s="421"/>
      <c r="F1" s="421"/>
      <c r="G1" s="421"/>
      <c r="H1" s="421"/>
      <c r="I1" s="421"/>
      <c r="J1" s="421"/>
      <c r="K1" s="421"/>
      <c r="L1" s="421"/>
      <c r="M1" s="421"/>
      <c r="N1" s="421"/>
      <c r="O1" s="421"/>
      <c r="P1" s="421"/>
      <c r="Q1" s="421"/>
      <c r="R1" s="421"/>
      <c r="S1" s="421"/>
    </row>
    <row r="2" spans="1:68">
      <c r="A2" s="51" t="s">
        <v>149</v>
      </c>
      <c r="B2" s="421"/>
      <c r="C2" s="421"/>
      <c r="D2" s="421"/>
      <c r="E2" s="421"/>
      <c r="F2" s="421"/>
      <c r="G2" s="421"/>
      <c r="H2" s="421"/>
      <c r="I2" s="421"/>
      <c r="J2" s="421"/>
      <c r="K2" s="421"/>
      <c r="L2" s="421"/>
      <c r="M2" s="421"/>
      <c r="N2" s="421"/>
      <c r="O2" s="421"/>
      <c r="P2" s="421"/>
      <c r="Q2" s="421"/>
      <c r="R2" s="421"/>
      <c r="S2" s="421"/>
    </row>
    <row r="3" spans="1:68">
      <c r="B3" s="421"/>
      <c r="C3" s="421"/>
      <c r="D3" s="421"/>
      <c r="E3" s="421"/>
      <c r="F3" s="421"/>
      <c r="G3" s="421"/>
      <c r="H3" s="421"/>
      <c r="I3" s="421"/>
      <c r="J3" s="421"/>
      <c r="K3" s="421"/>
      <c r="L3" s="421"/>
      <c r="M3" s="421"/>
      <c r="N3" s="421"/>
      <c r="O3" s="421"/>
      <c r="P3" s="421"/>
      <c r="Q3" s="421"/>
      <c r="R3" s="421"/>
      <c r="S3" s="421"/>
    </row>
    <row r="4" spans="1:68">
      <c r="B4" s="421"/>
      <c r="C4" s="421"/>
      <c r="D4" s="421"/>
      <c r="E4" s="421"/>
      <c r="F4" s="421"/>
      <c r="G4" s="421"/>
      <c r="H4" s="421"/>
      <c r="I4" s="421"/>
      <c r="J4" s="421"/>
      <c r="K4" s="421"/>
      <c r="L4" s="421"/>
      <c r="M4" s="421"/>
      <c r="N4" s="421"/>
      <c r="O4" s="421"/>
      <c r="P4" s="421"/>
      <c r="Q4" s="421"/>
      <c r="R4" s="421"/>
      <c r="S4" s="421"/>
    </row>
    <row r="5" spans="1:68">
      <c r="B5" s="421"/>
      <c r="C5" s="421"/>
      <c r="D5" s="421"/>
      <c r="E5" s="421"/>
      <c r="F5" s="421"/>
      <c r="G5" s="421"/>
      <c r="H5" s="421"/>
      <c r="I5" s="421"/>
      <c r="J5" s="421"/>
      <c r="K5" s="421"/>
      <c r="L5" s="421"/>
      <c r="M5" s="421"/>
      <c r="N5" s="421"/>
      <c r="O5" s="421"/>
      <c r="P5" s="421"/>
      <c r="Q5" s="421"/>
      <c r="R5" s="421"/>
      <c r="S5" s="421"/>
    </row>
    <row r="6" spans="1:68">
      <c r="B6" s="421"/>
      <c r="C6" s="421"/>
      <c r="D6" s="421"/>
      <c r="E6" s="421"/>
      <c r="F6" s="421"/>
      <c r="G6" s="421"/>
      <c r="H6" s="421"/>
      <c r="I6" s="421"/>
      <c r="J6" s="421"/>
      <c r="K6" s="421"/>
      <c r="L6" s="421"/>
      <c r="M6" s="421"/>
      <c r="N6" s="421"/>
      <c r="O6" s="421"/>
      <c r="P6" s="421"/>
      <c r="Q6" s="421"/>
      <c r="R6" s="421"/>
      <c r="S6" s="421"/>
    </row>
    <row r="7" spans="1:68">
      <c r="A7" s="406"/>
      <c r="B7" s="406" t="s">
        <v>47</v>
      </c>
      <c r="C7" s="61" t="s">
        <v>305</v>
      </c>
      <c r="D7" s="61" t="s">
        <v>339</v>
      </c>
    </row>
    <row r="8" spans="1:68">
      <c r="A8" s="406" t="s">
        <v>580</v>
      </c>
      <c r="B8" s="406" t="s">
        <v>54</v>
      </c>
      <c r="C8" s="61" t="str">
        <f>[2]MLIST!$B$38</f>
        <v>Monitor</v>
      </c>
      <c r="D8" s="61" t="str">
        <f>[1]!switch_ForecastState</f>
        <v>Region</v>
      </c>
    </row>
    <row r="9" spans="1:68">
      <c r="A9" s="406" t="str">
        <f>INDEX([2]ACHIEV!$A$19:$B$100,MATCH(CONCATENATE($C$8," - ",$C$7),[2]ACHIEV!$B$19:$B$100,0),1)</f>
        <v>Electronics</v>
      </c>
      <c r="B9" s="407" t="s">
        <v>55</v>
      </c>
      <c r="C9" s="61">
        <f>[2]FILES!$H$4</f>
        <v>2035</v>
      </c>
      <c r="D9" s="61" t="str">
        <f>[1]!switch_ForecastScenario</f>
        <v>Base</v>
      </c>
    </row>
    <row r="10" spans="1:68">
      <c r="A10" s="406"/>
      <c r="B10" s="406" t="s">
        <v>606</v>
      </c>
      <c r="C10" s="420">
        <f ca="1">MIN(SUM(F90:Y90),Z90)</f>
        <v>6.0780585034919685</v>
      </c>
      <c r="D10" s="62"/>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3" t="str">
        <f>CONCATENATE("# OF EXISTING HOMES FOR MEASURE -",$C$8)</f>
        <v># OF EXISTING HOMES FOR MEASURE -Monitor</v>
      </c>
      <c r="C11" s="9" t="s">
        <v>146</v>
      </c>
      <c r="F11" s="66">
        <v>2016</v>
      </c>
      <c r="G11" s="67">
        <v>2017</v>
      </c>
      <c r="H11" s="67">
        <v>2018</v>
      </c>
      <c r="I11" s="67">
        <v>2019</v>
      </c>
      <c r="J11" s="67">
        <v>2020</v>
      </c>
      <c r="K11" s="67">
        <v>2021</v>
      </c>
      <c r="L11" s="67">
        <v>2022</v>
      </c>
      <c r="M11" s="67">
        <v>2023</v>
      </c>
      <c r="N11" s="67">
        <v>2024</v>
      </c>
      <c r="O11" s="67">
        <v>2025</v>
      </c>
      <c r="P11" s="67">
        <v>2026</v>
      </c>
      <c r="Q11" s="67">
        <v>2027</v>
      </c>
      <c r="R11" s="67">
        <v>2028</v>
      </c>
      <c r="S11" s="67">
        <v>2029</v>
      </c>
      <c r="T11" s="67">
        <v>2030</v>
      </c>
      <c r="U11" s="67">
        <v>2031</v>
      </c>
      <c r="V11" s="67">
        <v>2032</v>
      </c>
      <c r="W11" s="67">
        <v>2033</v>
      </c>
      <c r="X11" s="67">
        <v>2034</v>
      </c>
      <c r="Y11" s="67">
        <v>2035</v>
      </c>
      <c r="Z11" s="67"/>
      <c r="AA11" s="52"/>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F12" s="69" t="str">
        <f>CONCATENATE("HOMES_",F11)</f>
        <v>HOMES_2016</v>
      </c>
      <c r="G12" s="70" t="str">
        <f t="shared" ref="G12:Y12" si="0">CONCATENATE("HOMES_",G11)</f>
        <v>HOMES_2017</v>
      </c>
      <c r="H12" s="70" t="str">
        <f t="shared" si="0"/>
        <v>HOMES_2018</v>
      </c>
      <c r="I12" s="70" t="str">
        <f t="shared" si="0"/>
        <v>HOMES_2019</v>
      </c>
      <c r="J12" s="70" t="str">
        <f t="shared" si="0"/>
        <v>HOMES_2020</v>
      </c>
      <c r="K12" s="70" t="str">
        <f t="shared" si="0"/>
        <v>HOMES_2021</v>
      </c>
      <c r="L12" s="70" t="str">
        <f t="shared" si="0"/>
        <v>HOMES_2022</v>
      </c>
      <c r="M12" s="70" t="str">
        <f t="shared" si="0"/>
        <v>HOMES_2023</v>
      </c>
      <c r="N12" s="70" t="str">
        <f t="shared" si="0"/>
        <v>HOMES_2024</v>
      </c>
      <c r="O12" s="70" t="str">
        <f t="shared" si="0"/>
        <v>HOMES_2025</v>
      </c>
      <c r="P12" s="70" t="str">
        <f t="shared" si="0"/>
        <v>HOMES_2026</v>
      </c>
      <c r="Q12" s="70" t="str">
        <f t="shared" si="0"/>
        <v>HOMES_2027</v>
      </c>
      <c r="R12" s="70" t="str">
        <f t="shared" si="0"/>
        <v>HOMES_2028</v>
      </c>
      <c r="S12" s="70" t="str">
        <f t="shared" si="0"/>
        <v>HOMES_2029</v>
      </c>
      <c r="T12" s="70" t="str">
        <f t="shared" si="0"/>
        <v>HOMES_2030</v>
      </c>
      <c r="U12" s="70" t="str">
        <f t="shared" si="0"/>
        <v>HOMES_2031</v>
      </c>
      <c r="V12" s="70" t="str">
        <f t="shared" si="0"/>
        <v>HOMES_2032</v>
      </c>
      <c r="W12" s="70" t="str">
        <f t="shared" si="0"/>
        <v>HOMES_2033</v>
      </c>
      <c r="X12" s="70" t="str">
        <f t="shared" si="0"/>
        <v>HOMES_2034</v>
      </c>
      <c r="Y12" s="70" t="str">
        <f t="shared" si="0"/>
        <v>HOMES_2035</v>
      </c>
      <c r="Z12" s="71"/>
      <c r="AA12" s="50"/>
    </row>
    <row r="13" spans="1:68">
      <c r="C13" s="9" t="s">
        <v>48</v>
      </c>
      <c r="F13" s="42">
        <f ca="1">INDEX([1]!tbl_Forecast,MATCH($D$8&amp;$C13&amp;$D$7,[1]!rng_ForecastRowLookup,0),MATCH(F$11,[1]!rng_ForecastColumnLookup,0))</f>
        <v>4203528.2719999999</v>
      </c>
      <c r="G13" s="42">
        <f ca="1">INDEX([1]!tbl_Forecast,MATCH($D$8&amp;$C13&amp;$D$7,[1]!rng_ForecastRowLookup,0),MATCH(G$11,[1]!rng_ForecastColumnLookup,0))</f>
        <v>4193982.9785983553</v>
      </c>
      <c r="H13" s="42">
        <f ca="1">INDEX([1]!tbl_Forecast,MATCH($D$8&amp;$C13&amp;$D$7,[1]!rng_ForecastRowLookup,0),MATCH(H$11,[1]!rng_ForecastColumnLookup,0))</f>
        <v>4184459.3604704877</v>
      </c>
      <c r="I13" s="42">
        <f ca="1">INDEX([1]!tbl_Forecast,MATCH($D$8&amp;$C13&amp;$D$7,[1]!rng_ForecastRowLookup,0),MATCH(I$11,[1]!rng_ForecastColumnLookup,0))</f>
        <v>4174957.36839659</v>
      </c>
      <c r="J13" s="42">
        <f ca="1">INDEX([1]!tbl_Forecast,MATCH($D$8&amp;$C13&amp;$D$7,[1]!rng_ForecastRowLookup,0),MATCH(J$11,[1]!rng_ForecastColumnLookup,0))</f>
        <v>4165476.9532686244</v>
      </c>
      <c r="K13" s="42">
        <f ca="1">INDEX([1]!tbl_Forecast,MATCH($D$8&amp;$C13&amp;$D$7,[1]!rng_ForecastRowLookup,0),MATCH(K$11,[1]!rng_ForecastColumnLookup,0))</f>
        <v>4156018.0660900641</v>
      </c>
      <c r="L13" s="42">
        <f ca="1">INDEX([1]!tbl_Forecast,MATCH($D$8&amp;$C13&amp;$D$7,[1]!rng_ForecastRowLookup,0),MATCH(L$11,[1]!rng_ForecastColumnLookup,0))</f>
        <v>4146580.6579756448</v>
      </c>
      <c r="M13" s="42">
        <f ca="1">INDEX([1]!tbl_Forecast,MATCH($D$8&amp;$C13&amp;$D$7,[1]!rng_ForecastRowLookup,0),MATCH(M$11,[1]!rng_ForecastColumnLookup,0))</f>
        <v>4137164.6801511091</v>
      </c>
      <c r="N13" s="42">
        <f ca="1">INDEX([1]!tbl_Forecast,MATCH($D$8&amp;$C13&amp;$D$7,[1]!rng_ForecastRowLookup,0),MATCH(N$11,[1]!rng_ForecastColumnLookup,0))</f>
        <v>4127770.0839529554</v>
      </c>
      <c r="O13" s="42">
        <f ca="1">INDEX([1]!tbl_Forecast,MATCH($D$8&amp;$C13&amp;$D$7,[1]!rng_ForecastRowLookup,0),MATCH(O$11,[1]!rng_ForecastColumnLookup,0))</f>
        <v>4118396.8208281873</v>
      </c>
      <c r="P13" s="42">
        <f ca="1">INDEX([1]!tbl_Forecast,MATCH($D$8&amp;$C13&amp;$D$7,[1]!rng_ForecastRowLookup,0),MATCH(P$11,[1]!rng_ForecastColumnLookup,0))</f>
        <v>4109044.8423340586</v>
      </c>
      <c r="Q13" s="42">
        <f ca="1">INDEX([1]!tbl_Forecast,MATCH($D$8&amp;$C13&amp;$D$7,[1]!rng_ForecastRowLookup,0),MATCH(Q$11,[1]!rng_ForecastColumnLookup,0))</f>
        <v>4099714.1001378288</v>
      </c>
      <c r="R13" s="42">
        <f ca="1">INDEX([1]!tbl_Forecast,MATCH($D$8&amp;$C13&amp;$D$7,[1]!rng_ForecastRowLookup,0),MATCH(R$11,[1]!rng_ForecastColumnLookup,0))</f>
        <v>4090404.5460165106</v>
      </c>
      <c r="S13" s="42">
        <f ca="1">INDEX([1]!tbl_Forecast,MATCH($D$8&amp;$C13&amp;$D$7,[1]!rng_ForecastRowLookup,0),MATCH(S$11,[1]!rng_ForecastColumnLookup,0))</f>
        <v>4081116.1318566194</v>
      </c>
      <c r="T13" s="42">
        <f ca="1">INDEX([1]!tbl_Forecast,MATCH($D$8&amp;$C13&amp;$D$7,[1]!rng_ForecastRowLookup,0),MATCH(T$11,[1]!rng_ForecastColumnLookup,0))</f>
        <v>4071848.8096539262</v>
      </c>
      <c r="U13" s="42">
        <f ca="1">INDEX([1]!tbl_Forecast,MATCH($D$8&amp;$C13&amp;$D$7,[1]!rng_ForecastRowLookup,0),MATCH(U$11,[1]!rng_ForecastColumnLookup,0))</f>
        <v>4062602.5315132081</v>
      </c>
      <c r="V13" s="42">
        <f ca="1">INDEX([1]!tbl_Forecast,MATCH($D$8&amp;$C13&amp;$D$7,[1]!rng_ForecastRowLookup,0),MATCH(V$11,[1]!rng_ForecastColumnLookup,0))</f>
        <v>4053377.2496480034</v>
      </c>
      <c r="W13" s="42">
        <f ca="1">INDEX([1]!tbl_Forecast,MATCH($D$8&amp;$C13&amp;$D$7,[1]!rng_ForecastRowLookup,0),MATCH(W$11,[1]!rng_ForecastColumnLookup,0))</f>
        <v>4044172.9163803621</v>
      </c>
      <c r="X13" s="42">
        <f ca="1">INDEX([1]!tbl_Forecast,MATCH($D$8&amp;$C13&amp;$D$7,[1]!rng_ForecastRowLookup,0),MATCH(X$11,[1]!rng_ForecastColumnLookup,0))</f>
        <v>4034989.4841406001</v>
      </c>
      <c r="Y13" s="42">
        <f ca="1">INDEX([1]!tbl_Forecast,MATCH($D$8&amp;$C13&amp;$D$7,[1]!rng_ForecastRowLookup,0),MATCH(Y$11,[1]!rng_ForecastColumnLookup,0))</f>
        <v>4025826.9054670548</v>
      </c>
      <c r="Z13" s="42"/>
      <c r="AB13" s="54"/>
    </row>
    <row r="14" spans="1:68">
      <c r="C14" s="9" t="s">
        <v>49</v>
      </c>
      <c r="F14" s="42">
        <f ca="1">INDEX([1]!tbl_Forecast,MATCH($D$8&amp;$C14&amp;$D$7,[1]!rng_ForecastRowLookup,0),MATCH(F$11,[1]!rng_ForecastColumnLookup,0))</f>
        <v>926243.25609262148</v>
      </c>
      <c r="G14" s="42">
        <f ca="1">INDEX([1]!tbl_Forecast,MATCH($D$8&amp;$C14&amp;$D$7,[1]!rng_ForecastRowLookup,0),MATCH(G$11,[1]!rng_ForecastColumnLookup,0))</f>
        <v>924139.92640956037</v>
      </c>
      <c r="H14" s="42">
        <f ca="1">INDEX([1]!tbl_Forecast,MATCH($D$8&amp;$C14&amp;$D$7,[1]!rng_ForecastRowLookup,0),MATCH(H$11,[1]!rng_ForecastColumnLookup,0))</f>
        <v>922041.3730050053</v>
      </c>
      <c r="I14" s="42">
        <f ca="1">INDEX([1]!tbl_Forecast,MATCH($D$8&amp;$C14&amp;$D$7,[1]!rng_ForecastRowLookup,0),MATCH(I$11,[1]!rng_ForecastColumnLookup,0))</f>
        <v>919947.58503289847</v>
      </c>
      <c r="J14" s="42">
        <f ca="1">INDEX([1]!tbl_Forecast,MATCH($D$8&amp;$C14&amp;$D$7,[1]!rng_ForecastRowLookup,0),MATCH(J$11,[1]!rng_ForecastColumnLookup,0))</f>
        <v>917858.55167181045</v>
      </c>
      <c r="K14" s="42">
        <f ca="1">INDEX([1]!tbl_Forecast,MATCH($D$8&amp;$C14&amp;$D$7,[1]!rng_ForecastRowLookup,0),MATCH(K$11,[1]!rng_ForecastColumnLookup,0))</f>
        <v>915774.26212488639</v>
      </c>
      <c r="L14" s="42">
        <f ca="1">INDEX([1]!tbl_Forecast,MATCH($D$8&amp;$C14&amp;$D$7,[1]!rng_ForecastRowLookup,0),MATCH(L$11,[1]!rng_ForecastColumnLookup,0))</f>
        <v>913694.70561978838</v>
      </c>
      <c r="M14" s="42">
        <f ca="1">INDEX([1]!tbl_Forecast,MATCH($D$8&amp;$C14&amp;$D$7,[1]!rng_ForecastRowLookup,0),MATCH(M$11,[1]!rng_ForecastColumnLookup,0))</f>
        <v>911619.87140864041</v>
      </c>
      <c r="N14" s="42">
        <f ca="1">INDEX([1]!tbl_Forecast,MATCH($D$8&amp;$C14&amp;$D$7,[1]!rng_ForecastRowLookup,0),MATCH(N$11,[1]!rng_ForecastColumnLookup,0))</f>
        <v>909549.74876797362</v>
      </c>
      <c r="O14" s="42">
        <f ca="1">INDEX([1]!tbl_Forecast,MATCH($D$8&amp;$C14&amp;$D$7,[1]!rng_ForecastRowLookup,0),MATCH(O$11,[1]!rng_ForecastColumnLookup,0))</f>
        <v>907484.32699866977</v>
      </c>
      <c r="P14" s="42">
        <f ca="1">INDEX([1]!tbl_Forecast,MATCH($D$8&amp;$C14&amp;$D$7,[1]!rng_ForecastRowLookup,0),MATCH(P$11,[1]!rng_ForecastColumnLookup,0))</f>
        <v>905423.59542590659</v>
      </c>
      <c r="Q14" s="42">
        <f ca="1">INDEX([1]!tbl_Forecast,MATCH($D$8&amp;$C14&amp;$D$7,[1]!rng_ForecastRowLookup,0),MATCH(Q$11,[1]!rng_ForecastColumnLookup,0))</f>
        <v>903367.54339910217</v>
      </c>
      <c r="R14" s="42">
        <f ca="1">INDEX([1]!tbl_Forecast,MATCH($D$8&amp;$C14&amp;$D$7,[1]!rng_ForecastRowLookup,0),MATCH(R$11,[1]!rng_ForecastColumnLookup,0))</f>
        <v>901316.16029185988</v>
      </c>
      <c r="S14" s="42">
        <f ca="1">INDEX([1]!tbl_Forecast,MATCH($D$8&amp;$C14&amp;$D$7,[1]!rng_ForecastRowLookup,0),MATCH(S$11,[1]!rng_ForecastColumnLookup,0))</f>
        <v>899269.43550191447</v>
      </c>
      <c r="T14" s="42">
        <f ca="1">INDEX([1]!tbl_Forecast,MATCH($D$8&amp;$C14&amp;$D$7,[1]!rng_ForecastRowLookup,0),MATCH(T$11,[1]!rng_ForecastColumnLookup,0))</f>
        <v>897227.35845107585</v>
      </c>
      <c r="U14" s="42">
        <f ca="1">INDEX([1]!tbl_Forecast,MATCH($D$8&amp;$C14&amp;$D$7,[1]!rng_ForecastRowLookup,0),MATCH(U$11,[1]!rng_ForecastColumnLookup,0))</f>
        <v>895189.9185851753</v>
      </c>
      <c r="V14" s="42">
        <f ca="1">INDEX([1]!tbl_Forecast,MATCH($D$8&amp;$C14&amp;$D$7,[1]!rng_ForecastRowLookup,0),MATCH(V$11,[1]!rng_ForecastColumnLookup,0))</f>
        <v>893157.10537401051</v>
      </c>
      <c r="W14" s="42">
        <f ca="1">INDEX([1]!tbl_Forecast,MATCH($D$8&amp;$C14&amp;$D$7,[1]!rng_ForecastRowLookup,0),MATCH(W$11,[1]!rng_ForecastColumnLookup,0))</f>
        <v>891128.90831129183</v>
      </c>
      <c r="X14" s="42">
        <f ca="1">INDEX([1]!tbl_Forecast,MATCH($D$8&amp;$C14&amp;$D$7,[1]!rng_ForecastRowLookup,0),MATCH(X$11,[1]!rng_ForecastColumnLookup,0))</f>
        <v>889105.31691458682</v>
      </c>
      <c r="Y14" s="42">
        <f ca="1">INDEX([1]!tbl_Forecast,MATCH($D$8&amp;$C14&amp;$D$7,[1]!rng_ForecastRowLookup,0),MATCH(Y$11,[1]!rng_ForecastColumnLookup,0))</f>
        <v>887086.32072526717</v>
      </c>
      <c r="Z14" s="42"/>
      <c r="AB14" s="54"/>
    </row>
    <row r="15" spans="1:68">
      <c r="C15" s="9" t="s">
        <v>50</v>
      </c>
      <c r="F15" s="42">
        <f ca="1">INDEX([1]!tbl_Forecast,MATCH($D$8&amp;$C15&amp;$D$7,[1]!rng_ForecastRowLookup,0),MATCH(F$11,[1]!rng_ForecastColumnLookup,0))</f>
        <v>211180.07985625503</v>
      </c>
      <c r="G15" s="42">
        <f ca="1">INDEX([1]!tbl_Forecast,MATCH($D$8&amp;$C15&amp;$D$7,[1]!rng_ForecastRowLookup,0),MATCH(G$11,[1]!rng_ForecastColumnLookup,0))</f>
        <v>210700.52836963299</v>
      </c>
      <c r="H15" s="42">
        <f ca="1">INDEX([1]!tbl_Forecast,MATCH($D$8&amp;$C15&amp;$D$7,[1]!rng_ForecastRowLookup,0),MATCH(H$11,[1]!rng_ForecastColumnLookup,0))</f>
        <v>210222.06585706791</v>
      </c>
      <c r="I15" s="42">
        <f ca="1">INDEX([1]!tbl_Forecast,MATCH($D$8&amp;$C15&amp;$D$7,[1]!rng_ForecastRowLookup,0),MATCH(I$11,[1]!rng_ForecastColumnLookup,0))</f>
        <v>209744.68984569819</v>
      </c>
      <c r="J15" s="42">
        <f ca="1">INDEX([1]!tbl_Forecast,MATCH($D$8&amp;$C15&amp;$D$7,[1]!rng_ForecastRowLookup,0),MATCH(J$11,[1]!rng_ForecastColumnLookup,0))</f>
        <v>209268.39786827751</v>
      </c>
      <c r="K15" s="42">
        <f ca="1">INDEX([1]!tbl_Forecast,MATCH($D$8&amp;$C15&amp;$D$7,[1]!rng_ForecastRowLookup,0),MATCH(K$11,[1]!rng_ForecastColumnLookup,0))</f>
        <v>208793.18746316229</v>
      </c>
      <c r="L15" s="42">
        <f ca="1">INDEX([1]!tbl_Forecast,MATCH($D$8&amp;$C15&amp;$D$7,[1]!rng_ForecastRowLookup,0),MATCH(L$11,[1]!rng_ForecastColumnLookup,0))</f>
        <v>208319.05617429892</v>
      </c>
      <c r="M15" s="42">
        <f ca="1">INDEX([1]!tbl_Forecast,MATCH($D$8&amp;$C15&amp;$D$7,[1]!rng_ForecastRowLookup,0),MATCH(M$11,[1]!rng_ForecastColumnLookup,0))</f>
        <v>207846.00155121088</v>
      </c>
      <c r="N15" s="42">
        <f ca="1">INDEX([1]!tbl_Forecast,MATCH($D$8&amp;$C15&amp;$D$7,[1]!rng_ForecastRowLookup,0),MATCH(N$11,[1]!rng_ForecastColumnLookup,0))</f>
        <v>207374.0211489865</v>
      </c>
      <c r="O15" s="42">
        <f ca="1">INDEX([1]!tbl_Forecast,MATCH($D$8&amp;$C15&amp;$D$7,[1]!rng_ForecastRowLookup,0),MATCH(O$11,[1]!rng_ForecastColumnLookup,0))</f>
        <v>206903.11252826577</v>
      </c>
      <c r="P15" s="42">
        <f ca="1">INDEX([1]!tbl_Forecast,MATCH($D$8&amp;$C15&amp;$D$7,[1]!rng_ForecastRowLookup,0),MATCH(P$11,[1]!rng_ForecastColumnLookup,0))</f>
        <v>206433.27325522827</v>
      </c>
      <c r="Q15" s="42">
        <f ca="1">INDEX([1]!tbl_Forecast,MATCH($D$8&amp;$C15&amp;$D$7,[1]!rng_ForecastRowLookup,0),MATCH(Q$11,[1]!rng_ForecastColumnLookup,0))</f>
        <v>205964.50090158021</v>
      </c>
      <c r="R15" s="42">
        <f ca="1">INDEX([1]!tbl_Forecast,MATCH($D$8&amp;$C15&amp;$D$7,[1]!rng_ForecastRowLookup,0),MATCH(R$11,[1]!rng_ForecastColumnLookup,0))</f>
        <v>205496.79304454199</v>
      </c>
      <c r="S15" s="42">
        <f ca="1">INDEX([1]!tbl_Forecast,MATCH($D$8&amp;$C15&amp;$D$7,[1]!rng_ForecastRowLookup,0),MATCH(S$11,[1]!rng_ForecastColumnLookup,0))</f>
        <v>205030.14726683579</v>
      </c>
      <c r="T15" s="42">
        <f ca="1">INDEX([1]!tbl_Forecast,MATCH($D$8&amp;$C15&amp;$D$7,[1]!rng_ForecastRowLookup,0),MATCH(T$11,[1]!rng_ForecastColumnLookup,0))</f>
        <v>204564.56115667295</v>
      </c>
      <c r="U15" s="42">
        <f ca="1">INDEX([1]!tbl_Forecast,MATCH($D$8&amp;$C15&amp;$D$7,[1]!rng_ForecastRowLookup,0),MATCH(U$11,[1]!rng_ForecastColumnLookup,0))</f>
        <v>204100.03230774152</v>
      </c>
      <c r="V15" s="42">
        <f ca="1">INDEX([1]!tbl_Forecast,MATCH($D$8&amp;$C15&amp;$D$7,[1]!rng_ForecastRowLookup,0),MATCH(V$11,[1]!rng_ForecastColumnLookup,0))</f>
        <v>203636.55831919383</v>
      </c>
      <c r="W15" s="42">
        <f ca="1">INDEX([1]!tbl_Forecast,MATCH($D$8&amp;$C15&amp;$D$7,[1]!rng_ForecastRowLookup,0),MATCH(W$11,[1]!rng_ForecastColumnLookup,0))</f>
        <v>203174.13679563423</v>
      </c>
      <c r="X15" s="42">
        <f ca="1">INDEX([1]!tbl_Forecast,MATCH($D$8&amp;$C15&amp;$D$7,[1]!rng_ForecastRowLookup,0),MATCH(X$11,[1]!rng_ForecastColumnLookup,0))</f>
        <v>202712.76534710638</v>
      </c>
      <c r="Y15" s="42">
        <f ca="1">INDEX([1]!tbl_Forecast,MATCH($D$8&amp;$C15&amp;$D$7,[1]!rng_ForecastRowLookup,0),MATCH(Y$11,[1]!rng_ForecastColumnLookup,0))</f>
        <v>202252.44158908122</v>
      </c>
      <c r="Z15" s="42"/>
      <c r="AB15" s="54"/>
    </row>
    <row r="16" spans="1:68">
      <c r="C16" s="9" t="s">
        <v>51</v>
      </c>
      <c r="F16" s="42">
        <f ca="1">INDEX([1]!tbl_Forecast,MATCH($D$8&amp;$C16&amp;$D$7,[1]!rng_ForecastRowLookup,0),MATCH(F$11,[1]!rng_ForecastColumnLookup,0))</f>
        <v>572006.3278356482</v>
      </c>
      <c r="G16" s="42">
        <f ca="1">INDEX([1]!tbl_Forecast,MATCH($D$8&amp;$C16&amp;$D$7,[1]!rng_ForecastRowLookup,0),MATCH(G$11,[1]!rng_ForecastColumnLookup,0))</f>
        <v>565893.30394507048</v>
      </c>
      <c r="H16" s="42">
        <f ca="1">INDEX([1]!tbl_Forecast,MATCH($D$8&amp;$C16&amp;$D$7,[1]!rng_ForecastRowLookup,0),MATCH(H$11,[1]!rng_ForecastColumnLookup,0))</f>
        <v>559845.60985814757</v>
      </c>
      <c r="I16" s="42">
        <f ca="1">INDEX([1]!tbl_Forecast,MATCH($D$8&amp;$C16&amp;$D$7,[1]!rng_ForecastRowLookup,0),MATCH(I$11,[1]!rng_ForecastColumnLookup,0))</f>
        <v>553862.54739615123</v>
      </c>
      <c r="J16" s="42">
        <f ca="1">INDEX([1]!tbl_Forecast,MATCH($D$8&amp;$C16&amp;$D$7,[1]!rng_ForecastRowLookup,0),MATCH(J$11,[1]!rng_ForecastColumnLookup,0))</f>
        <v>547943.42584177968</v>
      </c>
      <c r="K16" s="42">
        <f ca="1">INDEX([1]!tbl_Forecast,MATCH($D$8&amp;$C16&amp;$D$7,[1]!rng_ForecastRowLookup,0),MATCH(K$11,[1]!rng_ForecastColumnLookup,0))</f>
        <v>542087.56185941794</v>
      </c>
      <c r="L16" s="42">
        <f ca="1">INDEX([1]!tbl_Forecast,MATCH($D$8&amp;$C16&amp;$D$7,[1]!rng_ForecastRowLookup,0),MATCH(L$11,[1]!rng_ForecastColumnLookup,0))</f>
        <v>536294.27941624937</v>
      </c>
      <c r="M16" s="42">
        <f ca="1">INDEX([1]!tbl_Forecast,MATCH($D$8&amp;$C16&amp;$D$7,[1]!rng_ForecastRowLookup,0),MATCH(M$11,[1]!rng_ForecastColumnLookup,0))</f>
        <v>530562.90970421082</v>
      </c>
      <c r="N16" s="42">
        <f ca="1">INDEX([1]!tbl_Forecast,MATCH($D$8&amp;$C16&amp;$D$7,[1]!rng_ForecastRowLookup,0),MATCH(N$11,[1]!rng_ForecastColumnLookup,0))</f>
        <v>524892.79106278194</v>
      </c>
      <c r="O16" s="42">
        <f ca="1">INDEX([1]!tbl_Forecast,MATCH($D$8&amp;$C16&amp;$D$7,[1]!rng_ForecastRowLookup,0),MATCH(O$11,[1]!rng_ForecastColumnLookup,0))</f>
        <v>519283.26890259917</v>
      </c>
      <c r="P16" s="42">
        <f ca="1">INDEX([1]!tbl_Forecast,MATCH($D$8&amp;$C16&amp;$D$7,[1]!rng_ForecastRowLookup,0),MATCH(P$11,[1]!rng_ForecastColumnLookup,0))</f>
        <v>513733.69562988722</v>
      </c>
      <c r="Q16" s="42">
        <f ca="1">INDEX([1]!tbl_Forecast,MATCH($D$8&amp;$C16&amp;$D$7,[1]!rng_ForecastRowLookup,0),MATCH(Q$11,[1]!rng_ForecastColumnLookup,0))</f>
        <v>508243.4305716962</v>
      </c>
      <c r="R16" s="42">
        <f ca="1">INDEX([1]!tbl_Forecast,MATCH($D$8&amp;$C16&amp;$D$7,[1]!rng_ForecastRowLookup,0),MATCH(R$11,[1]!rng_ForecastColumnLookup,0))</f>
        <v>502811.8399019395</v>
      </c>
      <c r="S16" s="42">
        <f ca="1">INDEX([1]!tbl_Forecast,MATCH($D$8&amp;$C16&amp;$D$7,[1]!rng_ForecastRowLookup,0),MATCH(S$11,[1]!rng_ForecastColumnLookup,0))</f>
        <v>497438.2965682213</v>
      </c>
      <c r="T16" s="42">
        <f ca="1">INDEX([1]!tbl_Forecast,MATCH($D$8&amp;$C16&amp;$D$7,[1]!rng_ForecastRowLookup,0),MATCH(T$11,[1]!rng_ForecastColumnLookup,0))</f>
        <v>492122.18021944637</v>
      </c>
      <c r="U16" s="42">
        <f ca="1">INDEX([1]!tbl_Forecast,MATCH($D$8&amp;$C16&amp;$D$7,[1]!rng_ForecastRowLookup,0),MATCH(U$11,[1]!rng_ForecastColumnLookup,0))</f>
        <v>486862.87713420321</v>
      </c>
      <c r="V16" s="42">
        <f ca="1">INDEX([1]!tbl_Forecast,MATCH($D$8&amp;$C16&amp;$D$7,[1]!rng_ForecastRowLookup,0),MATCH(V$11,[1]!rng_ForecastColumnLookup,0))</f>
        <v>481659.78014991269</v>
      </c>
      <c r="W16" s="42">
        <f ca="1">INDEX([1]!tbl_Forecast,MATCH($D$8&amp;$C16&amp;$D$7,[1]!rng_ForecastRowLookup,0),MATCH(W$11,[1]!rng_ForecastColumnLookup,0))</f>
        <v>476512.28859273402</v>
      </c>
      <c r="X16" s="42">
        <f ca="1">INDEX([1]!tbl_Forecast,MATCH($D$8&amp;$C16&amp;$D$7,[1]!rng_ForecastRowLookup,0),MATCH(X$11,[1]!rng_ForecastColumnLookup,0))</f>
        <v>471419.80820821953</v>
      </c>
      <c r="Y16" s="42">
        <f ca="1">INDEX([1]!tbl_Forecast,MATCH($D$8&amp;$C16&amp;$D$7,[1]!rng_ForecastRowLookup,0),MATCH(Y$11,[1]!rng_ForecastColumnLookup,0))</f>
        <v>466381.75109271082</v>
      </c>
      <c r="Z16" s="42"/>
      <c r="AB16" s="54"/>
    </row>
    <row r="17" spans="1:69">
      <c r="F17" s="42"/>
      <c r="G17" s="42"/>
      <c r="H17" s="42"/>
      <c r="I17" s="42"/>
      <c r="J17" s="42"/>
      <c r="K17" s="42"/>
      <c r="L17" s="42"/>
      <c r="M17" s="42"/>
      <c r="N17" s="42"/>
      <c r="O17" s="42"/>
      <c r="P17" s="42"/>
      <c r="Q17" s="42"/>
      <c r="R17" s="42"/>
      <c r="S17" s="42"/>
      <c r="T17" s="42"/>
      <c r="U17" s="42"/>
      <c r="V17" s="42"/>
      <c r="W17" s="42"/>
      <c r="X17" s="42"/>
      <c r="Y17" s="42"/>
      <c r="Z17" s="42"/>
    </row>
    <row r="18" spans="1:69">
      <c r="B18" s="9" t="s">
        <v>56</v>
      </c>
      <c r="C18" s="9" t="s">
        <v>57</v>
      </c>
      <c r="F18" s="42">
        <f t="shared" ref="F18:Y18" ca="1" si="1">SUM(F13:F16)</f>
        <v>5912957.9357845243</v>
      </c>
      <c r="G18" s="42">
        <f t="shared" ca="1" si="1"/>
        <v>5894716.7373226183</v>
      </c>
      <c r="H18" s="42">
        <f t="shared" ca="1" si="1"/>
        <v>5876568.4091907088</v>
      </c>
      <c r="I18" s="42">
        <f t="shared" ca="1" si="1"/>
        <v>5858512.1906713378</v>
      </c>
      <c r="J18" s="42">
        <f t="shared" ca="1" si="1"/>
        <v>5840547.3286504922</v>
      </c>
      <c r="K18" s="42">
        <f t="shared" ca="1" si="1"/>
        <v>5822673.077537531</v>
      </c>
      <c r="L18" s="42">
        <f t="shared" ca="1" si="1"/>
        <v>5804888.6991859814</v>
      </c>
      <c r="M18" s="42">
        <f t="shared" ca="1" si="1"/>
        <v>5787193.462815172</v>
      </c>
      <c r="N18" s="42">
        <f t="shared" ca="1" si="1"/>
        <v>5769586.6449326966</v>
      </c>
      <c r="O18" s="42">
        <f t="shared" ca="1" si="1"/>
        <v>5752067.5292577213</v>
      </c>
      <c r="P18" s="42">
        <f t="shared" ca="1" si="1"/>
        <v>5734635.406645081</v>
      </c>
      <c r="Q18" s="42">
        <f t="shared" ca="1" si="1"/>
        <v>5717289.5750102066</v>
      </c>
      <c r="R18" s="42">
        <f t="shared" ca="1" si="1"/>
        <v>5700029.3392548524</v>
      </c>
      <c r="S18" s="42">
        <f t="shared" ca="1" si="1"/>
        <v>5682854.0111935912</v>
      </c>
      <c r="T18" s="42">
        <f t="shared" ca="1" si="1"/>
        <v>5665762.9094811222</v>
      </c>
      <c r="U18" s="42">
        <f t="shared" ca="1" si="1"/>
        <v>5648755.3595403275</v>
      </c>
      <c r="V18" s="42">
        <f t="shared" ca="1" si="1"/>
        <v>5631830.6934911208</v>
      </c>
      <c r="W18" s="42">
        <f t="shared" ca="1" si="1"/>
        <v>5614988.250080023</v>
      </c>
      <c r="X18" s="42">
        <f t="shared" ca="1" si="1"/>
        <v>5598227.3746105134</v>
      </c>
      <c r="Y18" s="42">
        <f t="shared" ca="1" si="1"/>
        <v>5581547.4188741138</v>
      </c>
      <c r="Z18" s="42"/>
      <c r="AB18" s="54"/>
    </row>
    <row r="19" spans="1:69">
      <c r="E19" s="42"/>
      <c r="F19" s="42"/>
      <c r="G19" s="42"/>
      <c r="H19" s="42"/>
      <c r="I19" s="42"/>
      <c r="J19" s="42"/>
      <c r="K19" s="42"/>
      <c r="L19" s="42"/>
      <c r="M19" s="42"/>
      <c r="N19" s="42"/>
      <c r="O19" s="42"/>
      <c r="P19" s="42"/>
      <c r="Q19" s="42"/>
      <c r="R19" s="42"/>
      <c r="S19" s="42"/>
      <c r="T19" s="42"/>
      <c r="U19" s="42"/>
      <c r="V19" s="42"/>
      <c r="W19" s="42"/>
      <c r="X19" s="42"/>
      <c r="Y19" s="42"/>
    </row>
    <row r="20" spans="1:69" ht="15">
      <c r="A20" s="63" t="str">
        <f>CONCATENATE("# OF UNTREATED NEW HOMES FOR MEASURE -",$C$8)</f>
        <v># OF UNTREATED NEW HOMES FOR MEASURE -Monitor</v>
      </c>
      <c r="C20" s="9" t="s">
        <v>146</v>
      </c>
      <c r="F20" s="66">
        <v>2016</v>
      </c>
      <c r="G20" s="397">
        <v>2017</v>
      </c>
      <c r="H20" s="397">
        <v>2018</v>
      </c>
      <c r="I20" s="397">
        <v>2019</v>
      </c>
      <c r="J20" s="397">
        <v>2020</v>
      </c>
      <c r="K20" s="397">
        <v>2021</v>
      </c>
      <c r="L20" s="397">
        <v>2022</v>
      </c>
      <c r="M20" s="397">
        <v>2023</v>
      </c>
      <c r="N20" s="397">
        <v>2024</v>
      </c>
      <c r="O20" s="397">
        <v>2025</v>
      </c>
      <c r="P20" s="397">
        <v>2026</v>
      </c>
      <c r="Q20" s="397">
        <v>2027</v>
      </c>
      <c r="R20" s="397">
        <v>2028</v>
      </c>
      <c r="S20" s="397">
        <v>2029</v>
      </c>
      <c r="T20" s="397">
        <v>2030</v>
      </c>
      <c r="U20" s="397">
        <v>2031</v>
      </c>
      <c r="V20" s="397">
        <v>2032</v>
      </c>
      <c r="W20" s="397">
        <v>2033</v>
      </c>
      <c r="X20" s="397">
        <v>2034</v>
      </c>
      <c r="Y20" s="68">
        <v>2035</v>
      </c>
      <c r="Z20" s="67"/>
      <c r="AB20" s="52"/>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1:69">
      <c r="A21" s="9" t="s">
        <v>307</v>
      </c>
      <c r="F21" s="398">
        <v>1</v>
      </c>
      <c r="G21" s="399">
        <v>2</v>
      </c>
      <c r="H21" s="399">
        <v>3</v>
      </c>
      <c r="I21" s="399">
        <v>4</v>
      </c>
      <c r="J21" s="399">
        <v>5</v>
      </c>
      <c r="K21" s="399">
        <v>6</v>
      </c>
      <c r="L21" s="399">
        <v>7</v>
      </c>
      <c r="M21" s="399">
        <v>8</v>
      </c>
      <c r="N21" s="399">
        <v>9</v>
      </c>
      <c r="O21" s="399">
        <v>10</v>
      </c>
      <c r="P21" s="399">
        <v>11</v>
      </c>
      <c r="Q21" s="399">
        <v>12</v>
      </c>
      <c r="R21" s="399">
        <v>13</v>
      </c>
      <c r="S21" s="399">
        <v>14</v>
      </c>
      <c r="T21" s="399">
        <v>15</v>
      </c>
      <c r="U21" s="399">
        <v>16</v>
      </c>
      <c r="V21" s="399">
        <v>17</v>
      </c>
      <c r="W21" s="399">
        <v>18</v>
      </c>
      <c r="X21" s="399">
        <v>19</v>
      </c>
      <c r="Y21" s="400">
        <v>20</v>
      </c>
      <c r="Z21"/>
    </row>
    <row r="22" spans="1:69">
      <c r="C22" s="9" t="s">
        <v>48</v>
      </c>
      <c r="F22" s="60">
        <f>IF(F$21&lt;=1/$C$31,0,INDEX('SC-New'!$E152:$Y152,1,F$21-ROUND(1/$C$31,0)))</f>
        <v>0</v>
      </c>
      <c r="G22" s="60">
        <f>IF(G$21&lt;=1/$C$31,0,INDEX('SC-New'!$E152:$Y152,1,G$21-ROUND(1/$C$31,0)))</f>
        <v>0</v>
      </c>
      <c r="H22" s="60">
        <f>IF(H$21&lt;=1/$C$31,0,INDEX('SC-New'!$E152:$Y152,1,H$21-ROUND(1/$C$31,0)))</f>
        <v>0</v>
      </c>
      <c r="I22" s="60">
        <f>IF(I$21&lt;=1/$C$31,0,INDEX('SC-New'!$E152:$Y152,1,I$21-ROUND(1/$C$31,0)))</f>
        <v>0</v>
      </c>
      <c r="J22" s="60">
        <f>IF(J$21&lt;=1/$C$31,0,INDEX('SC-New'!$E152:$Y152,1,J$21-ROUND(1/$C$31,0)))</f>
        <v>0</v>
      </c>
      <c r="K22" s="60">
        <f ca="1">IF(K$21&lt;=1/$C$31,0,INDEX('SC-New'!$E152:$Y152,1,K$21-ROUND(1/$C$31,0)))</f>
        <v>52363.851145543369</v>
      </c>
      <c r="L22" s="60">
        <f ca="1">IF(L$21&lt;=1/$C$31,0,INDEX('SC-New'!$E152:$Y152,1,L$21-ROUND(1/$C$31,0)))</f>
        <v>45640.483763754499</v>
      </c>
      <c r="M22" s="60">
        <f ca="1">IF(M$21&lt;=1/$C$31,0,INDEX('SC-New'!$E152:$Y152,1,M$21-ROUND(1/$C$31,0)))</f>
        <v>40563.490175281695</v>
      </c>
      <c r="N22" s="60">
        <f ca="1">IF(N$21&lt;=1/$C$31,0,INDEX('SC-New'!$E152:$Y152,1,N$21-ROUND(1/$C$31,0)))</f>
        <v>37668.833017729346</v>
      </c>
      <c r="O22" s="60">
        <f ca="1">IF(O$21&lt;=1/$C$31,0,INDEX('SC-New'!$E152:$Y152,1,O$21-ROUND(1/$C$31,0)))</f>
        <v>35729.722904145819</v>
      </c>
      <c r="P22" s="60">
        <f ca="1">IF(P$21&lt;=1/$C$31,0,INDEX('SC-New'!$E152:$Y152,1,P$21-ROUND(1/$C$31,0)))</f>
        <v>33707.40157510963</v>
      </c>
      <c r="Q22" s="60">
        <f ca="1">IF(Q$21&lt;=1/$C$31,0,INDEX('SC-New'!$E152:$Y152,1,Q$21-ROUND(1/$C$31,0)))</f>
        <v>32731.283554330006</v>
      </c>
      <c r="R22" s="60">
        <f ca="1">IF(R$21&lt;=1/$C$31,0,INDEX('SC-New'!$E152:$Y152,1,R$21-ROUND(1/$C$31,0)))</f>
        <v>32672.580039219669</v>
      </c>
      <c r="S22" s="60">
        <f ca="1">IF(S$21&lt;=1/$C$31,0,INDEX('SC-New'!$E152:$Y152,1,S$21-ROUND(1/$C$31,0)))</f>
        <v>32487.488219005121</v>
      </c>
      <c r="T22" s="60">
        <f ca="1">IF(T$21&lt;=1/$C$31,0,INDEX('SC-New'!$E152:$Y152,1,T$21-ROUND(1/$C$31,0)))</f>
        <v>33239.48613803467</v>
      </c>
      <c r="U22" s="60">
        <f ca="1">IF(U$21&lt;=1/$C$31,0,INDEX('SC-New'!$E152:$Y152,1,U$21-ROUND(1/$C$31,0)))</f>
        <v>33653.665643200526</v>
      </c>
      <c r="V22" s="60">
        <f ca="1">IF(V$21&lt;=1/$C$31,0,INDEX('SC-New'!$E152:$Y152,1,V$21-ROUND(1/$C$31,0)))</f>
        <v>33401.409133948466</v>
      </c>
      <c r="W22" s="60">
        <f ca="1">IF(W$21&lt;=1/$C$31,0,INDEX('SC-New'!$E152:$Y152,1,W$21-ROUND(1/$C$31,0)))</f>
        <v>32690.234958471174</v>
      </c>
      <c r="X22" s="60">
        <f ca="1">IF(X$21&lt;=1/$C$31,0,INDEX('SC-New'!$E152:$Y152,1,X$21-ROUND(1/$C$31,0)))</f>
        <v>32895.894809703212</v>
      </c>
      <c r="Y22" s="60">
        <f ca="1">IF(Y$21&lt;=1/$C$31,0,INDEX('SC-New'!$E152:$Y152,1,Y$21-ROUND(1/$C$31,0)))</f>
        <v>33451.307983659048</v>
      </c>
      <c r="Z22" s="60"/>
      <c r="AB22" s="54"/>
    </row>
    <row r="23" spans="1:69">
      <c r="C23" s="9" t="s">
        <v>49</v>
      </c>
      <c r="F23" s="60">
        <f>IF(F$21&lt;=1/$C$31,0,INDEX('SC-New'!$E153:$Y153,1,F$21-ROUND(1/$C$31,0)))</f>
        <v>0</v>
      </c>
      <c r="G23" s="60">
        <f>IF(G$21&lt;=1/$C$31,0,INDEX('SC-New'!$E153:$Y153,1,G$21-ROUND(1/$C$31,0)))</f>
        <v>0</v>
      </c>
      <c r="H23" s="60">
        <f>IF(H$21&lt;=1/$C$31,0,INDEX('SC-New'!$E153:$Y153,1,H$21-ROUND(1/$C$31,0)))</f>
        <v>0</v>
      </c>
      <c r="I23" s="60">
        <f>IF(I$21&lt;=1/$C$31,0,INDEX('SC-New'!$E153:$Y153,1,I$21-ROUND(1/$C$31,0)))</f>
        <v>0</v>
      </c>
      <c r="J23" s="60">
        <f>IF(J$21&lt;=1/$C$31,0,INDEX('SC-New'!$E153:$Y153,1,J$21-ROUND(1/$C$31,0)))</f>
        <v>0</v>
      </c>
      <c r="K23" s="60">
        <f ca="1">IF(K$21&lt;=1/$C$31,0,INDEX('SC-New'!$E153:$Y153,1,K$21-ROUND(1/$C$31,0)))</f>
        <v>19446.97886179138</v>
      </c>
      <c r="L23" s="60">
        <f ca="1">IF(L$21&lt;=1/$C$31,0,INDEX('SC-New'!$E153:$Y153,1,L$21-ROUND(1/$C$31,0)))</f>
        <v>17519.928191462586</v>
      </c>
      <c r="M23" s="60">
        <f ca="1">IF(M$21&lt;=1/$C$31,0,INDEX('SC-New'!$E153:$Y153,1,M$21-ROUND(1/$C$31,0)))</f>
        <v>16281.068779635836</v>
      </c>
      <c r="N23" s="60">
        <f ca="1">IF(N$21&lt;=1/$C$31,0,INDEX('SC-New'!$E153:$Y153,1,N$21-ROUND(1/$C$31,0)))</f>
        <v>15130.449684773266</v>
      </c>
      <c r="O23" s="60">
        <f ca="1">IF(O$21&lt;=1/$C$31,0,INDEX('SC-New'!$E153:$Y153,1,O$21-ROUND(1/$C$31,0)))</f>
        <v>13901.163631771909</v>
      </c>
      <c r="P23" s="60">
        <f ca="1">IF(P$21&lt;=1/$C$31,0,INDEX('SC-New'!$E153:$Y153,1,P$21-ROUND(1/$C$31,0)))</f>
        <v>13269.70894853519</v>
      </c>
      <c r="Q23" s="60">
        <f ca="1">IF(Q$21&lt;=1/$C$31,0,INDEX('SC-New'!$E153:$Y153,1,Q$21-ROUND(1/$C$31,0)))</f>
        <v>13134.227684062329</v>
      </c>
      <c r="R23" s="60">
        <f ca="1">IF(R$21&lt;=1/$C$31,0,INDEX('SC-New'!$E153:$Y153,1,R$21-ROUND(1/$C$31,0)))</f>
        <v>13418.631051269716</v>
      </c>
      <c r="S23" s="60">
        <f ca="1">IF(S$21&lt;=1/$C$31,0,INDEX('SC-New'!$E153:$Y153,1,S$21-ROUND(1/$C$31,0)))</f>
        <v>13809.622113882346</v>
      </c>
      <c r="T23" s="60">
        <f ca="1">IF(T$21&lt;=1/$C$31,0,INDEX('SC-New'!$E153:$Y153,1,T$21-ROUND(1/$C$31,0)))</f>
        <v>14259.886185248008</v>
      </c>
      <c r="U23" s="60">
        <f ca="1">IF(U$21&lt;=1/$C$31,0,INDEX('SC-New'!$E153:$Y153,1,U$21-ROUND(1/$C$31,0)))</f>
        <v>14397.302945204661</v>
      </c>
      <c r="V23" s="60">
        <f ca="1">IF(V$21&lt;=1/$C$31,0,INDEX('SC-New'!$E153:$Y153,1,V$21-ROUND(1/$C$31,0)))</f>
        <v>14479.201283002305</v>
      </c>
      <c r="W23" s="60">
        <f ca="1">IF(W$21&lt;=1/$C$31,0,INDEX('SC-New'!$E153:$Y153,1,W$21-ROUND(1/$C$31,0)))</f>
        <v>14579.824377673529</v>
      </c>
      <c r="X23" s="60">
        <f ca="1">IF(X$21&lt;=1/$C$31,0,INDEX('SC-New'!$E153:$Y153,1,X$21-ROUND(1/$C$31,0)))</f>
        <v>14496.805860103756</v>
      </c>
      <c r="Y23" s="60">
        <f ca="1">IF(Y$21&lt;=1/$C$31,0,INDEX('SC-New'!$E153:$Y153,1,Y$21-ROUND(1/$C$31,0)))</f>
        <v>14395.902032862487</v>
      </c>
      <c r="Z23" s="60"/>
      <c r="AB23" s="54"/>
    </row>
    <row r="24" spans="1:69">
      <c r="C24" s="9" t="s">
        <v>50</v>
      </c>
      <c r="F24" s="60">
        <f>IF(F$21&lt;=1/$C$31,0,INDEX('SC-New'!$E154:$Y154,1,F$21-ROUND(1/$C$31,0)))</f>
        <v>0</v>
      </c>
      <c r="G24" s="60">
        <f>IF(G$21&lt;=1/$C$31,0,INDEX('SC-New'!$E154:$Y154,1,G$21-ROUND(1/$C$31,0)))</f>
        <v>0</v>
      </c>
      <c r="H24" s="60">
        <f>IF(H$21&lt;=1/$C$31,0,INDEX('SC-New'!$E154:$Y154,1,H$21-ROUND(1/$C$31,0)))</f>
        <v>0</v>
      </c>
      <c r="I24" s="60">
        <f>IF(I$21&lt;=1/$C$31,0,INDEX('SC-New'!$E154:$Y154,1,I$21-ROUND(1/$C$31,0)))</f>
        <v>0</v>
      </c>
      <c r="J24" s="60">
        <f>IF(J$21&lt;=1/$C$31,0,INDEX('SC-New'!$E154:$Y154,1,J$21-ROUND(1/$C$31,0)))</f>
        <v>0</v>
      </c>
      <c r="K24" s="60">
        <f ca="1">IF(K$21&lt;=1/$C$31,0,INDEX('SC-New'!$E154:$Y154,1,K$21-ROUND(1/$C$31,0)))</f>
        <v>4365.6803691723971</v>
      </c>
      <c r="L24" s="60">
        <f ca="1">IF(L$21&lt;=1/$C$31,0,INDEX('SC-New'!$E154:$Y154,1,L$21-ROUND(1/$C$31,0)))</f>
        <v>3988.4404975029538</v>
      </c>
      <c r="M24" s="60">
        <f ca="1">IF(M$21&lt;=1/$C$31,0,INDEX('SC-New'!$E154:$Y154,1,M$21-ROUND(1/$C$31,0)))</f>
        <v>3762.1970974771739</v>
      </c>
      <c r="N24" s="60">
        <f ca="1">IF(N$21&lt;=1/$C$31,0,INDEX('SC-New'!$E154:$Y154,1,N$21-ROUND(1/$C$31,0)))</f>
        <v>3415.6907479211541</v>
      </c>
      <c r="O24" s="60">
        <f ca="1">IF(O$21&lt;=1/$C$31,0,INDEX('SC-New'!$E154:$Y154,1,O$21-ROUND(1/$C$31,0)))</f>
        <v>3077.3960041992195</v>
      </c>
      <c r="P24" s="60">
        <f ca="1">IF(P$21&lt;=1/$C$31,0,INDEX('SC-New'!$E154:$Y154,1,P$21-ROUND(1/$C$31,0)))</f>
        <v>2981.6016697603109</v>
      </c>
      <c r="Q24" s="60">
        <f ca="1">IF(Q$21&lt;=1/$C$31,0,INDEX('SC-New'!$E154:$Y154,1,Q$21-ROUND(1/$C$31,0)))</f>
        <v>2959.8230211795926</v>
      </c>
      <c r="R24" s="60">
        <f ca="1">IF(R$21&lt;=1/$C$31,0,INDEX('SC-New'!$E154:$Y154,1,R$21-ROUND(1/$C$31,0)))</f>
        <v>3061.502849869913</v>
      </c>
      <c r="S24" s="60">
        <f ca="1">IF(S$21&lt;=1/$C$31,0,INDEX('SC-New'!$E154:$Y154,1,S$21-ROUND(1/$C$31,0)))</f>
        <v>3128.5581883064788</v>
      </c>
      <c r="T24" s="60">
        <f ca="1">IF(T$21&lt;=1/$C$31,0,INDEX('SC-New'!$E154:$Y154,1,T$21-ROUND(1/$C$31,0)))</f>
        <v>3230.227134379259</v>
      </c>
      <c r="U24" s="60">
        <f ca="1">IF(U$21&lt;=1/$C$31,0,INDEX('SC-New'!$E154:$Y154,1,U$21-ROUND(1/$C$31,0)))</f>
        <v>3222.0958514986742</v>
      </c>
      <c r="V24" s="60">
        <f ca="1">IF(V$21&lt;=1/$C$31,0,INDEX('SC-New'!$E154:$Y154,1,V$21-ROUND(1/$C$31,0)))</f>
        <v>3234.1555831260375</v>
      </c>
      <c r="W24" s="60">
        <f ca="1">IF(W$21&lt;=1/$C$31,0,INDEX('SC-New'!$E154:$Y154,1,W$21-ROUND(1/$C$31,0)))</f>
        <v>3228.5383428175892</v>
      </c>
      <c r="X24" s="60">
        <f ca="1">IF(X$21&lt;=1/$C$31,0,INDEX('SC-New'!$E154:$Y154,1,X$21-ROUND(1/$C$31,0)))</f>
        <v>3235.3045579377967</v>
      </c>
      <c r="Y24" s="60">
        <f ca="1">IF(Y$21&lt;=1/$C$31,0,INDEX('SC-New'!$E154:$Y154,1,Y$21-ROUND(1/$C$31,0)))</f>
        <v>3228.0905649803053</v>
      </c>
      <c r="Z24" s="60"/>
      <c r="AB24" s="54"/>
    </row>
    <row r="25" spans="1:69">
      <c r="C25" s="9" t="s">
        <v>51</v>
      </c>
      <c r="F25" s="60">
        <f>IF(F$21&lt;=1/$C$31,0,INDEX('SC-New'!$E155:$Y155,1,F$21-ROUND(1/$C$31,0)))</f>
        <v>0</v>
      </c>
      <c r="G25" s="60">
        <f>IF(G$21&lt;=1/$C$31,0,INDEX('SC-New'!$E155:$Y155,1,G$21-ROUND(1/$C$31,0)))</f>
        <v>0</v>
      </c>
      <c r="H25" s="60">
        <f>IF(H$21&lt;=1/$C$31,0,INDEX('SC-New'!$E155:$Y155,1,H$21-ROUND(1/$C$31,0)))</f>
        <v>0</v>
      </c>
      <c r="I25" s="60">
        <f>IF(I$21&lt;=1/$C$31,0,INDEX('SC-New'!$E155:$Y155,1,I$21-ROUND(1/$C$31,0)))</f>
        <v>0</v>
      </c>
      <c r="J25" s="60">
        <f>IF(J$21&lt;=1/$C$31,0,INDEX('SC-New'!$E155:$Y155,1,J$21-ROUND(1/$C$31,0)))</f>
        <v>0</v>
      </c>
      <c r="K25" s="60">
        <f ca="1">IF(K$21&lt;=1/$C$31,0,INDEX('SC-New'!$E155:$Y155,1,K$21-ROUND(1/$C$31,0)))</f>
        <v>1561.7290079815011</v>
      </c>
      <c r="L25" s="60">
        <f ca="1">IF(L$21&lt;=1/$C$31,0,INDEX('SC-New'!$E155:$Y155,1,L$21-ROUND(1/$C$31,0)))</f>
        <v>1432.3472771432478</v>
      </c>
      <c r="M25" s="60">
        <f ca="1">IF(M$21&lt;=1/$C$31,0,INDEX('SC-New'!$E155:$Y155,1,M$21-ROUND(1/$C$31,0)))</f>
        <v>1391.1331618914205</v>
      </c>
      <c r="N25" s="60">
        <f ca="1">IF(N$21&lt;=1/$C$31,0,INDEX('SC-New'!$E155:$Y155,1,N$21-ROUND(1/$C$31,0)))</f>
        <v>1384.6656537779511</v>
      </c>
      <c r="O25" s="60">
        <f ca="1">IF(O$21&lt;=1/$C$31,0,INDEX('SC-New'!$E155:$Y155,1,O$21-ROUND(1/$C$31,0)))</f>
        <v>1308.4641693066228</v>
      </c>
      <c r="P25" s="60">
        <f ca="1">IF(P$21&lt;=1/$C$31,0,INDEX('SC-New'!$E155:$Y155,1,P$21-ROUND(1/$C$31,0)))</f>
        <v>1275.1017345081377</v>
      </c>
      <c r="Q25" s="60">
        <f ca="1">IF(Q$21&lt;=1/$C$31,0,INDEX('SC-New'!$E155:$Y155,1,Q$21-ROUND(1/$C$31,0)))</f>
        <v>1277.8798708669958</v>
      </c>
      <c r="R25" s="60">
        <f ca="1">IF(R$21&lt;=1/$C$31,0,INDEX('SC-New'!$E155:$Y155,1,R$21-ROUND(1/$C$31,0)))</f>
        <v>1288.9399069326091</v>
      </c>
      <c r="S25" s="60">
        <f ca="1">IF(S$21&lt;=1/$C$31,0,INDEX('SC-New'!$E155:$Y155,1,S$21-ROUND(1/$C$31,0)))</f>
        <v>1302.1010760848303</v>
      </c>
      <c r="T25" s="60">
        <f ca="1">IF(T$21&lt;=1/$C$31,0,INDEX('SC-New'!$E155:$Y155,1,T$21-ROUND(1/$C$31,0)))</f>
        <v>1309.8057357892428</v>
      </c>
      <c r="U25" s="60">
        <f ca="1">IF(U$21&lt;=1/$C$31,0,INDEX('SC-New'!$E155:$Y155,1,U$21-ROUND(1/$C$31,0)))</f>
        <v>1309.8214589436764</v>
      </c>
      <c r="V25" s="60">
        <f ca="1">IF(V$21&lt;=1/$C$31,0,INDEX('SC-New'!$E155:$Y155,1,V$21-ROUND(1/$C$31,0)))</f>
        <v>1315.5255956462288</v>
      </c>
      <c r="W25" s="60">
        <f ca="1">IF(W$21&lt;=1/$C$31,0,INDEX('SC-New'!$E155:$Y155,1,W$21-ROUND(1/$C$31,0)))</f>
        <v>1324.4323498976305</v>
      </c>
      <c r="X25" s="60">
        <f ca="1">IF(X$21&lt;=1/$C$31,0,INDEX('SC-New'!$E155:$Y155,1,X$21-ROUND(1/$C$31,0)))</f>
        <v>1332.8636294853695</v>
      </c>
      <c r="Y25" s="60">
        <f ca="1">IF(Y$21&lt;=1/$C$31,0,INDEX('SC-New'!$E155:$Y155,1,Y$21-ROUND(1/$C$31,0)))</f>
        <v>1340.2194157221325</v>
      </c>
      <c r="Z25" s="60"/>
      <c r="AB25" s="54"/>
    </row>
    <row r="26" spans="1:69">
      <c r="F26" s="42"/>
      <c r="G26" s="42"/>
      <c r="H26" s="42"/>
      <c r="I26" s="42"/>
      <c r="J26" s="42"/>
      <c r="K26" s="42"/>
      <c r="L26" s="42"/>
      <c r="M26" s="42"/>
      <c r="N26" s="42"/>
      <c r="O26" s="42"/>
      <c r="P26" s="42"/>
      <c r="Q26" s="42"/>
      <c r="R26" s="42"/>
      <c r="S26" s="42"/>
      <c r="T26" s="42"/>
      <c r="U26" s="42"/>
      <c r="V26" s="42"/>
      <c r="W26" s="42"/>
      <c r="X26" s="42"/>
      <c r="Y26" s="42"/>
      <c r="Z26" s="42"/>
    </row>
    <row r="27" spans="1:69">
      <c r="B27" s="9" t="s">
        <v>56</v>
      </c>
      <c r="C27" s="9" t="s">
        <v>57</v>
      </c>
      <c r="F27" s="42">
        <f ca="1">F18+SUM(F22:F25)</f>
        <v>5912957.9357845243</v>
      </c>
      <c r="G27" s="42">
        <f t="shared" ref="G27:Y27" ca="1" si="2">G18+SUM(G22:G25)</f>
        <v>5894716.7373226183</v>
      </c>
      <c r="H27" s="42">
        <f t="shared" ca="1" si="2"/>
        <v>5876568.4091907088</v>
      </c>
      <c r="I27" s="42">
        <f t="shared" ca="1" si="2"/>
        <v>5858512.1906713378</v>
      </c>
      <c r="J27" s="42">
        <f t="shared" ca="1" si="2"/>
        <v>5840547.3286504922</v>
      </c>
      <c r="K27" s="42">
        <f t="shared" ca="1" si="2"/>
        <v>5900411.3169220192</v>
      </c>
      <c r="L27" s="42">
        <f t="shared" ca="1" si="2"/>
        <v>5873469.898915845</v>
      </c>
      <c r="M27" s="42">
        <f t="shared" ca="1" si="2"/>
        <v>5849191.3520294586</v>
      </c>
      <c r="N27" s="42">
        <f t="shared" ca="1" si="2"/>
        <v>5827186.2840368981</v>
      </c>
      <c r="O27" s="42">
        <f t="shared" ca="1" si="2"/>
        <v>5806084.2759671444</v>
      </c>
      <c r="P27" s="42">
        <f t="shared" ca="1" si="2"/>
        <v>5785869.2205729941</v>
      </c>
      <c r="Q27" s="42">
        <f t="shared" ca="1" si="2"/>
        <v>5767392.7891406454</v>
      </c>
      <c r="R27" s="42">
        <f t="shared" ca="1" si="2"/>
        <v>5750470.9931021444</v>
      </c>
      <c r="S27" s="42">
        <f t="shared" ca="1" si="2"/>
        <v>5733581.7807908701</v>
      </c>
      <c r="T27" s="42">
        <f t="shared" ca="1" si="2"/>
        <v>5717802.314674573</v>
      </c>
      <c r="U27" s="42">
        <f t="shared" ca="1" si="2"/>
        <v>5701338.2454391746</v>
      </c>
      <c r="V27" s="42">
        <f t="shared" ca="1" si="2"/>
        <v>5684260.9850868443</v>
      </c>
      <c r="W27" s="42">
        <f t="shared" ca="1" si="2"/>
        <v>5666811.280108883</v>
      </c>
      <c r="X27" s="42">
        <f t="shared" ca="1" si="2"/>
        <v>5650188.2434677435</v>
      </c>
      <c r="Y27" s="42">
        <f t="shared" ca="1" si="2"/>
        <v>5633962.938871338</v>
      </c>
      <c r="Z27" s="42"/>
      <c r="AB27" s="54"/>
    </row>
    <row r="28" spans="1:69">
      <c r="E28" s="42"/>
      <c r="F28" s="42"/>
      <c r="G28" s="42"/>
      <c r="H28" s="42"/>
      <c r="I28" s="42"/>
      <c r="J28" s="42"/>
      <c r="K28" s="42"/>
      <c r="L28" s="42"/>
      <c r="M28" s="42"/>
      <c r="N28" s="42"/>
      <c r="O28" s="42"/>
      <c r="P28" s="42"/>
      <c r="Q28" s="42"/>
      <c r="R28" s="42"/>
      <c r="S28" s="42"/>
      <c r="T28" s="42"/>
      <c r="U28" s="42"/>
      <c r="V28" s="42"/>
      <c r="W28" s="42"/>
      <c r="X28" s="42"/>
      <c r="Y28" s="42"/>
    </row>
    <row r="29" spans="1:69" ht="15">
      <c r="A29" s="63" t="str">
        <f>CONCATENATE("# HOMES APPLICABLE BY YEAR FOR MEASURE - ",D30)</f>
        <v># HOMES APPLICABLE BY YEAR FOR MEASURE - Monitor - NR</v>
      </c>
      <c r="D29" s="9" t="s">
        <v>147</v>
      </c>
      <c r="E29" s="42"/>
      <c r="F29" s="42"/>
      <c r="G29" s="42"/>
      <c r="H29" s="42"/>
      <c r="I29" s="42"/>
      <c r="J29" s="42"/>
      <c r="K29" s="42"/>
      <c r="L29" s="42"/>
      <c r="M29" s="42"/>
      <c r="N29" s="42"/>
      <c r="O29" s="42"/>
      <c r="P29" s="42"/>
      <c r="Q29" s="42"/>
      <c r="R29" s="42"/>
      <c r="S29" s="42"/>
      <c r="T29" s="42"/>
      <c r="U29" s="42"/>
      <c r="V29" s="42"/>
      <c r="W29" s="42"/>
      <c r="X29" s="42"/>
      <c r="Y29" s="42"/>
      <c r="AB29" s="52">
        <v>0.85</v>
      </c>
    </row>
    <row r="30" spans="1:69" ht="15">
      <c r="A30" s="72" t="s">
        <v>58</v>
      </c>
      <c r="B30" s="72" t="s">
        <v>342</v>
      </c>
      <c r="C30" s="72" t="s">
        <v>308</v>
      </c>
      <c r="D30" s="72" t="str">
        <f>CONCATENATE(C8," - ",C7)</f>
        <v>Monitor - NR</v>
      </c>
      <c r="E30" s="9">
        <v>3</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Y30" s="9">
        <v>23</v>
      </c>
      <c r="AB30" s="50" t="s">
        <v>59</v>
      </c>
    </row>
    <row r="31" spans="1:69">
      <c r="A31" s="64">
        <f>INDEX([2]!ResApplic,MATCH($D$30,[2]APPLIC!$B$9:$B$120,0)+1,MATCH($D31,[2]APPLIC!$C$8:$F$8,0)+1)</f>
        <v>0.44999999999999996</v>
      </c>
      <c r="B31" s="89">
        <f>VLOOKUP($E31,'Units per home'!$A$18:$E$20,MATCH('SC-NR'!$D31,'Units per home'!$B$17:$E$17,0)+1,FALSE)</f>
        <v>1.0228652330906021</v>
      </c>
      <c r="C31" s="348">
        <f>VLOOKUP(CONCATENATE($E31," - ",$C$7),[2]TURN!$B$10:$G$79,6,FALSE)</f>
        <v>0.2</v>
      </c>
      <c r="D31" s="9" t="str">
        <f>C22</f>
        <v>Single Family</v>
      </c>
      <c r="E31" s="9" t="s">
        <v>153</v>
      </c>
      <c r="F31" s="42">
        <f ca="1">$A31*$B31*VLOOKUP($D31,$C$13:$Z$16,F$30,FALSE)*$C31*VLOOKUP($E31,'Units per home'!$A$32:$U$34,F$30-2,FALSE)</f>
        <v>370187.74317006191</v>
      </c>
      <c r="G31" s="42">
        <f ca="1">$A31*$B31*VLOOKUP($D31,$C$13:$Z$16,G$30,FALSE)*$C31*VLOOKUP($E31,'Units per home'!$A$32:$U$34,G$30-2,FALSE)</f>
        <v>365275.08451167797</v>
      </c>
      <c r="H31" s="42">
        <f ca="1">$A31*$B31*VLOOKUP($D31,$C$13:$Z$16,H$30,FALSE)*$C31*VLOOKUP($E31,'Units per home'!$A$32:$U$34,H$30-2,FALSE)</f>
        <v>360389.41076783498</v>
      </c>
      <c r="I31" s="42">
        <f ca="1">$A31*$B31*VLOOKUP($D31,$C$13:$Z$16,I$30,FALSE)*$C31*VLOOKUP($E31,'Units per home'!$A$32:$U$34,I$30-2,FALSE)</f>
        <v>355551.38734036806</v>
      </c>
      <c r="J31" s="42">
        <f ca="1">$A31*$B31*VLOOKUP($D31,$C$13:$Z$16,J$30,FALSE)*$C31*VLOOKUP($E31,'Units per home'!$A$32:$U$34,J$30-2,FALSE)</f>
        <v>350786.73748286034</v>
      </c>
      <c r="K31" s="42">
        <f ca="1">$A31*$B31*VLOOKUP($D31,$C$13:$Z$16,K$30,FALSE)*$C31*VLOOKUP($E31,'Units per home'!$A$32:$U$34,K$30-2,FALSE)</f>
        <v>346081.51746224426</v>
      </c>
      <c r="L31" s="42">
        <f ca="1">$A31*$B31*VLOOKUP($D31,$C$13:$Z$16,L$30,FALSE)*$C31*VLOOKUP($E31,'Units per home'!$A$32:$U$34,L$30-2,FALSE)</f>
        <v>341443.59198673652</v>
      </c>
      <c r="M31" s="42">
        <f ca="1">$A31*$B31*VLOOKUP($D31,$C$13:$Z$16,M$30,FALSE)*$C31*VLOOKUP($E31,'Units per home'!$A$32:$U$34,M$30-2,FALSE)</f>
        <v>336880.47400832863</v>
      </c>
      <c r="N31" s="42">
        <f ca="1">$A31*$B31*VLOOKUP($D31,$C$13:$Z$16,N$30,FALSE)*$C31*VLOOKUP($E31,'Units per home'!$A$32:$U$34,N$30-2,FALSE)</f>
        <v>332376.35079951369</v>
      </c>
      <c r="O31" s="42">
        <f ca="1">$A31*$B31*VLOOKUP($D31,$C$13:$Z$16,O$30,FALSE)*$C31*VLOOKUP($E31,'Units per home'!$A$32:$U$34,O$30-2,FALSE)</f>
        <v>327925.47046182037</v>
      </c>
      <c r="P31" s="42">
        <f ca="1">$A31*$B31*VLOOKUP($D31,$C$13:$Z$16,P$30,FALSE)*$C31*VLOOKUP($E31,'Units per home'!$A$32:$U$34,P$30-2,FALSE)</f>
        <v>323518.80317311949</v>
      </c>
      <c r="Q31" s="42">
        <f ca="1">$A31*$B31*VLOOKUP($D31,$C$13:$Z$16,Q$30,FALSE)*$C31*VLOOKUP($E31,'Units per home'!$A$32:$U$34,Q$30-2,FALSE)</f>
        <v>319175.22227210872</v>
      </c>
      <c r="R31" s="42">
        <f ca="1">$A31*$B31*VLOOKUP($D31,$C$13:$Z$16,R$30,FALSE)*$C31*VLOOKUP($E31,'Units per home'!$A$32:$U$34,R$30-2,FALSE)</f>
        <v>314891.00018602802</v>
      </c>
      <c r="S31" s="42">
        <f ca="1">$A31*$B31*VLOOKUP($D31,$C$13:$Z$16,S$30,FALSE)*$C31*VLOOKUP($E31,'Units per home'!$A$32:$U$34,S$30-2,FALSE)</f>
        <v>310669.71730806708</v>
      </c>
      <c r="T31" s="42">
        <f ca="1">$A31*$B31*VLOOKUP($D31,$C$13:$Z$16,T$30,FALSE)*$C31*VLOOKUP($E31,'Units per home'!$A$32:$U$34,T$30-2,FALSE)</f>
        <v>306512.14713217359</v>
      </c>
      <c r="U31" s="42">
        <f ca="1">$A31*$B31*VLOOKUP($D31,$C$13:$Z$16,U$30,FALSE)*$C31*VLOOKUP($E31,'Units per home'!$A$32:$U$34,U$30-2,FALSE)</f>
        <v>302412.12056597386</v>
      </c>
      <c r="V31" s="42">
        <f ca="1">$A31*$B31*VLOOKUP($D31,$C$13:$Z$16,V$30,FALSE)*$C31*VLOOKUP($E31,'Units per home'!$A$32:$U$34,V$30-2,FALSE)</f>
        <v>298370.64654245763</v>
      </c>
      <c r="W31" s="42">
        <f ca="1">$A31*$B31*VLOOKUP($D31,$C$13:$Z$16,W$30,FALSE)*$C31*VLOOKUP($E31,'Units per home'!$A$32:$U$34,W$30-2,FALSE)</f>
        <v>294391.20962224569</v>
      </c>
      <c r="X31" s="42">
        <f ca="1">$A31*$B31*VLOOKUP($D31,$C$13:$Z$16,X$30,FALSE)*$C31*VLOOKUP($E31,'Units per home'!$A$32:$U$34,X$30-2,FALSE)</f>
        <v>290477.09467924811</v>
      </c>
      <c r="Y31" s="42">
        <f ca="1">$A31*$B31*VLOOKUP($D31,$C$13:$Z$16,Y$30,FALSE)*$C31*VLOOKUP($E31,'Units per home'!$A$32:$U$34,Y$30-2,FALSE)</f>
        <v>286620.09543635225</v>
      </c>
      <c r="Z31" s="42"/>
      <c r="AB31" s="54">
        <f ca="1">(Y13)*A31*B31*$AB$29*VLOOKUP($E31,'Units per home'!$A$32:$U$34,Y$30-2,FALSE)</f>
        <v>1218135.4056044968</v>
      </c>
    </row>
    <row r="32" spans="1:69">
      <c r="A32" s="64">
        <f>INDEX([2]!ResApplic,MATCH($D$30,[2]APPLIC!$B$9:$B$120,0)+1,MATCH($D32,[2]APPLIC!$C$8:$F$8,0)+1)</f>
        <v>0.44999999999999996</v>
      </c>
      <c r="B32" s="89">
        <f>VLOOKUP($E32,'Units per home'!$A$18:$E$20,MATCH('SC-NR'!$D32,'Units per home'!$B$17:$E$17,0)+1,FALSE)</f>
        <v>0.45062457275939666</v>
      </c>
      <c r="C32" s="348">
        <f>VLOOKUP(CONCATENATE($E32," - ",$C$7),[2]TURN!$B$10:$G$79,6,FALSE)</f>
        <v>0.2</v>
      </c>
      <c r="D32" s="9" t="str">
        <f>C23</f>
        <v>Multifamily - Low Rise</v>
      </c>
      <c r="E32" s="9" t="s">
        <v>153</v>
      </c>
      <c r="F32" s="42">
        <f ca="1">$A32*$B32*VLOOKUP($D32,$C$13:$Z$16,F$30,FALSE)*$C32*VLOOKUP($E32,'Units per home'!$A$32:$U$34,F$30-2,FALSE)</f>
        <v>35935.986751042954</v>
      </c>
      <c r="G32" s="42">
        <f ca="1">$A32*$B32*VLOOKUP($D32,$C$13:$Z$16,G$30,FALSE)*$C32*VLOOKUP($E32,'Units per home'!$A$32:$U$34,G$30-2,FALSE)</f>
        <v>35459.088960546054</v>
      </c>
      <c r="H32" s="42">
        <f ca="1">$A32*$B32*VLOOKUP($D32,$C$13:$Z$16,H$30,FALSE)*$C32*VLOOKUP($E32,'Units per home'!$A$32:$U$34,H$30-2,FALSE)</f>
        <v>34984.810766182149</v>
      </c>
      <c r="I32" s="42">
        <f ca="1">$A32*$B32*VLOOKUP($D32,$C$13:$Z$16,I$30,FALSE)*$C32*VLOOKUP($E32,'Units per home'!$A$32:$U$34,I$30-2,FALSE)</f>
        <v>34515.158261973214</v>
      </c>
      <c r="J32" s="42">
        <f ca="1">$A32*$B32*VLOOKUP($D32,$C$13:$Z$16,J$30,FALSE)*$C32*VLOOKUP($E32,'Units per home'!$A$32:$U$34,J$30-2,FALSE)</f>
        <v>34052.628532692368</v>
      </c>
      <c r="K32" s="42">
        <f ca="1">$A32*$B32*VLOOKUP($D32,$C$13:$Z$16,K$30,FALSE)*$C32*VLOOKUP($E32,'Units per home'!$A$32:$U$34,K$30-2,FALSE)</f>
        <v>33595.867989481587</v>
      </c>
      <c r="L32" s="42">
        <f ca="1">$A32*$B32*VLOOKUP($D32,$C$13:$Z$16,L$30,FALSE)*$C32*VLOOKUP($E32,'Units per home'!$A$32:$U$34,L$30-2,FALSE)</f>
        <v>33145.640098336116</v>
      </c>
      <c r="M32" s="42">
        <f ca="1">$A32*$B32*VLOOKUP($D32,$C$13:$Z$16,M$30,FALSE)*$C32*VLOOKUP($E32,'Units per home'!$A$32:$U$34,M$30-2,FALSE)</f>
        <v>32702.674178401663</v>
      </c>
      <c r="N32" s="42">
        <f ca="1">$A32*$B32*VLOOKUP($D32,$C$13:$Z$16,N$30,FALSE)*$C32*VLOOKUP($E32,'Units per home'!$A$32:$U$34,N$30-2,FALSE)</f>
        <v>32265.435208312902</v>
      </c>
      <c r="O32" s="42">
        <f ca="1">$A32*$B32*VLOOKUP($D32,$C$13:$Z$16,O$30,FALSE)*$C32*VLOOKUP($E32,'Units per home'!$A$32:$U$34,O$30-2,FALSE)</f>
        <v>31833.364821900963</v>
      </c>
      <c r="P32" s="42">
        <f ca="1">$A32*$B32*VLOOKUP($D32,$C$13:$Z$16,P$30,FALSE)*$C32*VLOOKUP($E32,'Units per home'!$A$32:$U$34,P$30-2,FALSE)</f>
        <v>31405.586448653503</v>
      </c>
      <c r="Q32" s="42">
        <f ca="1">$A32*$B32*VLOOKUP($D32,$C$13:$Z$16,Q$30,FALSE)*$C32*VLOOKUP($E32,'Units per home'!$A$32:$U$34,Q$30-2,FALSE)</f>
        <v>30983.932217306501</v>
      </c>
      <c r="R32" s="42">
        <f ca="1">$A32*$B32*VLOOKUP($D32,$C$13:$Z$16,R$30,FALSE)*$C32*VLOOKUP($E32,'Units per home'!$A$32:$U$34,R$30-2,FALSE)</f>
        <v>30568.040273104245</v>
      </c>
      <c r="S32" s="42">
        <f ca="1">$A32*$B32*VLOOKUP($D32,$C$13:$Z$16,S$30,FALSE)*$C32*VLOOKUP($E32,'Units per home'!$A$32:$U$34,S$30-2,FALSE)</f>
        <v>30158.25818202976</v>
      </c>
      <c r="T32" s="42">
        <f ca="1">$A32*$B32*VLOOKUP($D32,$C$13:$Z$16,T$30,FALSE)*$C32*VLOOKUP($E32,'Units per home'!$A$32:$U$34,T$30-2,FALSE)</f>
        <v>29754.661030323037</v>
      </c>
      <c r="U32" s="42">
        <f ca="1">$A32*$B32*VLOOKUP($D32,$C$13:$Z$16,U$30,FALSE)*$C32*VLOOKUP($E32,'Units per home'!$A$32:$U$34,U$30-2,FALSE)</f>
        <v>29356.649952798623</v>
      </c>
      <c r="V32" s="42">
        <f ca="1">$A32*$B32*VLOOKUP($D32,$C$13:$Z$16,V$30,FALSE)*$C32*VLOOKUP($E32,'Units per home'!$A$32:$U$34,V$30-2,FALSE)</f>
        <v>28964.322890987503</v>
      </c>
      <c r="W32" s="42">
        <f ca="1">$A32*$B32*VLOOKUP($D32,$C$13:$Z$16,W$30,FALSE)*$C32*VLOOKUP($E32,'Units per home'!$A$32:$U$34,W$30-2,FALSE)</f>
        <v>28578.018107886593</v>
      </c>
      <c r="X32" s="42">
        <f ca="1">$A32*$B32*VLOOKUP($D32,$C$13:$Z$16,X$30,FALSE)*$C32*VLOOKUP($E32,'Units per home'!$A$32:$U$34,X$30-2,FALSE)</f>
        <v>28198.054481862353</v>
      </c>
      <c r="Y32" s="42">
        <f ca="1">$A32*$B32*VLOOKUP($D32,$C$13:$Z$16,Y$30,FALSE)*$C32*VLOOKUP($E32,'Units per home'!$A$32:$U$34,Y$30-2,FALSE)</f>
        <v>27823.635388165032</v>
      </c>
      <c r="Z32" s="42"/>
      <c r="AB32" s="54">
        <f ca="1">(Y14)*A32*B32*$AB$29*VLOOKUP($E32,'Units per home'!$A$32:$U$34,Y$30-2,FALSE)</f>
        <v>118250.4503997014</v>
      </c>
    </row>
    <row r="33" spans="1:28">
      <c r="A33" s="64">
        <f>INDEX([2]!ResApplic,MATCH($D$30,[2]APPLIC!$B$9:$B$120,0)+1,MATCH($D33,[2]APPLIC!$C$8:$F$8,0)+1)</f>
        <v>0.44999999999999996</v>
      </c>
      <c r="B33" s="89">
        <f>VLOOKUP($E33,'Units per home'!$A$18:$E$20,MATCH('SC-NR'!$D33,'Units per home'!$B$17:$E$17,0)+1,FALSE)</f>
        <v>0.45062457275939666</v>
      </c>
      <c r="C33" s="348">
        <f>VLOOKUP(CONCATENATE($E33," - ",$C$7),[2]TURN!$B$10:$G$79,6,FALSE)</f>
        <v>0.2</v>
      </c>
      <c r="D33" s="9" t="str">
        <f>C24</f>
        <v>Multifamily - High Rise</v>
      </c>
      <c r="E33" s="9" t="s">
        <v>153</v>
      </c>
      <c r="F33" s="42">
        <f ca="1">$A33*$B33*VLOOKUP($D33,$C$13:$Z$16,F$30,FALSE)*$C33*VLOOKUP($E33,'Units per home'!$A$32:$U$34,F$30-2,FALSE)</f>
        <v>8193.2737451852499</v>
      </c>
      <c r="G33" s="42">
        <f ca="1">$A33*$B33*VLOOKUP($D33,$C$13:$Z$16,G$30,FALSE)*$C33*VLOOKUP($E33,'Units per home'!$A$32:$U$34,G$30-2,FALSE)</f>
        <v>8084.5427905273355</v>
      </c>
      <c r="H33" s="42">
        <f ca="1">$A33*$B33*VLOOKUP($D33,$C$13:$Z$16,H$30,FALSE)*$C33*VLOOKUP($E33,'Units per home'!$A$32:$U$34,H$30-2,FALSE)</f>
        <v>7976.4090942212815</v>
      </c>
      <c r="I33" s="42">
        <f ca="1">$A33*$B33*VLOOKUP($D33,$C$13:$Z$16,I$30,FALSE)*$C33*VLOOKUP($E33,'Units per home'!$A$32:$U$34,I$30-2,FALSE)</f>
        <v>7869.330038378077</v>
      </c>
      <c r="J33" s="42">
        <f ca="1">$A33*$B33*VLOOKUP($D33,$C$13:$Z$16,J$30,FALSE)*$C33*VLOOKUP($E33,'Units per home'!$A$32:$U$34,J$30-2,FALSE)</f>
        <v>7763.8749492069328</v>
      </c>
      <c r="K33" s="42">
        <f ca="1">$A33*$B33*VLOOKUP($D33,$C$13:$Z$16,K$30,FALSE)*$C33*VLOOKUP($E33,'Units per home'!$A$32:$U$34,K$30-2,FALSE)</f>
        <v>7659.735213391361</v>
      </c>
      <c r="L33" s="42">
        <f ca="1">$A33*$B33*VLOOKUP($D33,$C$13:$Z$16,L$30,FALSE)*$C33*VLOOKUP($E33,'Units per home'!$A$32:$U$34,L$30-2,FALSE)</f>
        <v>7557.0848983901951</v>
      </c>
      <c r="M33" s="42">
        <f ca="1">$A33*$B33*VLOOKUP($D33,$C$13:$Z$16,M$30,FALSE)*$C33*VLOOKUP($E33,'Units per home'!$A$32:$U$34,M$30-2,FALSE)</f>
        <v>7456.0902863052625</v>
      </c>
      <c r="N33" s="42">
        <f ca="1">$A33*$B33*VLOOKUP($D33,$C$13:$Z$16,N$30,FALSE)*$C33*VLOOKUP($E33,'Units per home'!$A$32:$U$34,N$30-2,FALSE)</f>
        <v>7356.4013978709954</v>
      </c>
      <c r="O33" s="42">
        <f ca="1">$A33*$B33*VLOOKUP($D33,$C$13:$Z$16,O$30,FALSE)*$C33*VLOOKUP($E33,'Units per home'!$A$32:$U$34,O$30-2,FALSE)</f>
        <v>7257.8909276399745</v>
      </c>
      <c r="P33" s="42">
        <f ca="1">$A33*$B33*VLOOKUP($D33,$C$13:$Z$16,P$30,FALSE)*$C33*VLOOKUP($E33,'Units per home'!$A$32:$U$34,P$30-2,FALSE)</f>
        <v>7160.3590207365196</v>
      </c>
      <c r="Q33" s="42">
        <f ca="1">$A33*$B33*VLOOKUP($D33,$C$13:$Z$16,Q$30,FALSE)*$C33*VLOOKUP($E33,'Units per home'!$A$32:$U$34,Q$30-2,FALSE)</f>
        <v>7064.223395821713</v>
      </c>
      <c r="R33" s="42">
        <f ca="1">$A33*$B33*VLOOKUP($D33,$C$13:$Z$16,R$30,FALSE)*$C33*VLOOKUP($E33,'Units per home'!$A$32:$U$34,R$30-2,FALSE)</f>
        <v>6969.4015513327086</v>
      </c>
      <c r="S33" s="42">
        <f ca="1">$A33*$B33*VLOOKUP($D33,$C$13:$Z$16,S$30,FALSE)*$C33*VLOOKUP($E33,'Units per home'!$A$32:$U$34,S$30-2,FALSE)</f>
        <v>6875.9727310443586</v>
      </c>
      <c r="T33" s="42">
        <f ca="1">$A33*$B33*VLOOKUP($D33,$C$13:$Z$16,T$30,FALSE)*$C33*VLOOKUP($E33,'Units per home'!$A$32:$U$34,T$30-2,FALSE)</f>
        <v>6783.9540543451767</v>
      </c>
      <c r="U33" s="42">
        <f ca="1">$A33*$B33*VLOOKUP($D33,$C$13:$Z$16,U$30,FALSE)*$C33*VLOOKUP($E33,'Units per home'!$A$32:$U$34,U$30-2,FALSE)</f>
        <v>6693.2089821598702</v>
      </c>
      <c r="V33" s="42">
        <f ca="1">$A33*$B33*VLOOKUP($D33,$C$13:$Z$16,V$30,FALSE)*$C33*VLOOKUP($E33,'Units per home'!$A$32:$U$34,V$30-2,FALSE)</f>
        <v>6603.7598447998262</v>
      </c>
      <c r="W33" s="42">
        <f ca="1">$A33*$B33*VLOOKUP($D33,$C$13:$Z$16,W$30,FALSE)*$C33*VLOOKUP($E33,'Units per home'!$A$32:$U$34,W$30-2,FALSE)</f>
        <v>6515.6837649930476</v>
      </c>
      <c r="X33" s="42">
        <f ca="1">$A33*$B33*VLOOKUP($D33,$C$13:$Z$16,X$30,FALSE)*$C33*VLOOKUP($E33,'Units per home'!$A$32:$U$34,X$30-2,FALSE)</f>
        <v>6429.0534458425809</v>
      </c>
      <c r="Y33" s="42">
        <f ca="1">$A33*$B33*VLOOKUP($D33,$C$13:$Z$16,Y$30,FALSE)*$C33*VLOOKUP($E33,'Units per home'!$A$32:$U$34,Y$30-2,FALSE)</f>
        <v>6343.6872598146638</v>
      </c>
      <c r="Z33" s="42"/>
      <c r="AB33" s="54">
        <f ca="1">(Y15)*A33*B33*$AB$29*VLOOKUP($E33,'Units per home'!$A$32:$U$34,Y$30-2,FALSE)</f>
        <v>26960.67085421232</v>
      </c>
    </row>
    <row r="34" spans="1:28">
      <c r="A34" s="64">
        <f>INDEX([2]!ResApplic,MATCH($D$30,[2]APPLIC!$B$9:$B$120,0)+1,MATCH($D34,[2]APPLIC!$C$8:$F$8,0)+1)</f>
        <v>0.44999999999999996</v>
      </c>
      <c r="B34" s="89">
        <f>VLOOKUP($E34,'Units per home'!$A$18:$E$20,MATCH('SC-NR'!$D34,'Units per home'!$B$17:$E$17,0)+1,FALSE)</f>
        <v>0.72198913200149573</v>
      </c>
      <c r="C34" s="348">
        <f>VLOOKUP(CONCATENATE($E34," - ",$C$7),[2]TURN!$B$10:$G$79,6,FALSE)</f>
        <v>0.2</v>
      </c>
      <c r="D34" t="str">
        <f>C25</f>
        <v>Manufactured</v>
      </c>
      <c r="E34" s="9" t="s">
        <v>153</v>
      </c>
      <c r="F34" s="42">
        <f ca="1">$A34*$B34*VLOOKUP($D34,$C$13:$Z$16,F$30,FALSE)*$C34*VLOOKUP($E34,'Units per home'!$A$32:$U$34,F$30-2,FALSE)</f>
        <v>35556.674715946283</v>
      </c>
      <c r="G34" s="42">
        <f ca="1">$A34*$B34*VLOOKUP($D34,$C$13:$Z$16,G$30,FALSE)*$C34*VLOOKUP($E34,'Units per home'!$A$32:$U$34,G$30-2,FALSE)</f>
        <v>34788.858946919558</v>
      </c>
      <c r="H34" s="42">
        <f ca="1">$A34*$B34*VLOOKUP($D34,$C$13:$Z$16,H$30,FALSE)*$C34*VLOOKUP($E34,'Units per home'!$A$32:$U$34,H$30-2,FALSE)</f>
        <v>34034.015105386294</v>
      </c>
      <c r="I34" s="42">
        <f ca="1">$A34*$B34*VLOOKUP($D34,$C$13:$Z$16,I$30,FALSE)*$C34*VLOOKUP($E34,'Units per home'!$A$32:$U$34,I$30-2,FALSE)</f>
        <v>33293.892595099518</v>
      </c>
      <c r="J34" s="42">
        <f ca="1">$A34*$B34*VLOOKUP($D34,$C$13:$Z$16,J$30,FALSE)*$C34*VLOOKUP($E34,'Units per home'!$A$32:$U$34,J$30-2,FALSE)</f>
        <v>32570.647540652757</v>
      </c>
      <c r="K34" s="42">
        <f ca="1">$A34*$B34*VLOOKUP($D34,$C$13:$Z$16,K$30,FALSE)*$C34*VLOOKUP($E34,'Units per home'!$A$32:$U$34,K$30-2,FALSE)</f>
        <v>31862.70664433518</v>
      </c>
      <c r="L34" s="42">
        <f ca="1">$A34*$B34*VLOOKUP($D34,$C$13:$Z$16,L$30,FALSE)*$C34*VLOOKUP($E34,'Units per home'!$A$32:$U$34,L$30-2,FALSE)</f>
        <v>31170.534995026574</v>
      </c>
      <c r="M34" s="42">
        <f ca="1">$A34*$B34*VLOOKUP($D34,$C$13:$Z$16,M$30,FALSE)*$C34*VLOOKUP($E34,'Units per home'!$A$32:$U$34,M$30-2,FALSE)</f>
        <v>30494.545181759488</v>
      </c>
      <c r="N34" s="42">
        <f ca="1">$A34*$B34*VLOOKUP($D34,$C$13:$Z$16,N$30,FALSE)*$C34*VLOOKUP($E34,'Units per home'!$A$32:$U$34,N$30-2,FALSE)</f>
        <v>29833.037036293499</v>
      </c>
      <c r="O34" s="42">
        <f ca="1">$A34*$B34*VLOOKUP($D34,$C$13:$Z$16,O$30,FALSE)*$C34*VLOOKUP($E34,'Units per home'!$A$32:$U$34,O$30-2,FALSE)</f>
        <v>29185.257758908665</v>
      </c>
      <c r="P34" s="42">
        <f ca="1">$A34*$B34*VLOOKUP($D34,$C$13:$Z$16,P$30,FALSE)*$C34*VLOOKUP($E34,'Units per home'!$A$32:$U$34,P$30-2,FALSE)</f>
        <v>28550.185959667928</v>
      </c>
      <c r="Q34" s="42">
        <f ca="1">$A34*$B34*VLOOKUP($D34,$C$13:$Z$16,Q$30,FALSE)*$C34*VLOOKUP($E34,'Units per home'!$A$32:$U$34,Q$30-2,FALSE)</f>
        <v>27929.271936778277</v>
      </c>
      <c r="R34" s="42">
        <f ca="1">$A34*$B34*VLOOKUP($D34,$C$13:$Z$16,R$30,FALSE)*$C34*VLOOKUP($E34,'Units per home'!$A$32:$U$34,R$30-2,FALSE)</f>
        <v>27321.952033003719</v>
      </c>
      <c r="S34" s="42">
        <f ca="1">$A34*$B34*VLOOKUP($D34,$C$13:$Z$16,S$30,FALSE)*$C34*VLOOKUP($E34,'Units per home'!$A$32:$U$34,S$30-2,FALSE)</f>
        <v>26728.305679281289</v>
      </c>
      <c r="T34" s="42">
        <f ca="1">$A34*$B34*VLOOKUP($D34,$C$13:$Z$16,T$30,FALSE)*$C34*VLOOKUP($E34,'Units per home'!$A$32:$U$34,T$30-2,FALSE)</f>
        <v>26148.165715818315</v>
      </c>
      <c r="U34" s="42">
        <f ca="1">$A34*$B34*VLOOKUP($D34,$C$13:$Z$16,U$30,FALSE)*$C34*VLOOKUP($E34,'Units per home'!$A$32:$U$34,U$30-2,FALSE)</f>
        <v>25580.778834704619</v>
      </c>
      <c r="V34" s="42">
        <f ca="1">$A34*$B34*VLOOKUP($D34,$C$13:$Z$16,V$30,FALSE)*$C34*VLOOKUP($E34,'Units per home'!$A$32:$U$34,V$30-2,FALSE)</f>
        <v>25026.014727487713</v>
      </c>
      <c r="W34" s="42">
        <f ca="1">$A34*$B34*VLOOKUP($D34,$C$13:$Z$16,W$30,FALSE)*$C34*VLOOKUP($E34,'Units per home'!$A$32:$U$34,W$30-2,FALSE)</f>
        <v>24483.949188509901</v>
      </c>
      <c r="X34" s="42">
        <f ca="1">$A34*$B34*VLOOKUP($D34,$C$13:$Z$16,X$30,FALSE)*$C34*VLOOKUP($E34,'Units per home'!$A$32:$U$34,X$30-2,FALSE)</f>
        <v>23954.634828010749</v>
      </c>
      <c r="Y34" s="42">
        <f ca="1">$A34*$B34*VLOOKUP($D34,$C$13:$Z$16,Y$30,FALSE)*$C34*VLOOKUP($E34,'Units per home'!$A$32:$U$34,Y$30-2,FALSE)</f>
        <v>23437.178620488812</v>
      </c>
      <c r="Z34" s="42"/>
      <c r="AB34" s="54">
        <f ca="1">(Y16)*A34*B34*$AB$29*VLOOKUP($E34,'Units per home'!$A$32:$U$34,Y$30-2,FALSE)</f>
        <v>99608.009137077432</v>
      </c>
    </row>
    <row r="35" spans="1:28">
      <c r="A35" s="64"/>
      <c r="B35" s="89"/>
      <c r="C35" s="348"/>
      <c r="F35" s="42"/>
      <c r="G35" s="42"/>
      <c r="H35" s="42"/>
      <c r="I35" s="42"/>
      <c r="J35" s="42"/>
      <c r="K35" s="42"/>
      <c r="L35" s="42"/>
      <c r="M35" s="42"/>
      <c r="N35" s="42"/>
      <c r="O35" s="42"/>
      <c r="P35" s="42"/>
      <c r="Q35" s="42"/>
      <c r="R35" s="42"/>
      <c r="S35" s="42"/>
      <c r="T35" s="42"/>
      <c r="U35" s="42"/>
      <c r="V35" s="42"/>
      <c r="W35" s="42"/>
      <c r="X35" s="42"/>
      <c r="Y35" s="42"/>
      <c r="Z35" s="42"/>
      <c r="AB35" s="54"/>
    </row>
    <row r="36" spans="1:28">
      <c r="A36" s="64"/>
      <c r="B36" s="89"/>
      <c r="C36" s="348"/>
      <c r="F36" s="42"/>
      <c r="G36" s="42"/>
      <c r="H36" s="42"/>
      <c r="I36" s="42"/>
      <c r="J36" s="42"/>
      <c r="K36" s="42"/>
      <c r="L36" s="42"/>
      <c r="M36" s="42"/>
      <c r="N36" s="42"/>
      <c r="O36" s="42"/>
      <c r="P36" s="42"/>
      <c r="Q36" s="42"/>
      <c r="R36" s="42"/>
      <c r="S36" s="42"/>
      <c r="T36" s="42"/>
      <c r="U36" s="42"/>
      <c r="V36" s="42"/>
      <c r="W36" s="42"/>
      <c r="X36" s="42"/>
      <c r="Y36" s="42"/>
      <c r="Z36" s="42"/>
      <c r="AB36" s="54"/>
    </row>
    <row r="37" spans="1:28">
      <c r="A37" s="64"/>
      <c r="B37" s="89"/>
      <c r="C37" s="348"/>
      <c r="F37" s="42"/>
      <c r="G37" s="42"/>
      <c r="H37" s="42"/>
      <c r="I37" s="42"/>
      <c r="J37" s="42"/>
      <c r="K37" s="42"/>
      <c r="L37" s="42"/>
      <c r="M37" s="42"/>
      <c r="N37" s="42"/>
      <c r="O37" s="42"/>
      <c r="P37" s="42"/>
      <c r="Q37" s="42"/>
      <c r="R37" s="42"/>
      <c r="S37" s="42"/>
      <c r="T37" s="42"/>
      <c r="U37" s="42"/>
      <c r="V37" s="42"/>
      <c r="W37" s="42"/>
      <c r="X37" s="42"/>
      <c r="Y37" s="42"/>
      <c r="Z37" s="42"/>
      <c r="AB37" s="54"/>
    </row>
    <row r="38" spans="1:28">
      <c r="A38" s="64"/>
      <c r="B38" s="89"/>
      <c r="C38" s="348"/>
      <c r="F38" s="42"/>
      <c r="G38" s="42"/>
      <c r="H38" s="42"/>
      <c r="I38" s="42"/>
      <c r="J38" s="42"/>
      <c r="K38" s="42"/>
      <c r="L38" s="42"/>
      <c r="M38" s="42"/>
      <c r="N38" s="42"/>
      <c r="O38" s="42"/>
      <c r="P38" s="42"/>
      <c r="Q38" s="42"/>
      <c r="R38" s="42"/>
      <c r="S38" s="42"/>
      <c r="T38" s="42"/>
      <c r="U38" s="42"/>
      <c r="V38" s="42"/>
      <c r="W38" s="42"/>
      <c r="X38" s="42"/>
      <c r="Y38" s="42"/>
      <c r="Z38" s="42"/>
      <c r="AB38" s="54"/>
    </row>
    <row r="39" spans="1:28">
      <c r="A39" s="64"/>
      <c r="B39" s="89"/>
      <c r="C39" s="348"/>
      <c r="F39" s="42"/>
      <c r="G39" s="42"/>
      <c r="H39" s="42"/>
      <c r="I39" s="42"/>
      <c r="J39" s="42"/>
      <c r="K39" s="42"/>
      <c r="L39" s="42"/>
      <c r="M39" s="42"/>
      <c r="N39" s="42"/>
      <c r="O39" s="42"/>
      <c r="P39" s="42"/>
      <c r="Q39" s="42"/>
      <c r="R39" s="42"/>
      <c r="S39" s="42"/>
      <c r="T39" s="42"/>
      <c r="U39" s="42"/>
      <c r="V39" s="42"/>
      <c r="W39" s="42"/>
      <c r="X39" s="42"/>
      <c r="Y39" s="42"/>
      <c r="Z39" s="42"/>
      <c r="AB39" s="54"/>
    </row>
    <row r="40" spans="1:28">
      <c r="A40" s="64"/>
      <c r="B40" s="89"/>
      <c r="C40" s="348"/>
      <c r="F40" s="42"/>
      <c r="G40" s="42"/>
      <c r="H40" s="42"/>
      <c r="I40" s="42"/>
      <c r="J40" s="42"/>
      <c r="K40" s="42"/>
      <c r="L40" s="42"/>
      <c r="M40" s="42"/>
      <c r="N40" s="42"/>
      <c r="O40" s="42"/>
      <c r="P40" s="42"/>
      <c r="Q40" s="42"/>
      <c r="R40" s="42"/>
      <c r="S40" s="42"/>
      <c r="T40" s="42"/>
      <c r="U40" s="42"/>
      <c r="V40" s="42"/>
      <c r="W40" s="42"/>
      <c r="X40" s="42"/>
      <c r="Y40" s="42"/>
      <c r="Z40" s="42"/>
      <c r="AB40" s="54"/>
    </row>
    <row r="41" spans="1:28">
      <c r="A41" s="64"/>
      <c r="B41" s="89"/>
      <c r="C41" s="348"/>
      <c r="F41" s="42"/>
      <c r="G41" s="42"/>
      <c r="H41" s="42"/>
      <c r="I41" s="42"/>
      <c r="J41" s="42"/>
      <c r="K41" s="42"/>
      <c r="L41" s="42"/>
      <c r="M41" s="42"/>
      <c r="N41" s="42"/>
      <c r="O41" s="42"/>
      <c r="P41" s="42"/>
      <c r="Q41" s="42"/>
      <c r="R41" s="42"/>
      <c r="S41" s="42"/>
      <c r="T41" s="42"/>
      <c r="U41" s="42"/>
      <c r="V41" s="42"/>
      <c r="W41" s="42"/>
      <c r="X41" s="42"/>
      <c r="Y41" s="42"/>
      <c r="Z41" s="42"/>
      <c r="AB41" s="54"/>
    </row>
    <row r="42" spans="1:28">
      <c r="A42" s="64"/>
      <c r="B42" s="89"/>
      <c r="C42" s="348"/>
      <c r="F42" s="42"/>
      <c r="G42" s="42"/>
      <c r="H42" s="42"/>
      <c r="I42" s="42"/>
      <c r="J42" s="42"/>
      <c r="K42" s="42"/>
      <c r="L42" s="42"/>
      <c r="M42" s="42"/>
      <c r="N42" s="42"/>
      <c r="O42" s="42"/>
      <c r="P42" s="42"/>
      <c r="Q42" s="42"/>
      <c r="R42" s="42"/>
      <c r="S42" s="42"/>
      <c r="T42" s="42"/>
      <c r="U42" s="42"/>
      <c r="V42" s="42"/>
      <c r="W42" s="42"/>
      <c r="X42" s="42"/>
      <c r="Y42" s="42"/>
      <c r="Z42" s="42"/>
      <c r="AB42" s="54"/>
    </row>
    <row r="43" spans="1:28">
      <c r="F43" s="42"/>
      <c r="G43" s="42"/>
      <c r="H43" s="42"/>
      <c r="I43" s="42"/>
      <c r="J43" s="42"/>
      <c r="K43" s="42"/>
      <c r="L43" s="42"/>
      <c r="M43" s="42"/>
      <c r="N43" s="42"/>
      <c r="O43" s="42"/>
      <c r="P43" s="42"/>
      <c r="Q43" s="42"/>
      <c r="R43" s="42"/>
      <c r="S43" s="42"/>
      <c r="T43" s="42"/>
      <c r="U43" s="42"/>
      <c r="V43" s="42"/>
      <c r="W43" s="42"/>
      <c r="X43" s="42"/>
      <c r="Y43" s="42"/>
      <c r="Z43" s="42"/>
    </row>
    <row r="44" spans="1:28">
      <c r="F44" s="42">
        <f t="shared" ref="F44:Y44" ca="1" si="3">SUM(F31:F34)</f>
        <v>449873.67838223639</v>
      </c>
      <c r="G44" s="42">
        <f t="shared" ca="1" si="3"/>
        <v>443607.57520967093</v>
      </c>
      <c r="H44" s="42">
        <f t="shared" ca="1" si="3"/>
        <v>437384.6457336247</v>
      </c>
      <c r="I44" s="42">
        <f t="shared" ca="1" si="3"/>
        <v>431229.76823581889</v>
      </c>
      <c r="J44" s="42">
        <f t="shared" ca="1" si="3"/>
        <v>425173.88850541244</v>
      </c>
      <c r="K44" s="42">
        <f t="shared" ca="1" si="3"/>
        <v>419199.8273094524</v>
      </c>
      <c r="L44" s="42">
        <f t="shared" ca="1" si="3"/>
        <v>413316.85197848937</v>
      </c>
      <c r="M44" s="42">
        <f t="shared" ca="1" si="3"/>
        <v>407533.78365479503</v>
      </c>
      <c r="N44" s="42">
        <f t="shared" ca="1" si="3"/>
        <v>401831.22444199101</v>
      </c>
      <c r="O44" s="42">
        <f t="shared" ca="1" si="3"/>
        <v>396201.98397026997</v>
      </c>
      <c r="P44" s="42">
        <f t="shared" ca="1" si="3"/>
        <v>390634.93460217747</v>
      </c>
      <c r="Q44" s="42">
        <f t="shared" ca="1" si="3"/>
        <v>385152.6498220152</v>
      </c>
      <c r="R44" s="42">
        <f t="shared" ca="1" si="3"/>
        <v>379750.39404346875</v>
      </c>
      <c r="S44" s="42">
        <f t="shared" ca="1" si="3"/>
        <v>374432.25390042248</v>
      </c>
      <c r="T44" s="42">
        <f t="shared" ca="1" si="3"/>
        <v>369198.9279326601</v>
      </c>
      <c r="U44" s="42">
        <f t="shared" ca="1" si="3"/>
        <v>364042.75833563693</v>
      </c>
      <c r="V44" s="42">
        <f t="shared" ca="1" si="3"/>
        <v>358964.74400573265</v>
      </c>
      <c r="W44" s="42">
        <f t="shared" ca="1" si="3"/>
        <v>353968.86068363523</v>
      </c>
      <c r="X44" s="42">
        <f t="shared" ca="1" si="3"/>
        <v>349058.83743496379</v>
      </c>
      <c r="Y44" s="42">
        <f t="shared" ca="1" si="3"/>
        <v>344224.59670482069</v>
      </c>
      <c r="Z44" s="42"/>
      <c r="AB44" s="54">
        <f ca="1">SUM(AB31:AB34)</f>
        <v>1462954.5359954881</v>
      </c>
    </row>
    <row r="45" spans="1:28">
      <c r="E45" s="42"/>
      <c r="F45" s="42"/>
      <c r="G45" s="42"/>
      <c r="H45" s="42"/>
      <c r="I45" s="42"/>
      <c r="J45" s="42"/>
      <c r="K45" s="42"/>
      <c r="L45" s="42"/>
      <c r="M45" s="42"/>
      <c r="N45" s="42"/>
      <c r="O45" s="42"/>
      <c r="P45" s="42"/>
      <c r="Q45" s="42"/>
      <c r="R45" s="42"/>
      <c r="S45" s="42"/>
      <c r="T45" s="42"/>
      <c r="U45" s="42"/>
      <c r="V45" s="42"/>
      <c r="W45" s="42"/>
      <c r="X45" s="42"/>
      <c r="Y45" s="42"/>
    </row>
    <row r="46" spans="1:28" ht="15">
      <c r="A46" s="63" t="str">
        <f>CONCATENATE("# HOMES APPLICABLE BY YEAR FOR MEASURE - ",D30)</f>
        <v># HOMES APPLICABLE BY YEAR FOR MEASURE - Monitor - NR</v>
      </c>
      <c r="D46" s="9" t="s">
        <v>148</v>
      </c>
      <c r="E46" s="42"/>
      <c r="F46" s="42"/>
      <c r="G46" s="42"/>
      <c r="H46" s="42"/>
      <c r="I46" s="42"/>
      <c r="J46" s="42"/>
      <c r="K46" s="42"/>
      <c r="L46" s="42"/>
      <c r="M46" s="42"/>
      <c r="N46" s="42"/>
      <c r="O46" s="42"/>
      <c r="P46" s="42"/>
      <c r="Q46" s="42"/>
      <c r="R46" s="42"/>
      <c r="S46" s="42"/>
      <c r="T46" s="42"/>
      <c r="U46" s="42"/>
      <c r="V46" s="42"/>
      <c r="W46" s="42"/>
      <c r="X46" s="42"/>
      <c r="Y46" s="42"/>
      <c r="AB46" s="52">
        <v>0.85</v>
      </c>
    </row>
    <row r="47" spans="1:28" ht="15">
      <c r="A47" s="72" t="s">
        <v>58</v>
      </c>
      <c r="B47" s="72" t="s">
        <v>145</v>
      </c>
      <c r="C47" s="72" t="s">
        <v>308</v>
      </c>
      <c r="D47" s="72" t="str">
        <f>CONCATENATE(C8," - ","NEW")</f>
        <v>Monitor - NEW</v>
      </c>
      <c r="E47" s="9">
        <v>3</v>
      </c>
      <c r="F47" s="9">
        <v>4</v>
      </c>
      <c r="G47" s="9">
        <v>5</v>
      </c>
      <c r="H47" s="9">
        <v>6</v>
      </c>
      <c r="I47" s="9">
        <v>7</v>
      </c>
      <c r="J47" s="9">
        <v>8</v>
      </c>
      <c r="K47" s="9">
        <v>9</v>
      </c>
      <c r="L47" s="9">
        <v>10</v>
      </c>
      <c r="M47" s="9">
        <v>11</v>
      </c>
      <c r="N47" s="9">
        <v>12</v>
      </c>
      <c r="O47" s="9">
        <v>13</v>
      </c>
      <c r="P47" s="9">
        <v>14</v>
      </c>
      <c r="Q47" s="9">
        <v>15</v>
      </c>
      <c r="R47" s="9">
        <v>16</v>
      </c>
      <c r="S47" s="9">
        <v>17</v>
      </c>
      <c r="T47" s="9">
        <v>18</v>
      </c>
      <c r="U47" s="9">
        <v>19</v>
      </c>
      <c r="V47" s="9">
        <v>20</v>
      </c>
      <c r="W47" s="9">
        <v>21</v>
      </c>
      <c r="X47" s="9">
        <v>22</v>
      </c>
      <c r="Y47" s="9">
        <v>23</v>
      </c>
      <c r="AB47" s="50" t="s">
        <v>59</v>
      </c>
    </row>
    <row r="48" spans="1:28">
      <c r="A48" s="64">
        <f>INDEX([2]!ResApplic,MATCH($D$47,[2]APPLIC!$B$9:$B$120,0)+1,MATCH($D48,[2]APPLIC!$C$8:$F$8,0)+1)</f>
        <v>0.44999999999999996</v>
      </c>
      <c r="B48" s="89">
        <f>VLOOKUP($E48,'Units per home'!$A$18:$E$20,MATCH('SC-NR'!$D48,'Units per home'!$B$17:$E$17,0)+1,FALSE)</f>
        <v>1.0228652330906021</v>
      </c>
      <c r="C48" s="348">
        <f>VLOOKUP($D$47,[2]TURN!$B$10:$G$79,6,FALSE)</f>
        <v>1</v>
      </c>
      <c r="D48" s="9" t="str">
        <f>D31</f>
        <v>Single Family</v>
      </c>
      <c r="E48" s="9" t="s">
        <v>153</v>
      </c>
      <c r="F48" s="42">
        <f>$A48*$B48*$C48*VLOOKUP($D48,$C$22:$Z$25,F$47,FALSE)*VLOOKUP($E48,'Units per home'!$A$32:$U$34,F$47-2,FALSE)</f>
        <v>0</v>
      </c>
      <c r="G48" s="42">
        <f>$A48*$B48*$C48*VLOOKUP($D48,$C$22:$Z$25,G$47,FALSE)*VLOOKUP($E48,'Units per home'!$A$32:$U$34,G$47-2,FALSE)</f>
        <v>0</v>
      </c>
      <c r="H48" s="42">
        <f>$A48*$B48*$C48*VLOOKUP($D48,$C$22:$Z$25,H$47,FALSE)*VLOOKUP($E48,'Units per home'!$A$32:$U$34,H$47-2,FALSE)</f>
        <v>0</v>
      </c>
      <c r="I48" s="42">
        <f>$A48*$B48*$C48*VLOOKUP($D48,$C$22:$Z$25,I$47,FALSE)*VLOOKUP($E48,'Units per home'!$A$32:$U$34,I$47-2,FALSE)</f>
        <v>0</v>
      </c>
      <c r="J48" s="42">
        <f>$A48*$B48*$C48*VLOOKUP($D48,$C$22:$Z$25,J$47,FALSE)*VLOOKUP($E48,'Units per home'!$A$32:$U$34,J$47-2,FALSE)</f>
        <v>0</v>
      </c>
      <c r="K48" s="42">
        <f ca="1">$A48*$B48*$C48*VLOOKUP($D48,$C$22:$Z$25,K$47,FALSE)*VLOOKUP($E48,'Units per home'!$A$32:$U$34,K$47-2,FALSE)</f>
        <v>21802.312666154812</v>
      </c>
      <c r="L48" s="42">
        <f ca="1">$A48*$B48*$C48*VLOOKUP($D48,$C$22:$Z$25,L$47,FALSE)*VLOOKUP($E48,'Units per home'!$A$32:$U$34,L$47-2,FALSE)</f>
        <v>18790.965378105753</v>
      </c>
      <c r="M48" s="42">
        <f ca="1">$A48*$B48*$C48*VLOOKUP($D48,$C$22:$Z$25,M$47,FALSE)*VLOOKUP($E48,'Units per home'!$A$32:$U$34,M$47-2,FALSE)</f>
        <v>16514.991369864885</v>
      </c>
      <c r="N48" s="42">
        <f ca="1">$A48*$B48*$C48*VLOOKUP($D48,$C$22:$Z$25,N$47,FALSE)*VLOOKUP($E48,'Units per home'!$A$32:$U$34,N$47-2,FALSE)</f>
        <v>15165.85105597636</v>
      </c>
      <c r="O48" s="42">
        <f ca="1">$A48*$B48*$C48*VLOOKUP($D48,$C$22:$Z$25,O$47,FALSE)*VLOOKUP($E48,'Units per home'!$A$32:$U$34,O$47-2,FALSE)</f>
        <v>14224.814536517069</v>
      </c>
      <c r="P48" s="42">
        <f ca="1">$A48*$B48*$C48*VLOOKUP($D48,$C$22:$Z$25,P$47,FALSE)*VLOOKUP($E48,'Units per home'!$A$32:$U$34,P$47-2,FALSE)</f>
        <v>13269.480662884225</v>
      </c>
      <c r="Q48" s="42">
        <f ca="1">$A48*$B48*$C48*VLOOKUP($D48,$C$22:$Z$25,Q$47,FALSE)*VLOOKUP($E48,'Units per home'!$A$32:$U$34,Q$47-2,FALSE)</f>
        <v>12741.150295521187</v>
      </c>
      <c r="R48" s="42">
        <f ca="1">$A48*$B48*$C48*VLOOKUP($D48,$C$22:$Z$25,R$47,FALSE)*VLOOKUP($E48,'Units per home'!$A$32:$U$34,R$47-2,FALSE)</f>
        <v>12576.141664554087</v>
      </c>
      <c r="S48" s="42">
        <f ca="1">$A48*$B48*$C48*VLOOKUP($D48,$C$22:$Z$25,S$47,FALSE)*VLOOKUP($E48,'Units per home'!$A$32:$U$34,S$47-2,FALSE)</f>
        <v>12365.341312225701</v>
      </c>
      <c r="T48" s="42">
        <f ca="1">$A48*$B48*$C48*VLOOKUP($D48,$C$22:$Z$25,T$47,FALSE)*VLOOKUP($E48,'Units per home'!$A$32:$U$34,T$47-2,FALSE)</f>
        <v>12510.663757435839</v>
      </c>
      <c r="U48" s="42">
        <f ca="1">$A48*$B48*$C48*VLOOKUP($D48,$C$22:$Z$25,U$47,FALSE)*VLOOKUP($E48,'Units per home'!$A$32:$U$34,U$47-2,FALSE)</f>
        <v>12525.562509542095</v>
      </c>
      <c r="V48" s="42">
        <f ca="1">$A48*$B48*$C48*VLOOKUP($D48,$C$22:$Z$25,V$47,FALSE)*VLOOKUP($E48,'Units per home'!$A$32:$U$34,V$47-2,FALSE)</f>
        <v>12293.452379236107</v>
      </c>
      <c r="W48" s="42">
        <f ca="1">$A48*$B48*$C48*VLOOKUP($D48,$C$22:$Z$25,W$47,FALSE)*VLOOKUP($E48,'Units per home'!$A$32:$U$34,W$47-2,FALSE)</f>
        <v>11898.252141099374</v>
      </c>
      <c r="X48" s="42">
        <f ca="1">$A48*$B48*$C48*VLOOKUP($D48,$C$22:$Z$25,X$47,FALSE)*VLOOKUP($E48,'Units per home'!$A$32:$U$34,X$47-2,FALSE)</f>
        <v>11840.80403276682</v>
      </c>
      <c r="Y48" s="42">
        <f ca="1">$A48*$B48*$C48*VLOOKUP($D48,$C$22:$Z$25,Y$47,FALSE)*VLOOKUP($E48,'Units per home'!$A$32:$U$34,Y$47-2,FALSE)</f>
        <v>11907.885400794252</v>
      </c>
      <c r="Z48" s="42"/>
      <c r="AB48" s="54">
        <f ca="1">SUM(F22:Y22)*A48*B48*$AB$29*VLOOKUP($E48,'Units per home'!$A$32:$U$34,Y$47-2,FALSE)</f>
        <v>164269.90899307499</v>
      </c>
    </row>
    <row r="49" spans="1:72">
      <c r="A49" s="64">
        <f>INDEX([2]!ResApplic,MATCH($D$47,[2]APPLIC!$B$9:$B$120,0)+1,MATCH($D49,[2]APPLIC!$C$8:$F$8,0)+1)</f>
        <v>0.44999999999999996</v>
      </c>
      <c r="B49" s="89">
        <f>VLOOKUP($E49,'Units per home'!$A$18:$E$20,MATCH('SC-NR'!$D49,'Units per home'!$B$17:$E$17,0)+1,FALSE)</f>
        <v>0.45062457275939666</v>
      </c>
      <c r="C49" s="348">
        <f>VLOOKUP($D$47,[2]TURN!$B$10:$G$79,6,FALSE)</f>
        <v>1</v>
      </c>
      <c r="D49" s="9" t="str">
        <f t="shared" ref="D49:D51" si="4">D32</f>
        <v>Multifamily - Low Rise</v>
      </c>
      <c r="E49" s="9" t="s">
        <v>153</v>
      </c>
      <c r="F49" s="42">
        <f>$A49*$B49*$C49*VLOOKUP($D49,$C$22:$Z$25,F$47,FALSE)*VLOOKUP($E49,'Units per home'!$A$32:$U$34,F$47-2,FALSE)</f>
        <v>0</v>
      </c>
      <c r="G49" s="42">
        <f>$A49*$B49*$C49*VLOOKUP($D49,$C$22:$Z$25,G$47,FALSE)*VLOOKUP($E49,'Units per home'!$A$32:$U$34,G$47-2,FALSE)</f>
        <v>0</v>
      </c>
      <c r="H49" s="42">
        <f>$A49*$B49*$C49*VLOOKUP($D49,$C$22:$Z$25,H$47,FALSE)*VLOOKUP($E49,'Units per home'!$A$32:$U$34,H$47-2,FALSE)</f>
        <v>0</v>
      </c>
      <c r="I49" s="42">
        <f>$A49*$B49*$C49*VLOOKUP($D49,$C$22:$Z$25,I$47,FALSE)*VLOOKUP($E49,'Units per home'!$A$32:$U$34,I$47-2,FALSE)</f>
        <v>0</v>
      </c>
      <c r="J49" s="42">
        <f>$A49*$B49*$C49*VLOOKUP($D49,$C$22:$Z$25,J$47,FALSE)*VLOOKUP($E49,'Units per home'!$A$32:$U$34,J$47-2,FALSE)</f>
        <v>0</v>
      </c>
      <c r="K49" s="42">
        <f ca="1">$A49*$B49*$C49*VLOOKUP($D49,$C$22:$Z$25,K$47,FALSE)*VLOOKUP($E49,'Units per home'!$A$32:$U$34,K$47-2,FALSE)</f>
        <v>3567.135273702881</v>
      </c>
      <c r="L49" s="42">
        <f ca="1">$A49*$B49*$C49*VLOOKUP($D49,$C$22:$Z$25,L$47,FALSE)*VLOOKUP($E49,'Units per home'!$A$32:$U$34,L$47-2,FALSE)</f>
        <v>3177.8078104819383</v>
      </c>
      <c r="M49" s="42">
        <f ca="1">$A49*$B49*$C49*VLOOKUP($D49,$C$22:$Z$25,M$47,FALSE)*VLOOKUP($E49,'Units per home'!$A$32:$U$34,M$47-2,FALSE)</f>
        <v>2920.2659149687984</v>
      </c>
      <c r="N49" s="42">
        <f ca="1">$A49*$B49*$C49*VLOOKUP($D49,$C$22:$Z$25,N$47,FALSE)*VLOOKUP($E49,'Units per home'!$A$32:$U$34,N$47-2,FALSE)</f>
        <v>2683.6934683230161</v>
      </c>
      <c r="O49" s="42">
        <f ca="1">$A49*$B49*$C49*VLOOKUP($D49,$C$22:$Z$25,O$47,FALSE)*VLOOKUP($E49,'Units per home'!$A$32:$U$34,O$47-2,FALSE)</f>
        <v>2438.1733115032939</v>
      </c>
      <c r="P49" s="42">
        <f ca="1">$A49*$B49*$C49*VLOOKUP($D49,$C$22:$Z$25,P$47,FALSE)*VLOOKUP($E49,'Units per home'!$A$32:$U$34,P$47-2,FALSE)</f>
        <v>2301.3702847873051</v>
      </c>
      <c r="Q49" s="42">
        <f ca="1">$A49*$B49*$C49*VLOOKUP($D49,$C$22:$Z$25,Q$47,FALSE)*VLOOKUP($E49,'Units per home'!$A$32:$U$34,Q$47-2,FALSE)</f>
        <v>2252.4055865369392</v>
      </c>
      <c r="R49" s="42">
        <f ca="1">$A49*$B49*$C49*VLOOKUP($D49,$C$22:$Z$25,R$47,FALSE)*VLOOKUP($E49,'Units per home'!$A$32:$U$34,R$47-2,FALSE)</f>
        <v>2275.457117357781</v>
      </c>
      <c r="S49" s="42">
        <f ca="1">$A49*$B49*$C49*VLOOKUP($D49,$C$22:$Z$25,S$47,FALSE)*VLOOKUP($E49,'Units per home'!$A$32:$U$34,S$47-2,FALSE)</f>
        <v>2315.6249543513181</v>
      </c>
      <c r="T49" s="42">
        <f ca="1">$A49*$B49*$C49*VLOOKUP($D49,$C$22:$Z$25,T$47,FALSE)*VLOOKUP($E49,'Units per home'!$A$32:$U$34,T$47-2,FALSE)</f>
        <v>2364.495887115645</v>
      </c>
      <c r="U49" s="42">
        <f ca="1">$A49*$B49*$C49*VLOOKUP($D49,$C$22:$Z$25,U$47,FALSE)*VLOOKUP($E49,'Units per home'!$A$32:$U$34,U$47-2,FALSE)</f>
        <v>2360.709018566517</v>
      </c>
      <c r="V49" s="42">
        <f ca="1">$A49*$B49*$C49*VLOOKUP($D49,$C$22:$Z$25,V$47,FALSE)*VLOOKUP($E49,'Units per home'!$A$32:$U$34,V$47-2,FALSE)</f>
        <v>2347.7407201998544</v>
      </c>
      <c r="W49" s="42">
        <f ca="1">$A49*$B49*$C49*VLOOKUP($D49,$C$22:$Z$25,W$47,FALSE)*VLOOKUP($E49,'Units per home'!$A$32:$U$34,W$47-2,FALSE)</f>
        <v>2337.8350830551817</v>
      </c>
      <c r="X49" s="42">
        <f ca="1">$A49*$B49*$C49*VLOOKUP($D49,$C$22:$Z$25,X$47,FALSE)*VLOOKUP($E49,'Units per home'!$A$32:$U$34,X$47-2,FALSE)</f>
        <v>2298.8374587318845</v>
      </c>
      <c r="Y49" s="42">
        <f ca="1">$A49*$B49*$C49*VLOOKUP($D49,$C$22:$Z$25,Y$47,FALSE)*VLOOKUP($E49,'Units per home'!$A$32:$U$34,Y$47-2,FALSE)</f>
        <v>2257.6513688015702</v>
      </c>
      <c r="Z49" s="42"/>
      <c r="AB49" s="54">
        <f ca="1">SUM(F23:Y23)*A49*B49*$AB$29*VLOOKUP($E49,'Units per home'!$A$32:$U$34,Y$47-2,FALSE)</f>
        <v>29662.472046286461</v>
      </c>
    </row>
    <row r="50" spans="1:72">
      <c r="A50" s="64">
        <f>INDEX([2]!ResApplic,MATCH($D$47,[2]APPLIC!$B$9:$B$120,0)+1,MATCH($D50,[2]APPLIC!$C$8:$F$8,0)+1)</f>
        <v>0.44999999999999996</v>
      </c>
      <c r="B50" s="89">
        <f>VLOOKUP($E50,'Units per home'!$A$18:$E$20,MATCH('SC-NR'!$D50,'Units per home'!$B$17:$E$17,0)+1,FALSE)</f>
        <v>0.45062457275939666</v>
      </c>
      <c r="C50" s="348">
        <f>VLOOKUP($D$47,[2]TURN!$B$10:$G$79,6,FALSE)</f>
        <v>1</v>
      </c>
      <c r="D50" s="9" t="str">
        <f t="shared" si="4"/>
        <v>Multifamily - High Rise</v>
      </c>
      <c r="E50" s="9" t="s">
        <v>153</v>
      </c>
      <c r="F50" s="42">
        <f>$A50*$B50*$C50*VLOOKUP($D50,$C$22:$Z$25,F$47,FALSE)*VLOOKUP($E50,'Units per home'!$A$32:$U$34,F$47-2,FALSE)</f>
        <v>0</v>
      </c>
      <c r="G50" s="42">
        <f>$A50*$B50*$C50*VLOOKUP($D50,$C$22:$Z$25,G$47,FALSE)*VLOOKUP($E50,'Units per home'!$A$32:$U$34,G$47-2,FALSE)</f>
        <v>0</v>
      </c>
      <c r="H50" s="42">
        <f>$A50*$B50*$C50*VLOOKUP($D50,$C$22:$Z$25,H$47,FALSE)*VLOOKUP($E50,'Units per home'!$A$32:$U$34,H$47-2,FALSE)</f>
        <v>0</v>
      </c>
      <c r="I50" s="42">
        <f>$A50*$B50*$C50*VLOOKUP($D50,$C$22:$Z$25,I$47,FALSE)*VLOOKUP($E50,'Units per home'!$A$32:$U$34,I$47-2,FALSE)</f>
        <v>0</v>
      </c>
      <c r="J50" s="42">
        <f>$A50*$B50*$C50*VLOOKUP($D50,$C$22:$Z$25,J$47,FALSE)*VLOOKUP($E50,'Units per home'!$A$32:$U$34,J$47-2,FALSE)</f>
        <v>0</v>
      </c>
      <c r="K50" s="42">
        <f ca="1">$A50*$B50*$C50*VLOOKUP($D50,$C$22:$Z$25,K$47,FALSE)*VLOOKUP($E50,'Units per home'!$A$32:$U$34,K$47-2,FALSE)</f>
        <v>800.79134909660468</v>
      </c>
      <c r="L50" s="42">
        <f ca="1">$A50*$B50*$C50*VLOOKUP($D50,$C$22:$Z$25,L$47,FALSE)*VLOOKUP($E50,'Units per home'!$A$32:$U$34,L$47-2,FALSE)</f>
        <v>723.43317998207328</v>
      </c>
      <c r="M50" s="42">
        <f ca="1">$A50*$B50*$C50*VLOOKUP($D50,$C$22:$Z$25,M$47,FALSE)*VLOOKUP($E50,'Units per home'!$A$32:$U$34,M$47-2,FALSE)</f>
        <v>674.80925840071768</v>
      </c>
      <c r="N50" s="42">
        <f ca="1">$A50*$B50*$C50*VLOOKUP($D50,$C$22:$Z$25,N$47,FALSE)*VLOOKUP($E50,'Units per home'!$A$32:$U$34,N$47-2,FALSE)</f>
        <v>605.84233390183761</v>
      </c>
      <c r="O50" s="42">
        <f ca="1">$A50*$B50*$C50*VLOOKUP($D50,$C$22:$Z$25,O$47,FALSE)*VLOOKUP($E50,'Units per home'!$A$32:$U$34,O$47-2,FALSE)</f>
        <v>539.75516043968889</v>
      </c>
      <c r="P50" s="42">
        <f ca="1">$A50*$B50*$C50*VLOOKUP($D50,$C$22:$Z$25,P$47,FALSE)*VLOOKUP($E50,'Units per home'!$A$32:$U$34,P$47-2,FALSE)</f>
        <v>517.10022506680866</v>
      </c>
      <c r="Q50" s="42">
        <f ca="1">$A50*$B50*$C50*VLOOKUP($D50,$C$22:$Z$25,Q$47,FALSE)*VLOOKUP($E50,'Units per home'!$A$32:$U$34,Q$47-2,FALSE)</f>
        <v>507.58385406667344</v>
      </c>
      <c r="R50" s="42">
        <f ca="1">$A50*$B50*$C50*VLOOKUP($D50,$C$22:$Z$25,R$47,FALSE)*VLOOKUP($E50,'Units per home'!$A$32:$U$34,R$47-2,FALSE)</f>
        <v>519.15269321667859</v>
      </c>
      <c r="S50" s="42">
        <f ca="1">$A50*$B50*$C50*VLOOKUP($D50,$C$22:$Z$25,S$47,FALSE)*VLOOKUP($E50,'Units per home'!$A$32:$U$34,S$47-2,FALSE)</f>
        <v>524.60287126176422</v>
      </c>
      <c r="T50" s="42">
        <f ca="1">$A50*$B50*$C50*VLOOKUP($D50,$C$22:$Z$25,T$47,FALSE)*VLOOKUP($E50,'Units per home'!$A$32:$U$34,T$47-2,FALSE)</f>
        <v>535.61849473879772</v>
      </c>
      <c r="U50" s="42">
        <f ca="1">$A50*$B50*$C50*VLOOKUP($D50,$C$22:$Z$25,U$47,FALSE)*VLOOKUP($E50,'Units per home'!$A$32:$U$34,U$47-2,FALSE)</f>
        <v>528.32330918286129</v>
      </c>
      <c r="V50" s="42">
        <f ca="1">$A50*$B50*$C50*VLOOKUP($D50,$C$22:$Z$25,V$47,FALSE)*VLOOKUP($E50,'Units per home'!$A$32:$U$34,V$47-2,FALSE)</f>
        <v>524.40453099304386</v>
      </c>
      <c r="W50" s="42">
        <f ca="1">$A50*$B50*$C50*VLOOKUP($D50,$C$22:$Z$25,W$47,FALSE)*VLOOKUP($E50,'Units per home'!$A$32:$U$34,W$47-2,FALSE)</f>
        <v>517.68731977224138</v>
      </c>
      <c r="X50" s="42">
        <f ca="1">$A50*$B50*$C50*VLOOKUP($D50,$C$22:$Z$25,X$47,FALSE)*VLOOKUP($E50,'Units per home'!$A$32:$U$34,X$47-2,FALSE)</f>
        <v>513.03986408907974</v>
      </c>
      <c r="Y50" s="42">
        <f ca="1">$A50*$B50*$C50*VLOOKUP($D50,$C$22:$Z$25,Y$47,FALSE)*VLOOKUP($E50,'Units per home'!$A$32:$U$34,Y$47-2,FALSE)</f>
        <v>506.24844945503497</v>
      </c>
      <c r="Z50" s="42"/>
      <c r="AB50" s="54">
        <f ca="1">SUM(F24:Y24)*A50*B50*$AB$29*VLOOKUP($E50,'Units per home'!$A$32:$U$34,Y$47-2,FALSE)</f>
        <v>6681.0071957243026</v>
      </c>
    </row>
    <row r="51" spans="1:72">
      <c r="A51" s="64">
        <f>INDEX([2]!ResApplic,MATCH($D$47,[2]APPLIC!$B$9:$B$120,0)+1,MATCH($D51,[2]APPLIC!$C$8:$F$8,0)+1)</f>
        <v>0.44999999999999996</v>
      </c>
      <c r="B51" s="89">
        <f>VLOOKUP($E51,'Units per home'!$A$18:$E$20,MATCH('SC-NR'!$D51,'Units per home'!$B$17:$E$17,0)+1,FALSE)</f>
        <v>0.72198913200149573</v>
      </c>
      <c r="C51" s="348">
        <f>VLOOKUP($D$47,[2]TURN!$B$10:$G$79,6,FALSE)</f>
        <v>1</v>
      </c>
      <c r="D51" s="9" t="str">
        <f t="shared" si="4"/>
        <v>Manufactured</v>
      </c>
      <c r="E51" s="9" t="s">
        <v>153</v>
      </c>
      <c r="F51" s="42">
        <f>$A51*$B51*$C51*VLOOKUP($D51,$C$22:$Z$25,F$47,FALSE)*VLOOKUP($E51,'Units per home'!$A$32:$U$34,F$47-2,FALSE)</f>
        <v>0</v>
      </c>
      <c r="G51" s="42">
        <f>$A51*$B51*$C51*VLOOKUP($D51,$C$22:$Z$25,G$47,FALSE)*VLOOKUP($E51,'Units per home'!$A$32:$U$34,G$47-2,FALSE)</f>
        <v>0</v>
      </c>
      <c r="H51" s="42">
        <f>$A51*$B51*$C51*VLOOKUP($D51,$C$22:$Z$25,H$47,FALSE)*VLOOKUP($E51,'Units per home'!$A$32:$U$34,H$47-2,FALSE)</f>
        <v>0</v>
      </c>
      <c r="I51" s="42">
        <f>$A51*$B51*$C51*VLOOKUP($D51,$C$22:$Z$25,I$47,FALSE)*VLOOKUP($E51,'Units per home'!$A$32:$U$34,I$47-2,FALSE)</f>
        <v>0</v>
      </c>
      <c r="J51" s="42">
        <f>$A51*$B51*$C51*VLOOKUP($D51,$C$22:$Z$25,J$47,FALSE)*VLOOKUP($E51,'Units per home'!$A$32:$U$34,J$47-2,FALSE)</f>
        <v>0</v>
      </c>
      <c r="K51" s="42">
        <f ca="1">$A51*$B51*$C51*VLOOKUP($D51,$C$22:$Z$25,K$47,FALSE)*VLOOKUP($E51,'Units per home'!$A$32:$U$34,K$47-2,FALSE)</f>
        <v>458.97486624280725</v>
      </c>
      <c r="L51" s="42">
        <f ca="1">$A51*$B51*$C51*VLOOKUP($D51,$C$22:$Z$25,L$47,FALSE)*VLOOKUP($E51,'Units per home'!$A$32:$U$34,L$47-2,FALSE)</f>
        <v>416.2549615094016</v>
      </c>
      <c r="M51" s="42">
        <f ca="1">$A51*$B51*$C51*VLOOKUP($D51,$C$22:$Z$25,M$47,FALSE)*VLOOKUP($E51,'Units per home'!$A$32:$U$34,M$47-2,FALSE)</f>
        <v>399.78268630568368</v>
      </c>
      <c r="N51" s="42">
        <f ca="1">$A51*$B51*$C51*VLOOKUP($D51,$C$22:$Z$25,N$47,FALSE)*VLOOKUP($E51,'Units per home'!$A$32:$U$34,N$47-2,FALSE)</f>
        <v>393.4973239811581</v>
      </c>
      <c r="O51" s="42">
        <f ca="1">$A51*$B51*$C51*VLOOKUP($D51,$C$22:$Z$25,O$47,FALSE)*VLOOKUP($E51,'Units per home'!$A$32:$U$34,O$47-2,FALSE)</f>
        <v>367.69780904180163</v>
      </c>
      <c r="P51" s="42">
        <f ca="1">$A51*$B51*$C51*VLOOKUP($D51,$C$22:$Z$25,P$47,FALSE)*VLOOKUP($E51,'Units per home'!$A$32:$U$34,P$47-2,FALSE)</f>
        <v>354.31189298442985</v>
      </c>
      <c r="Q51" s="42">
        <f ca="1">$A51*$B51*$C51*VLOOKUP($D51,$C$22:$Z$25,Q$47,FALSE)*VLOOKUP($E51,'Units per home'!$A$32:$U$34,Q$47-2,FALSE)</f>
        <v>351.1137800230232</v>
      </c>
      <c r="R51" s="42">
        <f ca="1">$A51*$B51*$C51*VLOOKUP($D51,$C$22:$Z$25,R$47,FALSE)*VLOOKUP($E51,'Units per home'!$A$32:$U$34,R$47-2,FALSE)</f>
        <v>350.19416326299188</v>
      </c>
      <c r="S51" s="42">
        <f ca="1">$A51*$B51*$C51*VLOOKUP($D51,$C$22:$Z$25,S$47,FALSE)*VLOOKUP($E51,'Units per home'!$A$32:$U$34,S$47-2,FALSE)</f>
        <v>349.82183546199275</v>
      </c>
      <c r="T51" s="42">
        <f ca="1">$A51*$B51*$C51*VLOOKUP($D51,$C$22:$Z$25,T$47,FALSE)*VLOOKUP($E51,'Units per home'!$A$32:$U$34,T$47-2,FALSE)</f>
        <v>347.97270689642755</v>
      </c>
      <c r="U51" s="42">
        <f ca="1">$A51*$B51*$C51*VLOOKUP($D51,$C$22:$Z$25,U$47,FALSE)*VLOOKUP($E51,'Units per home'!$A$32:$U$34,U$47-2,FALSE)</f>
        <v>344.10359289883138</v>
      </c>
      <c r="V51" s="42">
        <f ca="1">$A51*$B51*$C51*VLOOKUP($D51,$C$22:$Z$25,V$47,FALSE)*VLOOKUP($E51,'Units per home'!$A$32:$U$34,V$47-2,FALSE)</f>
        <v>341.75951872899526</v>
      </c>
      <c r="W51" s="42">
        <f ca="1">$A51*$B51*$C51*VLOOKUP($D51,$C$22:$Z$25,W$47,FALSE)*VLOOKUP($E51,'Units per home'!$A$32:$U$34,W$47-2,FALSE)</f>
        <v>340.25706298444885</v>
      </c>
      <c r="X51" s="42">
        <f ca="1">$A51*$B51*$C51*VLOOKUP($D51,$C$22:$Z$25,X$47,FALSE)*VLOOKUP($E51,'Units per home'!$A$32:$U$34,X$47-2,FALSE)</f>
        <v>338.63937157427182</v>
      </c>
      <c r="Y51" s="42">
        <f ca="1">$A51*$B51*$C51*VLOOKUP($D51,$C$22:$Z$25,Y$47,FALSE)*VLOOKUP($E51,'Units per home'!$A$32:$U$34,Y$47-2,FALSE)</f>
        <v>336.7516177823461</v>
      </c>
      <c r="Z51" s="42"/>
      <c r="AB51" s="54">
        <f ca="1">SUM(F25:Y25)*A51*B51*$AB$29*VLOOKUP($E51,'Units per home'!$A$32:$U$34,Y$47-2,FALSE)</f>
        <v>4304.633301099092</v>
      </c>
    </row>
    <row r="52" spans="1:72">
      <c r="A52" s="64"/>
      <c r="B52" s="89"/>
      <c r="C52" s="348"/>
      <c r="F52" s="42"/>
      <c r="G52" s="42"/>
      <c r="H52" s="42"/>
      <c r="I52" s="42"/>
      <c r="J52" s="42"/>
      <c r="K52" s="42"/>
      <c r="L52" s="42"/>
      <c r="M52" s="42"/>
      <c r="N52" s="42"/>
      <c r="O52" s="42"/>
      <c r="P52" s="42"/>
      <c r="Q52" s="42"/>
      <c r="R52" s="42"/>
      <c r="S52" s="42"/>
      <c r="T52" s="42"/>
      <c r="U52" s="42"/>
      <c r="V52" s="42"/>
      <c r="W52" s="42"/>
      <c r="X52" s="42"/>
      <c r="Y52" s="42"/>
      <c r="Z52" s="42"/>
      <c r="AB52" s="54"/>
    </row>
    <row r="53" spans="1:72">
      <c r="A53" s="64"/>
      <c r="B53" s="89"/>
      <c r="C53" s="348"/>
      <c r="F53" s="42"/>
      <c r="G53" s="42"/>
      <c r="H53" s="42"/>
      <c r="I53" s="42"/>
      <c r="J53" s="42"/>
      <c r="K53" s="42"/>
      <c r="L53" s="42"/>
      <c r="M53" s="42"/>
      <c r="N53" s="42"/>
      <c r="O53" s="42"/>
      <c r="P53" s="42"/>
      <c r="Q53" s="42"/>
      <c r="R53" s="42"/>
      <c r="S53" s="42"/>
      <c r="T53" s="42"/>
      <c r="U53" s="42"/>
      <c r="V53" s="42"/>
      <c r="W53" s="42"/>
      <c r="X53" s="42"/>
      <c r="Y53" s="42"/>
      <c r="Z53" s="42"/>
      <c r="AB53" s="54"/>
    </row>
    <row r="54" spans="1:72">
      <c r="A54" s="64"/>
      <c r="B54" s="89"/>
      <c r="C54" s="348"/>
      <c r="F54" s="42"/>
      <c r="G54" s="42"/>
      <c r="H54" s="42"/>
      <c r="I54" s="42"/>
      <c r="J54" s="42"/>
      <c r="K54" s="42"/>
      <c r="L54" s="42"/>
      <c r="M54" s="42"/>
      <c r="N54" s="42"/>
      <c r="O54" s="42"/>
      <c r="P54" s="42"/>
      <c r="Q54" s="42"/>
      <c r="R54" s="42"/>
      <c r="S54" s="42"/>
      <c r="T54" s="42"/>
      <c r="U54" s="42"/>
      <c r="V54" s="42"/>
      <c r="W54" s="42"/>
      <c r="X54" s="42"/>
      <c r="Y54" s="42"/>
      <c r="Z54" s="42"/>
      <c r="AB54" s="54"/>
    </row>
    <row r="55" spans="1:72">
      <c r="A55" s="64"/>
      <c r="B55" s="89"/>
      <c r="C55" s="348"/>
      <c r="F55" s="42"/>
      <c r="G55" s="42"/>
      <c r="H55" s="42"/>
      <c r="I55" s="42"/>
      <c r="J55" s="42"/>
      <c r="K55" s="42"/>
      <c r="L55" s="42"/>
      <c r="M55" s="42"/>
      <c r="N55" s="42"/>
      <c r="O55" s="42"/>
      <c r="P55" s="42"/>
      <c r="Q55" s="42"/>
      <c r="R55" s="42"/>
      <c r="S55" s="42"/>
      <c r="T55" s="42"/>
      <c r="U55" s="42"/>
      <c r="V55" s="42"/>
      <c r="W55" s="42"/>
      <c r="X55" s="42"/>
      <c r="Y55" s="42"/>
      <c r="Z55" s="42"/>
      <c r="AB55" s="54"/>
    </row>
    <row r="56" spans="1:72">
      <c r="A56" s="64"/>
      <c r="B56" s="89"/>
      <c r="C56" s="348"/>
      <c r="F56" s="42"/>
      <c r="G56" s="42"/>
      <c r="H56" s="42"/>
      <c r="I56" s="42"/>
      <c r="J56" s="42"/>
      <c r="K56" s="42"/>
      <c r="L56" s="42"/>
      <c r="M56" s="42"/>
      <c r="N56" s="42"/>
      <c r="O56" s="42"/>
      <c r="P56" s="42"/>
      <c r="Q56" s="42"/>
      <c r="R56" s="42"/>
      <c r="S56" s="42"/>
      <c r="T56" s="42"/>
      <c r="U56" s="42"/>
      <c r="V56" s="42"/>
      <c r="W56" s="42"/>
      <c r="X56" s="42"/>
      <c r="Y56" s="42"/>
      <c r="Z56" s="42"/>
      <c r="AB56" s="54"/>
    </row>
    <row r="57" spans="1:72">
      <c r="A57" s="64"/>
      <c r="B57" s="89"/>
      <c r="C57" s="348"/>
      <c r="F57" s="42"/>
      <c r="G57" s="42"/>
      <c r="H57" s="42"/>
      <c r="I57" s="42"/>
      <c r="J57" s="42"/>
      <c r="K57" s="42"/>
      <c r="L57" s="42"/>
      <c r="M57" s="42"/>
      <c r="N57" s="42"/>
      <c r="O57" s="42"/>
      <c r="P57" s="42"/>
      <c r="Q57" s="42"/>
      <c r="R57" s="42"/>
      <c r="S57" s="42"/>
      <c r="T57" s="42"/>
      <c r="U57" s="42"/>
      <c r="V57" s="42"/>
      <c r="W57" s="42"/>
      <c r="X57" s="42"/>
      <c r="Y57" s="42"/>
      <c r="Z57" s="42"/>
      <c r="AB57" s="54"/>
    </row>
    <row r="58" spans="1:72">
      <c r="A58" s="64"/>
      <c r="B58" s="89"/>
      <c r="C58" s="348"/>
      <c r="F58" s="42"/>
      <c r="G58" s="42"/>
      <c r="H58" s="42"/>
      <c r="I58" s="42"/>
      <c r="J58" s="42"/>
      <c r="K58" s="42"/>
      <c r="L58" s="42"/>
      <c r="M58" s="42"/>
      <c r="N58" s="42"/>
      <c r="O58" s="42"/>
      <c r="P58" s="42"/>
      <c r="Q58" s="42"/>
      <c r="R58" s="42"/>
      <c r="S58" s="42"/>
      <c r="T58" s="42"/>
      <c r="U58" s="42"/>
      <c r="V58" s="42"/>
      <c r="W58" s="42"/>
      <c r="X58" s="42"/>
      <c r="Y58" s="42"/>
      <c r="Z58" s="42"/>
      <c r="AB58" s="54"/>
    </row>
    <row r="59" spans="1:72">
      <c r="A59" s="64"/>
      <c r="B59" s="89"/>
      <c r="C59" s="348"/>
      <c r="F59" s="42"/>
      <c r="G59" s="42"/>
      <c r="H59" s="42"/>
      <c r="I59" s="42"/>
      <c r="J59" s="42"/>
      <c r="K59" s="42"/>
      <c r="L59" s="42"/>
      <c r="M59" s="42"/>
      <c r="N59" s="42"/>
      <c r="O59" s="42"/>
      <c r="P59" s="42"/>
      <c r="Q59" s="42"/>
      <c r="R59" s="42"/>
      <c r="S59" s="42"/>
      <c r="T59" s="42"/>
      <c r="U59" s="42"/>
      <c r="V59" s="42"/>
      <c r="W59" s="42"/>
      <c r="X59" s="42"/>
      <c r="Y59" s="42"/>
      <c r="Z59" s="42"/>
      <c r="AB59" s="54"/>
    </row>
    <row r="60" spans="1:72">
      <c r="F60" s="42"/>
      <c r="G60" s="42"/>
      <c r="H60" s="42"/>
      <c r="I60" s="42"/>
      <c r="J60" s="42"/>
      <c r="K60" s="42"/>
      <c r="L60" s="42"/>
      <c r="M60" s="42"/>
      <c r="N60" s="42"/>
      <c r="O60" s="42"/>
      <c r="P60" s="42"/>
      <c r="Q60" s="42"/>
      <c r="R60" s="42"/>
      <c r="S60" s="42"/>
      <c r="T60" s="42"/>
      <c r="U60" s="42"/>
      <c r="V60" s="42"/>
      <c r="W60" s="42"/>
      <c r="X60" s="42"/>
      <c r="Y60" s="42"/>
      <c r="Z60" s="42"/>
    </row>
    <row r="61" spans="1:72">
      <c r="F61" s="42">
        <f>SUM(F48:F59)</f>
        <v>0</v>
      </c>
      <c r="G61" s="42">
        <f t="shared" ref="G61:Y61" si="5">SUM(G48:G59)</f>
        <v>0</v>
      </c>
      <c r="H61" s="42">
        <f t="shared" si="5"/>
        <v>0</v>
      </c>
      <c r="I61" s="42">
        <f t="shared" si="5"/>
        <v>0</v>
      </c>
      <c r="J61" s="42">
        <f t="shared" si="5"/>
        <v>0</v>
      </c>
      <c r="K61" s="42">
        <f t="shared" ca="1" si="5"/>
        <v>26629.214155197107</v>
      </c>
      <c r="L61" s="42">
        <f t="shared" ca="1" si="5"/>
        <v>23108.461330079168</v>
      </c>
      <c r="M61" s="42">
        <f t="shared" ca="1" si="5"/>
        <v>20509.849229540083</v>
      </c>
      <c r="N61" s="42">
        <f t="shared" ca="1" si="5"/>
        <v>18848.884182182373</v>
      </c>
      <c r="O61" s="42">
        <f t="shared" ca="1" si="5"/>
        <v>17570.440817501854</v>
      </c>
      <c r="P61" s="42">
        <f t="shared" ca="1" si="5"/>
        <v>16442.263065722767</v>
      </c>
      <c r="Q61" s="42">
        <f t="shared" ca="1" si="5"/>
        <v>15852.253516147823</v>
      </c>
      <c r="R61" s="42">
        <f t="shared" ca="1" si="5"/>
        <v>15720.945638391537</v>
      </c>
      <c r="S61" s="42">
        <f t="shared" ca="1" si="5"/>
        <v>15555.390973300777</v>
      </c>
      <c r="T61" s="42">
        <f t="shared" ca="1" si="5"/>
        <v>15758.750846186709</v>
      </c>
      <c r="U61" s="42">
        <f t="shared" ca="1" si="5"/>
        <v>15758.698430190303</v>
      </c>
      <c r="V61" s="42">
        <f t="shared" ca="1" si="5"/>
        <v>15507.357149158001</v>
      </c>
      <c r="W61" s="42">
        <f t="shared" ca="1" si="5"/>
        <v>15094.031606911245</v>
      </c>
      <c r="X61" s="42">
        <f t="shared" ca="1" si="5"/>
        <v>14991.320727162058</v>
      </c>
      <c r="Y61" s="42">
        <f t="shared" ca="1" si="5"/>
        <v>15008.536836833204</v>
      </c>
      <c r="Z61" s="42"/>
      <c r="AB61" s="54">
        <f ca="1">SUM(AB48:AB59)</f>
        <v>204918.02153618482</v>
      </c>
    </row>
    <row r="63" spans="1:72" ht="15">
      <c r="A63" s="63" t="str">
        <f>CONCATENATE("# UNITS ACHIEVABLE BY YEAR FOR MEASURE - ",D64)</f>
        <v># UNITS ACHIEVABLE BY YEAR FOR MEASURE - Monitor - NR</v>
      </c>
      <c r="F63" s="72" t="s">
        <v>60</v>
      </c>
      <c r="G63"/>
    </row>
    <row r="64" spans="1:72" ht="15">
      <c r="D64" s="72" t="str">
        <f>D30</f>
        <v>Monitor - NR</v>
      </c>
      <c r="F64" s="76">
        <f>VLOOKUP($D$64,[2]ACHIEV!$B$9:$X$100,MATCH(F$11,$F$11:$Z$11,0)+2,FALSE)</f>
        <v>0.45</v>
      </c>
      <c r="G64" s="76">
        <f>VLOOKUP($D$64,[2]ACHIEV!$B$9:$X$100,MATCH(G$11,$F$11:$Z$11,0)+2,FALSE)</f>
        <v>0.66</v>
      </c>
      <c r="H64" s="76">
        <f>VLOOKUP($D$64,[2]ACHIEV!$B$9:$X$100,MATCH(H$11,$F$11:$Z$11,0)+2,FALSE)</f>
        <v>0.8</v>
      </c>
      <c r="I64" s="76">
        <f>VLOOKUP($D$64,[2]ACHIEV!$B$9:$X$100,MATCH(I$11,$F$11:$Z$11,0)+2,FALSE)</f>
        <v>0.89</v>
      </c>
      <c r="J64" s="76">
        <f>VLOOKUP($D$64,[2]ACHIEV!$B$9:$X$100,MATCH(J$11,$F$11:$Z$11,0)+2,FALSE)</f>
        <v>0.94954036260972652</v>
      </c>
      <c r="K64" s="76">
        <f>VLOOKUP($D$64,[2]ACHIEV!$B$9:$X$100,MATCH(K$11,$F$11:$Z$11,0)+2,FALSE)</f>
        <v>0.97931054391458994</v>
      </c>
      <c r="L64" s="76">
        <f>VLOOKUP($D$64,[2]ACHIEV!$B$9:$X$100,MATCH(L$11,$F$11:$Z$11,0)+2,FALSE)</f>
        <v>0.99254173560564019</v>
      </c>
      <c r="M64" s="76">
        <f>VLOOKUP($D$64,[2]ACHIEV!$B$9:$X$100,MATCH(M$11,$F$11:$Z$11,0)+2,FALSE)</f>
        <v>0.99783421228206048</v>
      </c>
      <c r="N64" s="76">
        <f>VLOOKUP($D$64,[2]ACHIEV!$B$9:$X$100,MATCH(N$11,$F$11:$Z$11,0)+2,FALSE)</f>
        <v>0.99975874925530417</v>
      </c>
      <c r="O64" s="76">
        <f>VLOOKUP($D$64,[2]ACHIEV!$B$9:$X$100,MATCH(O$11,$F$11:$Z$11,0)+2,FALSE)</f>
        <v>1.0004002615797187</v>
      </c>
      <c r="P64" s="76">
        <f>VLOOKUP($D$64,[2]ACHIEV!$B$9:$X$100,MATCH(P$11,$F$11:$Z$11,0)+2,FALSE)</f>
        <v>1.0005976499872309</v>
      </c>
      <c r="Q64" s="76">
        <f>VLOOKUP($D$64,[2]ACHIEV!$B$9:$X$100,MATCH(Q$11,$F$11:$Z$11,0)+2,FALSE)</f>
        <v>1.0006540466750915</v>
      </c>
      <c r="R64" s="76">
        <f>VLOOKUP($D$64,[2]ACHIEV!$B$9:$X$100,MATCH(R$11,$F$11:$Z$11,0)+2,FALSE)</f>
        <v>1.0006690857918545</v>
      </c>
      <c r="S64" s="76">
        <f>VLOOKUP($D$64,[2]ACHIEV!$B$9:$X$100,MATCH(S$11,$F$11:$Z$11,0)+2,FALSE)</f>
        <v>1.000672845571045</v>
      </c>
      <c r="T64" s="76">
        <f>VLOOKUP($D$64,[2]ACHIEV!$B$9:$X$100,MATCH(T$11,$F$11:$Z$11,0)+2,FALSE)</f>
        <v>1.0006737302249724</v>
      </c>
      <c r="U64" s="76">
        <f>VLOOKUP($D$64,[2]ACHIEV!$B$9:$X$100,MATCH(U$11,$F$11:$Z$11,0)+2,FALSE)</f>
        <v>1.0006739268147338</v>
      </c>
      <c r="V64" s="76">
        <f>VLOOKUP($D$64,[2]ACHIEV!$B$9:$X$100,MATCH(V$11,$F$11:$Z$11,0)+2,FALSE)</f>
        <v>1.0006739682020522</v>
      </c>
      <c r="W64" s="76">
        <f>VLOOKUP($D$64,[2]ACHIEV!$B$9:$X$100,MATCH(W$11,$F$11:$Z$11,0)+2,FALSE)</f>
        <v>1.0006739764795158</v>
      </c>
      <c r="X64" s="76">
        <f>VLOOKUP($D$64,[2]ACHIEV!$B$9:$X$100,MATCH(X$11,$F$11:$Z$11,0)+2,FALSE)</f>
        <v>1.0006739780561755</v>
      </c>
      <c r="Y64" s="76">
        <f>VLOOKUP($D$64,[2]ACHIEV!$B$9:$X$100,MATCH(Y$11,$F$11:$Z$11,0)+2,FALSE)</f>
        <v>1.0006739783428409</v>
      </c>
      <c r="Z64" s="76"/>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row>
    <row r="65" spans="1:81">
      <c r="D65" s="9" t="str">
        <f>C13</f>
        <v>Single Family</v>
      </c>
      <c r="F65" s="42">
        <f ca="1">(F31+F48)*F$64*$AB$29</f>
        <v>141596.81176254869</v>
      </c>
      <c r="G65" s="42">
        <f t="shared" ref="G65:Y68" ca="1" si="6">(G31+G48)*G$64*$AB$29</f>
        <v>204919.32241105134</v>
      </c>
      <c r="H65" s="42">
        <f t="shared" ca="1" si="6"/>
        <v>245064.7993221278</v>
      </c>
      <c r="I65" s="42">
        <f t="shared" ca="1" si="6"/>
        <v>268974.62452298845</v>
      </c>
      <c r="J65" s="42">
        <f t="shared" ca="1" si="6"/>
        <v>283123.24102193443</v>
      </c>
      <c r="K65" s="42">
        <f t="shared" ca="1" si="6"/>
        <v>306231.63671336137</v>
      </c>
      <c r="L65" s="42">
        <f t="shared" ca="1" si="6"/>
        <v>303915.65787322557</v>
      </c>
      <c r="M65" s="42">
        <f t="shared" ca="1" si="6"/>
        <v>299735.5729467466</v>
      </c>
      <c r="N65" s="42">
        <f t="shared" ca="1" si="6"/>
        <v>295339.6034844073</v>
      </c>
      <c r="O65" s="42">
        <f t="shared" ca="1" si="6"/>
        <v>290944.14942012529</v>
      </c>
      <c r="P65" s="42">
        <f t="shared" ca="1" si="6"/>
        <v>286441.13054710714</v>
      </c>
      <c r="Q65" s="42">
        <f t="shared" ca="1" si="6"/>
        <v>282313.44216238876</v>
      </c>
      <c r="R65" s="42">
        <f t="shared" ca="1" si="6"/>
        <v>278533.30864311947</v>
      </c>
      <c r="S65" s="42">
        <f t="shared" ca="1" si="6"/>
        <v>274764.54962946102</v>
      </c>
      <c r="T65" s="42">
        <f t="shared" ca="1" si="6"/>
        <v>271352.08426979725</v>
      </c>
      <c r="U65" s="42">
        <f t="shared" ca="1" si="6"/>
        <v>267877.43882134405</v>
      </c>
      <c r="V65" s="42">
        <f t="shared" ca="1" si="6"/>
        <v>264242.45514900325</v>
      </c>
      <c r="W65" s="42">
        <f t="shared" ca="1" si="6"/>
        <v>260521.50960802255</v>
      </c>
      <c r="X65" s="42">
        <f t="shared" ca="1" si="6"/>
        <v>257143.40619047554</v>
      </c>
      <c r="Y65" s="42">
        <f t="shared" ca="1" si="6"/>
        <v>253919.80489631835</v>
      </c>
      <c r="Z65" s="42"/>
      <c r="AB65" s="42">
        <f ca="1">SUM(F65:Y65)</f>
        <v>5336954.5493955547</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81">
      <c r="D66" s="9" t="str">
        <f>C14</f>
        <v>Multifamily - Low Rise</v>
      </c>
      <c r="F66" s="42">
        <f t="shared" ref="F66:U68" ca="1" si="7">(F32+F49)*F$64*$AB$29</f>
        <v>13745.514932273931</v>
      </c>
      <c r="G66" s="42">
        <f t="shared" ca="1" si="7"/>
        <v>19892.548906866337</v>
      </c>
      <c r="H66" s="42">
        <f t="shared" ca="1" si="7"/>
        <v>23789.671321003862</v>
      </c>
      <c r="I66" s="42">
        <f t="shared" ca="1" si="7"/>
        <v>26110.717225182736</v>
      </c>
      <c r="J66" s="42">
        <f t="shared" ca="1" si="7"/>
        <v>27484.193458034973</v>
      </c>
      <c r="K66" s="42">
        <f t="shared" ca="1" si="7"/>
        <v>30935.002798293532</v>
      </c>
      <c r="L66" s="42">
        <f t="shared" ca="1" si="7"/>
        <v>30644.65732600943</v>
      </c>
      <c r="M66" s="42">
        <f t="shared" ca="1" si="7"/>
        <v>30213.920112153442</v>
      </c>
      <c r="N66" s="42">
        <f t="shared" ca="1" si="7"/>
        <v>29699.59259731878</v>
      </c>
      <c r="O66" s="42">
        <f t="shared" ca="1" si="7"/>
        <v>29142.467356387384</v>
      </c>
      <c r="P66" s="42">
        <f t="shared" ca="1" si="7"/>
        <v>28668.03644134682</v>
      </c>
      <c r="Q66" s="42">
        <f t="shared" ca="1" si="7"/>
        <v>28269.364532064821</v>
      </c>
      <c r="R66" s="42">
        <f t="shared" ca="1" si="7"/>
        <v>27935.651631732679</v>
      </c>
      <c r="S66" s="42">
        <f t="shared" ca="1" si="7"/>
        <v>27621.373088100419</v>
      </c>
      <c r="T66" s="42">
        <f t="shared" ca="1" si="7"/>
        <v>27319.677079616402</v>
      </c>
      <c r="U66" s="42">
        <f t="shared" ca="1" si="7"/>
        <v>26977.924027558209</v>
      </c>
      <c r="V66" s="42">
        <f t="shared" ca="1" si="6"/>
        <v>26633.191904441646</v>
      </c>
      <c r="W66" s="42">
        <f t="shared" ca="1" si="6"/>
        <v>26296.18628651114</v>
      </c>
      <c r="X66" s="42">
        <f t="shared" ca="1" si="6"/>
        <v>25939.82925006219</v>
      </c>
      <c r="Y66" s="42">
        <f t="shared" ca="1" si="6"/>
        <v>25586.326758850748</v>
      </c>
      <c r="Z66" s="42"/>
      <c r="AB66" s="42">
        <f t="shared" ref="AB66:AB68" ca="1" si="8">SUM(F66:Y66)</f>
        <v>532905.8470338094</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row>
    <row r="67" spans="1:81">
      <c r="D67" s="9" t="str">
        <f>C15</f>
        <v>Multifamily - High Rise</v>
      </c>
      <c r="F67" s="42">
        <f t="shared" ca="1" si="7"/>
        <v>3133.9272075333579</v>
      </c>
      <c r="G67" s="42">
        <f t="shared" ca="1" si="6"/>
        <v>4535.4285054858356</v>
      </c>
      <c r="H67" s="42">
        <f t="shared" ca="1" si="6"/>
        <v>5423.9581840704714</v>
      </c>
      <c r="I67" s="42">
        <f t="shared" ca="1" si="6"/>
        <v>5953.1481740330146</v>
      </c>
      <c r="J67" s="42">
        <f t="shared" ca="1" si="6"/>
        <v>6266.2957393475444</v>
      </c>
      <c r="K67" s="42">
        <f t="shared" ca="1" si="6"/>
        <v>7042.6604392568361</v>
      </c>
      <c r="L67" s="42">
        <f t="shared" ca="1" si="6"/>
        <v>6985.9458174382671</v>
      </c>
      <c r="M67" s="42">
        <f t="shared" ca="1" si="6"/>
        <v>6896.2962809858182</v>
      </c>
      <c r="N67" s="42">
        <f t="shared" ca="1" si="6"/>
        <v>6766.2744093616284</v>
      </c>
      <c r="O67" s="42">
        <f t="shared" ca="1" si="6"/>
        <v>6630.6521082878207</v>
      </c>
      <c r="P67" s="42">
        <f t="shared" ca="1" si="6"/>
        <v>6529.7405273400163</v>
      </c>
      <c r="Q67" s="42">
        <f t="shared" ca="1" si="6"/>
        <v>6440.2456304579182</v>
      </c>
      <c r="R67" s="42">
        <f t="shared" ca="1" si="6"/>
        <v>6369.5300203265551</v>
      </c>
      <c r="S67" s="42">
        <f t="shared" ca="1" si="6"/>
        <v>6294.7217897998198</v>
      </c>
      <c r="T67" s="42">
        <f t="shared" ca="1" si="6"/>
        <v>6225.8283713925448</v>
      </c>
      <c r="U67" s="42">
        <f t="shared" ca="1" si="6"/>
        <v>6142.4392142577335</v>
      </c>
      <c r="V67" s="42">
        <f t="shared" ca="1" si="6"/>
        <v>6063.0232521329826</v>
      </c>
      <c r="W67" s="42">
        <f t="shared" ca="1" si="6"/>
        <v>5982.3946997309085</v>
      </c>
      <c r="X67" s="42">
        <f t="shared" ca="1" si="6"/>
        <v>5904.756309213506</v>
      </c>
      <c r="Y67" s="42">
        <f t="shared" ca="1" si="6"/>
        <v>5826.3695549494587</v>
      </c>
      <c r="Z67" s="42"/>
      <c r="AB67" s="42">
        <f t="shared" ca="1" si="8"/>
        <v>121413.63623540205</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81">
      <c r="D68" s="9" t="str">
        <f>C16</f>
        <v>Manufactured</v>
      </c>
      <c r="F68" s="42">
        <f t="shared" ca="1" si="7"/>
        <v>13600.428078849453</v>
      </c>
      <c r="G68" s="42">
        <f t="shared" ca="1" si="6"/>
        <v>19516.549869221872</v>
      </c>
      <c r="H68" s="42">
        <f t="shared" ca="1" si="6"/>
        <v>23143.130271662681</v>
      </c>
      <c r="I68" s="42">
        <f t="shared" ca="1" si="6"/>
        <v>25186.829748192788</v>
      </c>
      <c r="J68" s="42">
        <f t="shared" ca="1" si="6"/>
        <v>26288.072804757263</v>
      </c>
      <c r="K68" s="42">
        <f t="shared" ca="1" si="6"/>
        <v>26905.018975304531</v>
      </c>
      <c r="L68" s="42">
        <f t="shared" ca="1" si="6"/>
        <v>26648.526226820366</v>
      </c>
      <c r="M68" s="42">
        <f t="shared" ca="1" si="6"/>
        <v>26203.304715382339</v>
      </c>
      <c r="N68" s="42">
        <f t="shared" ca="1" si="6"/>
        <v>25686.355858398067</v>
      </c>
      <c r="O68" s="42">
        <f t="shared" ca="1" si="6"/>
        <v>25130.066808536736</v>
      </c>
      <c r="P68" s="42">
        <f t="shared" ca="1" si="6"/>
        <v>24583.506731611174</v>
      </c>
      <c r="Q68" s="42">
        <f t="shared" ca="1" si="6"/>
        <v>24054.050047692228</v>
      </c>
      <c r="R68" s="42">
        <f t="shared" ca="1" si="6"/>
        <v>23537.062050699242</v>
      </c>
      <c r="S68" s="42">
        <f t="shared" ca="1" si="6"/>
        <v>23031.894875976701</v>
      </c>
      <c r="T68" s="42">
        <f t="shared" ca="1" si="6"/>
        <v>22536.8912212129</v>
      </c>
      <c r="U68" s="42">
        <f t="shared" ca="1" si="6"/>
        <v>22051.000815884196</v>
      </c>
      <c r="V68" s="42">
        <f t="shared" ca="1" si="6"/>
        <v>21577.140621503175</v>
      </c>
      <c r="W68" s="42">
        <f t="shared" ca="1" si="6"/>
        <v>21114.79660523593</v>
      </c>
      <c r="X68" s="42">
        <f t="shared" ca="1" si="6"/>
        <v>20663.200233311967</v>
      </c>
      <c r="Y68" s="42">
        <f t="shared" ca="1" si="6"/>
        <v>20221.46034951957</v>
      </c>
      <c r="Z68" s="42"/>
      <c r="AB68" s="42">
        <f t="shared" ca="1" si="8"/>
        <v>461679.28690977325</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81">
      <c r="F69" s="42"/>
      <c r="G69" s="42"/>
      <c r="H69" s="42"/>
      <c r="I69" s="42"/>
      <c r="J69" s="42"/>
      <c r="K69" s="42"/>
      <c r="L69" s="42"/>
      <c r="M69" s="42"/>
      <c r="N69" s="42"/>
      <c r="O69" s="42"/>
      <c r="P69" s="42"/>
      <c r="Q69" s="42"/>
      <c r="R69" s="42"/>
      <c r="S69" s="42"/>
      <c r="T69" s="42"/>
      <c r="U69" s="42"/>
      <c r="V69" s="42"/>
      <c r="W69" s="42"/>
      <c r="X69" s="42"/>
      <c r="Y69" s="42"/>
      <c r="Z69" s="42"/>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81">
      <c r="D70" s="9" t="s">
        <v>61</v>
      </c>
      <c r="F70" s="42">
        <f t="shared" ref="F70:Y70" ca="1" si="9">SUM(F65:F68)</f>
        <v>172076.68198120545</v>
      </c>
      <c r="G70" s="42">
        <f t="shared" ca="1" si="9"/>
        <v>248863.8496926254</v>
      </c>
      <c r="H70" s="42">
        <f t="shared" ca="1" si="9"/>
        <v>297421.55909886479</v>
      </c>
      <c r="I70" s="42">
        <f t="shared" ca="1" si="9"/>
        <v>326225.31967039703</v>
      </c>
      <c r="J70" s="42">
        <f t="shared" ca="1" si="9"/>
        <v>343161.80302407418</v>
      </c>
      <c r="K70" s="42">
        <f t="shared" ca="1" si="9"/>
        <v>371114.31892621628</v>
      </c>
      <c r="L70" s="42">
        <f t="shared" ca="1" si="9"/>
        <v>368194.7872434936</v>
      </c>
      <c r="M70" s="42">
        <f t="shared" ca="1" si="9"/>
        <v>363049.09405526822</v>
      </c>
      <c r="N70" s="42">
        <f t="shared" ca="1" si="9"/>
        <v>357491.82634948578</v>
      </c>
      <c r="O70" s="42">
        <f t="shared" ca="1" si="9"/>
        <v>351847.33569333726</v>
      </c>
      <c r="P70" s="42">
        <f t="shared" ca="1" si="9"/>
        <v>346222.41424740513</v>
      </c>
      <c r="Q70" s="42">
        <f t="shared" ca="1" si="9"/>
        <v>341077.10237260372</v>
      </c>
      <c r="R70" s="42">
        <f t="shared" ca="1" si="9"/>
        <v>336375.55234587798</v>
      </c>
      <c r="S70" s="42">
        <f t="shared" ca="1" si="9"/>
        <v>331712.53938333795</v>
      </c>
      <c r="T70" s="42">
        <f t="shared" ca="1" si="9"/>
        <v>327434.48094201915</v>
      </c>
      <c r="U70" s="42">
        <f t="shared" ca="1" si="9"/>
        <v>323048.8028790442</v>
      </c>
      <c r="V70" s="42">
        <f t="shared" ca="1" si="9"/>
        <v>318515.81092708104</v>
      </c>
      <c r="W70" s="42">
        <f t="shared" ca="1" si="9"/>
        <v>313914.88719950058</v>
      </c>
      <c r="X70" s="42">
        <f t="shared" ca="1" si="9"/>
        <v>309651.19198306324</v>
      </c>
      <c r="Y70" s="42">
        <f t="shared" ca="1" si="9"/>
        <v>305553.96155963815</v>
      </c>
      <c r="Z70" s="42"/>
      <c r="AB70" s="42">
        <f t="shared" ref="AB70" ca="1" si="10">SUM(F70:Z70)</f>
        <v>6452953.3195745386</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8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81">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1:81">
      <c r="F73" s="9">
        <v>3</v>
      </c>
      <c r="G73" s="9">
        <v>4</v>
      </c>
      <c r="H73" s="9">
        <v>5</v>
      </c>
      <c r="I73" s="9">
        <v>6</v>
      </c>
      <c r="J73" s="9">
        <v>7</v>
      </c>
      <c r="K73" s="9">
        <v>8</v>
      </c>
      <c r="L73" s="9">
        <v>9</v>
      </c>
      <c r="M73" s="9">
        <v>10</v>
      </c>
      <c r="N73" s="9">
        <v>11</v>
      </c>
      <c r="O73" s="9">
        <v>12</v>
      </c>
      <c r="P73" s="9">
        <v>13</v>
      </c>
      <c r="Q73" s="9">
        <v>14</v>
      </c>
      <c r="R73" s="9">
        <v>15</v>
      </c>
      <c r="S73" s="9">
        <v>16</v>
      </c>
      <c r="T73" s="9">
        <v>17</v>
      </c>
      <c r="U73" s="9">
        <v>18</v>
      </c>
      <c r="V73" s="9">
        <v>19</v>
      </c>
      <c r="W73" s="9">
        <v>20</v>
      </c>
      <c r="X73" s="9">
        <v>21</v>
      </c>
      <c r="Y73" s="9">
        <v>22</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row>
    <row r="74" spans="1:81" ht="15">
      <c r="A74" s="63" t="s">
        <v>62</v>
      </c>
      <c r="D74" s="72" t="str">
        <f>C8</f>
        <v>Monitor</v>
      </c>
      <c r="E74" s="72"/>
      <c r="F74" s="9" t="s">
        <v>338</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row>
    <row r="75" spans="1:81" ht="15">
      <c r="A75" s="72" t="s">
        <v>63</v>
      </c>
      <c r="B75" s="72" t="s">
        <v>24</v>
      </c>
      <c r="C75" s="72"/>
      <c r="D75" s="72">
        <v>1</v>
      </c>
      <c r="E75" s="72"/>
      <c r="F75" s="66">
        <f t="shared" ref="F75:Y75" si="11">F11</f>
        <v>2016</v>
      </c>
      <c r="G75" s="67">
        <f t="shared" si="11"/>
        <v>2017</v>
      </c>
      <c r="H75" s="67">
        <f t="shared" si="11"/>
        <v>2018</v>
      </c>
      <c r="I75" s="67">
        <f t="shared" si="11"/>
        <v>2019</v>
      </c>
      <c r="J75" s="67">
        <f t="shared" si="11"/>
        <v>2020</v>
      </c>
      <c r="K75" s="67">
        <f t="shared" si="11"/>
        <v>2021</v>
      </c>
      <c r="L75" s="67">
        <f t="shared" si="11"/>
        <v>2022</v>
      </c>
      <c r="M75" s="67">
        <f t="shared" si="11"/>
        <v>2023</v>
      </c>
      <c r="N75" s="67">
        <f t="shared" si="11"/>
        <v>2024</v>
      </c>
      <c r="O75" s="67">
        <f t="shared" si="11"/>
        <v>2025</v>
      </c>
      <c r="P75" s="67">
        <f t="shared" si="11"/>
        <v>2026</v>
      </c>
      <c r="Q75" s="67">
        <f t="shared" si="11"/>
        <v>2027</v>
      </c>
      <c r="R75" s="67">
        <f t="shared" si="11"/>
        <v>2028</v>
      </c>
      <c r="S75" s="67">
        <f t="shared" si="11"/>
        <v>2029</v>
      </c>
      <c r="T75" s="67">
        <f t="shared" si="11"/>
        <v>2030</v>
      </c>
      <c r="U75" s="67">
        <f t="shared" si="11"/>
        <v>2031</v>
      </c>
      <c r="V75" s="67">
        <f t="shared" si="11"/>
        <v>2032</v>
      </c>
      <c r="W75" s="67">
        <f t="shared" si="11"/>
        <v>2033</v>
      </c>
      <c r="X75" s="67">
        <f t="shared" si="11"/>
        <v>2034</v>
      </c>
      <c r="Y75" s="67">
        <f t="shared" si="11"/>
        <v>2035</v>
      </c>
      <c r="Z75" s="68" t="s">
        <v>59</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row>
    <row r="76" spans="1:81" ht="15">
      <c r="A76" s="72" t="s">
        <v>46</v>
      </c>
      <c r="B76" s="72" t="s">
        <v>64</v>
      </c>
      <c r="C76" s="72"/>
      <c r="D76" s="72" t="s">
        <v>65</v>
      </c>
      <c r="E76" s="72" t="s">
        <v>66</v>
      </c>
      <c r="F76" s="69" t="str">
        <f t="shared" ref="F76:Y76" si="12">CONCATENATE("aMW_",F$11)</f>
        <v>aMW_2016</v>
      </c>
      <c r="G76" s="70" t="str">
        <f t="shared" si="12"/>
        <v>aMW_2017</v>
      </c>
      <c r="H76" s="70" t="str">
        <f t="shared" si="12"/>
        <v>aMW_2018</v>
      </c>
      <c r="I76" s="70" t="str">
        <f t="shared" si="12"/>
        <v>aMW_2019</v>
      </c>
      <c r="J76" s="70" t="str">
        <f t="shared" si="12"/>
        <v>aMW_2020</v>
      </c>
      <c r="K76" s="70" t="str">
        <f t="shared" si="12"/>
        <v>aMW_2021</v>
      </c>
      <c r="L76" s="70" t="str">
        <f t="shared" si="12"/>
        <v>aMW_2022</v>
      </c>
      <c r="M76" s="70" t="str">
        <f t="shared" si="12"/>
        <v>aMW_2023</v>
      </c>
      <c r="N76" s="70" t="str">
        <f t="shared" si="12"/>
        <v>aMW_2024</v>
      </c>
      <c r="O76" s="70" t="str">
        <f t="shared" si="12"/>
        <v>aMW_2025</v>
      </c>
      <c r="P76" s="70" t="str">
        <f t="shared" si="12"/>
        <v>aMW_2026</v>
      </c>
      <c r="Q76" s="70" t="str">
        <f t="shared" si="12"/>
        <v>aMW_2027</v>
      </c>
      <c r="R76" s="70" t="str">
        <f t="shared" si="12"/>
        <v>aMW_2028</v>
      </c>
      <c r="S76" s="70" t="str">
        <f t="shared" si="12"/>
        <v>aMW_2029</v>
      </c>
      <c r="T76" s="70" t="str">
        <f t="shared" si="12"/>
        <v>aMW_2030</v>
      </c>
      <c r="U76" s="70" t="str">
        <f t="shared" si="12"/>
        <v>aMW_2031</v>
      </c>
      <c r="V76" s="70" t="str">
        <f t="shared" si="12"/>
        <v>aMW_2032</v>
      </c>
      <c r="W76" s="70" t="str">
        <f t="shared" si="12"/>
        <v>aMW_2033</v>
      </c>
      <c r="X76" s="70" t="str">
        <f t="shared" si="12"/>
        <v>aMW_2034</v>
      </c>
      <c r="Y76" s="70" t="str">
        <f t="shared" si="12"/>
        <v>aMW_2035</v>
      </c>
      <c r="Z76" s="71" t="s">
        <v>59</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row>
    <row r="77" spans="1:81">
      <c r="A77" s="77">
        <f t="shared" ref="A77:A80" si="13">VLOOKUP($E77,MeasureOutput,3,FALSE)</f>
        <v>31.923177973133928</v>
      </c>
      <c r="B77" s="77">
        <f t="shared" ref="B77:B80" si="14">VLOOKUP($E77,MeasureOutput,11,FALSE)</f>
        <v>49.286628448437469</v>
      </c>
      <c r="C77" s="77"/>
      <c r="D77" s="9" t="str">
        <f>D48</f>
        <v>Single Family</v>
      </c>
      <c r="E77" s="9" t="s">
        <v>292</v>
      </c>
      <c r="F77" s="55">
        <f ca="1">VLOOKUP($D77,$D$65:$Z$68,F$73,FALSE)*$D$75*$A77/8760/1000</f>
        <v>0.51600687469454165</v>
      </c>
      <c r="G77" s="55">
        <f t="shared" ref="G77:Y80" ca="1" si="15">VLOOKUP($D77,$D$65:$Z$68,G$73,FALSE)*$D$75*$A77/8760/1000</f>
        <v>0.74676666660525159</v>
      </c>
      <c r="H77" s="55">
        <f t="shared" ca="1" si="15"/>
        <v>0.89306474928203627</v>
      </c>
      <c r="I77" s="55">
        <f t="shared" ca="1" si="15"/>
        <v>0.98019689599363402</v>
      </c>
      <c r="J77" s="55">
        <f t="shared" ca="1" si="15"/>
        <v>1.0317572615837565</v>
      </c>
      <c r="K77" s="55">
        <f t="shared" ca="1" si="15"/>
        <v>1.1159688401603571</v>
      </c>
      <c r="L77" s="55">
        <f t="shared" ca="1" si="15"/>
        <v>1.1075289537795732</v>
      </c>
      <c r="M77" s="55">
        <f t="shared" ca="1" si="15"/>
        <v>1.0922958949838195</v>
      </c>
      <c r="N77" s="55">
        <f t="shared" ca="1" si="15"/>
        <v>1.0762761101081664</v>
      </c>
      <c r="O77" s="55">
        <f t="shared" ca="1" si="15"/>
        <v>1.060258203445289</v>
      </c>
      <c r="P77" s="55">
        <f t="shared" ca="1" si="15"/>
        <v>1.0438483092786519</v>
      </c>
      <c r="Q77" s="55">
        <f t="shared" ca="1" si="15"/>
        <v>1.0288061938764828</v>
      </c>
      <c r="R77" s="55">
        <f t="shared" ca="1" si="15"/>
        <v>1.0150306373584641</v>
      </c>
      <c r="S77" s="55">
        <f t="shared" ca="1" si="15"/>
        <v>1.0012965317955791</v>
      </c>
      <c r="T77" s="55">
        <f t="shared" ca="1" si="15"/>
        <v>0.98886083099607003</v>
      </c>
      <c r="U77" s="55">
        <f t="shared" ca="1" si="15"/>
        <v>0.97619853361655962</v>
      </c>
      <c r="V77" s="55">
        <f t="shared" ca="1" si="15"/>
        <v>0.96295193193829787</v>
      </c>
      <c r="W77" s="55">
        <f t="shared" ca="1" si="15"/>
        <v>0.94939206815598454</v>
      </c>
      <c r="X77" s="55">
        <f t="shared" ca="1" si="15"/>
        <v>0.93708158909091543</v>
      </c>
      <c r="Y77" s="55">
        <f t="shared" ca="1" si="15"/>
        <v>0.92533414641650846</v>
      </c>
      <c r="Z77" s="55">
        <f ca="1">(VLOOKUP($D77,$D$31:$AB$34,$Y$30+2,FALSE)+VLOOKUP($D77,$D$48:$AB$51,$Y$47+2,FALSE))*$A77*$D$75/8760/1000</f>
        <v>5.0377592338932056</v>
      </c>
      <c r="AB77" s="42">
        <f ca="1">SUM(F77:Y77)</f>
        <v>19.448921223159935</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row>
    <row r="78" spans="1:81">
      <c r="A78" s="77">
        <f t="shared" si="13"/>
        <v>31.923177973133928</v>
      </c>
      <c r="B78" s="77">
        <f t="shared" si="14"/>
        <v>49.286628448437469</v>
      </c>
      <c r="C78" s="77"/>
      <c r="D78" s="9" t="str">
        <f t="shared" ref="D78:D80" si="16">D49</f>
        <v>Multifamily - Low Rise</v>
      </c>
      <c r="E78" s="9" t="s">
        <v>292</v>
      </c>
      <c r="F78" s="55">
        <f t="shared" ref="F78:U80" ca="1" si="17">VLOOKUP($D78,$D$65:$Z$68,F$73,FALSE)*$D$75*$A78/8760/1000</f>
        <v>5.0091383506318567E-2</v>
      </c>
      <c r="G78" s="55">
        <f t="shared" ca="1" si="17"/>
        <v>7.2492394873648947E-2</v>
      </c>
      <c r="H78" s="55">
        <f t="shared" ca="1" si="17"/>
        <v>8.6694282135018993E-2</v>
      </c>
      <c r="I78" s="55">
        <f t="shared" ca="1" si="17"/>
        <v>9.5152633902475137E-2</v>
      </c>
      <c r="J78" s="55">
        <f t="shared" ca="1" si="17"/>
        <v>0.1001578537909696</v>
      </c>
      <c r="K78" s="55">
        <f t="shared" ca="1" si="17"/>
        <v>0.11273328766316444</v>
      </c>
      <c r="L78" s="55">
        <f t="shared" ca="1" si="17"/>
        <v>0.11167521115797963</v>
      </c>
      <c r="M78" s="55">
        <f t="shared" ca="1" si="17"/>
        <v>0.11010551929295948</v>
      </c>
      <c r="N78" s="55">
        <f t="shared" ca="1" si="17"/>
        <v>0.10823120778696099</v>
      </c>
      <c r="O78" s="55">
        <f t="shared" ca="1" si="17"/>
        <v>0.10620093287605026</v>
      </c>
      <c r="P78" s="55">
        <f t="shared" ca="1" si="17"/>
        <v>0.10447201249513739</v>
      </c>
      <c r="Q78" s="55">
        <f t="shared" ca="1" si="17"/>
        <v>0.10301917296170152</v>
      </c>
      <c r="R78" s="55">
        <f t="shared" ca="1" si="17"/>
        <v>0.1018030569446657</v>
      </c>
      <c r="S78" s="55">
        <f t="shared" ca="1" si="17"/>
        <v>0.10065776357919652</v>
      </c>
      <c r="T78" s="55">
        <f t="shared" ca="1" si="17"/>
        <v>9.9558323468166912E-2</v>
      </c>
      <c r="U78" s="55">
        <f t="shared" ca="1" si="17"/>
        <v>9.8312907543085248E-2</v>
      </c>
      <c r="V78" s="55">
        <f t="shared" ca="1" si="15"/>
        <v>9.705663529202288E-2</v>
      </c>
      <c r="W78" s="55">
        <f t="shared" ca="1" si="15"/>
        <v>9.5828519958787536E-2</v>
      </c>
      <c r="X78" s="55">
        <f t="shared" ca="1" si="15"/>
        <v>9.4529884217173579E-2</v>
      </c>
      <c r="Y78" s="55">
        <f t="shared" ca="1" si="15"/>
        <v>9.3241651004743298E-2</v>
      </c>
      <c r="Z78" s="55">
        <f ca="1">(VLOOKUP($D78,$D$31:$AB$34,$Y$30+2,FALSE)+VLOOKUP($D78,$D$48:$AB$51,$Y$47+2,FALSE))*$A78*$D$75/8760/1000</f>
        <v>0.53902403513351893</v>
      </c>
      <c r="AB78" s="42">
        <f t="shared" ref="AB78:AB80" ca="1" si="18">SUM(F78:Y78)</f>
        <v>1.9420146344502269</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row>
    <row r="79" spans="1:81">
      <c r="A79" s="77">
        <f t="shared" si="13"/>
        <v>31.923177973133928</v>
      </c>
      <c r="B79" s="77">
        <f t="shared" si="14"/>
        <v>49.286628448437469</v>
      </c>
      <c r="C79" s="77"/>
      <c r="D79" s="9" t="str">
        <f t="shared" si="16"/>
        <v>Multifamily - High Rise</v>
      </c>
      <c r="E79" s="9" t="s">
        <v>292</v>
      </c>
      <c r="F79" s="55">
        <f t="shared" ca="1" si="17"/>
        <v>1.1420652511522147E-2</v>
      </c>
      <c r="G79" s="55">
        <f t="shared" ca="1" si="15"/>
        <v>1.6528001297380041E-2</v>
      </c>
      <c r="H79" s="55">
        <f t="shared" ca="1" si="15"/>
        <v>1.9765979729328535E-2</v>
      </c>
      <c r="I79" s="55">
        <f t="shared" ca="1" si="15"/>
        <v>2.1694453043389635E-2</v>
      </c>
      <c r="J79" s="55">
        <f t="shared" ca="1" si="15"/>
        <v>2.2835624899484305E-2</v>
      </c>
      <c r="K79" s="55">
        <f t="shared" ca="1" si="15"/>
        <v>2.5664851895747208E-2</v>
      </c>
      <c r="L79" s="55">
        <f t="shared" ca="1" si="15"/>
        <v>2.5458172561729726E-2</v>
      </c>
      <c r="M79" s="55">
        <f t="shared" ca="1" si="15"/>
        <v>2.5131471864540171E-2</v>
      </c>
      <c r="N79" s="55">
        <f t="shared" ca="1" si="15"/>
        <v>2.4657646368163574E-2</v>
      </c>
      <c r="O79" s="55">
        <f t="shared" ca="1" si="15"/>
        <v>2.4163411795754316E-2</v>
      </c>
      <c r="P79" s="55">
        <f t="shared" ca="1" si="15"/>
        <v>2.3795669974048028E-2</v>
      </c>
      <c r="Q79" s="55">
        <f t="shared" ca="1" si="15"/>
        <v>2.3469532814133134E-2</v>
      </c>
      <c r="R79" s="55">
        <f t="shared" ca="1" si="15"/>
        <v>2.3211831100925111E-2</v>
      </c>
      <c r="S79" s="55">
        <f t="shared" ca="1" si="15"/>
        <v>2.2939215067025547E-2</v>
      </c>
      <c r="T79" s="55">
        <f t="shared" ca="1" si="15"/>
        <v>2.2688153781980681E-2</v>
      </c>
      <c r="U79" s="55">
        <f t="shared" ca="1" si="15"/>
        <v>2.2384267149076088E-2</v>
      </c>
      <c r="V79" s="55">
        <f t="shared" ca="1" si="15"/>
        <v>2.209485962706512E-2</v>
      </c>
      <c r="W79" s="55">
        <f t="shared" ca="1" si="15"/>
        <v>2.180103318550718E-2</v>
      </c>
      <c r="X79" s="55">
        <f t="shared" ca="1" si="15"/>
        <v>2.1518103487101391E-2</v>
      </c>
      <c r="Y79" s="55">
        <f t="shared" ca="1" si="15"/>
        <v>2.1232446602728387E-2</v>
      </c>
      <c r="Z79" s="55">
        <f ca="1">(VLOOKUP($D79,$D$31:$AB$34,$Y$30+2,FALSE)+VLOOKUP($D79,$D$48:$AB$51,$Y$47+2,FALSE))*$A79*$D$75/8760/1000</f>
        <v>0.12259694928116437</v>
      </c>
      <c r="AB79" s="42">
        <f t="shared" ca="1" si="18"/>
        <v>0.44245537875663038</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row>
    <row r="80" spans="1:81">
      <c r="A80" s="77">
        <f t="shared" si="13"/>
        <v>31.923177973133928</v>
      </c>
      <c r="B80" s="77">
        <f t="shared" si="14"/>
        <v>49.286628448437469</v>
      </c>
      <c r="C80" s="77"/>
      <c r="D80" s="9" t="str">
        <f t="shared" si="16"/>
        <v>Manufactured</v>
      </c>
      <c r="E80" s="9" t="s">
        <v>292</v>
      </c>
      <c r="F80" s="55">
        <f t="shared" ca="1" si="17"/>
        <v>4.9562658227388021E-2</v>
      </c>
      <c r="G80" s="55">
        <f t="shared" ca="1" si="15"/>
        <v>7.1122179782729847E-2</v>
      </c>
      <c r="H80" s="55">
        <f t="shared" ca="1" si="15"/>
        <v>8.4338158278277522E-2</v>
      </c>
      <c r="I80" s="55">
        <f t="shared" ca="1" si="15"/>
        <v>9.1785804638194329E-2</v>
      </c>
      <c r="J80" s="55">
        <f t="shared" ca="1" si="15"/>
        <v>9.5798952821571706E-2</v>
      </c>
      <c r="K80" s="55">
        <f t="shared" ca="1" si="15"/>
        <v>9.8047227068400911E-2</v>
      </c>
      <c r="L80" s="55">
        <f t="shared" ca="1" si="15"/>
        <v>9.7112516605081467E-2</v>
      </c>
      <c r="M80" s="55">
        <f t="shared" ca="1" si="15"/>
        <v>9.5490041086005686E-2</v>
      </c>
      <c r="N80" s="55">
        <f t="shared" ca="1" si="15"/>
        <v>9.3606176889143008E-2</v>
      </c>
      <c r="O80" s="55">
        <f t="shared" ca="1" si="15"/>
        <v>9.157894922439086E-2</v>
      </c>
      <c r="P80" s="55">
        <f t="shared" ca="1" si="15"/>
        <v>8.9587175867232818E-2</v>
      </c>
      <c r="Q80" s="55">
        <f t="shared" ca="1" si="15"/>
        <v>8.7657730667482836E-2</v>
      </c>
      <c r="R80" s="55">
        <f t="shared" ca="1" si="15"/>
        <v>8.5773723836663068E-2</v>
      </c>
      <c r="S80" s="55">
        <f t="shared" ca="1" si="15"/>
        <v>8.3932794427433274E-2</v>
      </c>
      <c r="T80" s="55">
        <f t="shared" ca="1" si="15"/>
        <v>8.2128902901362905E-2</v>
      </c>
      <c r="U80" s="55">
        <f t="shared" ca="1" si="15"/>
        <v>8.035822186429141E-2</v>
      </c>
      <c r="V80" s="55">
        <f t="shared" ca="1" si="15"/>
        <v>7.8631381302692177E-2</v>
      </c>
      <c r="W80" s="55">
        <f t="shared" ca="1" si="15"/>
        <v>7.6946507978935014E-2</v>
      </c>
      <c r="X80" s="55">
        <f t="shared" ca="1" si="15"/>
        <v>7.5300801203484063E-2</v>
      </c>
      <c r="Y80" s="55">
        <f t="shared" ca="1" si="15"/>
        <v>7.3691013426299565E-2</v>
      </c>
      <c r="Z80" s="55">
        <f ca="1">(VLOOKUP($D80,$D$31:$AB$34,$Y$30+2,FALSE)+VLOOKUP($D80,$D$48:$AB$51,$Y$47+2,FALSE))*$A80*$D$75/8760/1000</f>
        <v>0.37867828518407975</v>
      </c>
      <c r="AB80" s="42">
        <f t="shared" ca="1" si="18"/>
        <v>1.6824509180970608</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row>
    <row r="81" spans="1:81">
      <c r="A81" s="77"/>
      <c r="B81" s="77"/>
      <c r="C81" s="77"/>
      <c r="F81" s="55"/>
      <c r="G81" s="55"/>
      <c r="H81" s="55"/>
      <c r="I81" s="55"/>
      <c r="J81" s="55"/>
      <c r="K81" s="55"/>
      <c r="L81" s="55"/>
      <c r="M81" s="55"/>
      <c r="N81" s="55"/>
      <c r="O81" s="36"/>
      <c r="P81" s="36"/>
      <c r="Q81" s="36"/>
      <c r="R81" s="36"/>
      <c r="S81" s="36"/>
      <c r="T81" s="36"/>
      <c r="U81" s="36"/>
      <c r="V81" s="36"/>
      <c r="W81" s="36"/>
      <c r="X81" s="36"/>
      <c r="Y81" s="36"/>
      <c r="Z81" s="36"/>
      <c r="AB81" s="42"/>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row>
    <row r="82" spans="1:81">
      <c r="A82" s="77"/>
      <c r="B82" s="77"/>
      <c r="C82" s="77"/>
      <c r="F82" s="36"/>
      <c r="G82" s="36"/>
      <c r="H82" s="36"/>
      <c r="I82" s="36"/>
      <c r="J82" s="36"/>
      <c r="K82" s="36"/>
      <c r="L82" s="36"/>
      <c r="M82" s="36"/>
      <c r="N82" s="36"/>
      <c r="O82" s="36"/>
      <c r="P82" s="36"/>
      <c r="Q82" s="36"/>
      <c r="R82" s="36"/>
      <c r="S82" s="36"/>
      <c r="T82" s="36"/>
      <c r="U82" s="36"/>
      <c r="V82" s="36"/>
      <c r="W82" s="36"/>
      <c r="X82" s="36"/>
      <c r="Y82" s="36"/>
      <c r="Z82" s="36"/>
      <c r="AB82" s="4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row>
    <row r="83" spans="1:81">
      <c r="A83" s="77"/>
      <c r="B83" s="77"/>
      <c r="C83" s="77"/>
      <c r="F83" s="36"/>
      <c r="G83" s="36"/>
      <c r="H83" s="36"/>
      <c r="I83" s="36"/>
      <c r="J83" s="36"/>
      <c r="K83" s="36"/>
      <c r="L83" s="36"/>
      <c r="M83" s="36"/>
      <c r="N83" s="36"/>
      <c r="O83" s="36"/>
      <c r="P83" s="36"/>
      <c r="Q83" s="36"/>
      <c r="R83" s="36"/>
      <c r="S83" s="36"/>
      <c r="T83" s="36"/>
      <c r="U83" s="36"/>
      <c r="V83" s="36"/>
      <c r="W83" s="36"/>
      <c r="X83" s="36"/>
      <c r="Y83" s="36"/>
      <c r="Z83" s="36"/>
      <c r="AB83" s="42"/>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row>
    <row r="84" spans="1:81">
      <c r="A84" s="77"/>
      <c r="B84" s="77"/>
      <c r="C84" s="77"/>
      <c r="F84" s="36"/>
      <c r="G84" s="36"/>
      <c r="H84" s="36"/>
      <c r="I84" s="36"/>
      <c r="J84" s="36"/>
      <c r="K84" s="36"/>
      <c r="L84" s="36"/>
      <c r="M84" s="36"/>
      <c r="N84" s="36"/>
      <c r="O84" s="36"/>
      <c r="P84" s="36"/>
      <c r="Q84" s="36"/>
      <c r="R84" s="36"/>
      <c r="S84" s="36"/>
      <c r="T84" s="36"/>
      <c r="U84" s="36"/>
      <c r="V84" s="36"/>
      <c r="W84" s="36"/>
      <c r="X84" s="36"/>
      <c r="Y84" s="36"/>
      <c r="Z84" s="36"/>
      <c r="AB84" s="42"/>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row>
    <row r="85" spans="1:81">
      <c r="A85" s="77"/>
      <c r="B85" s="77"/>
      <c r="C85" s="77"/>
      <c r="F85" s="55"/>
      <c r="G85" s="55"/>
      <c r="H85" s="55"/>
      <c r="I85" s="55"/>
      <c r="J85" s="55"/>
      <c r="K85" s="55"/>
      <c r="L85" s="55"/>
      <c r="M85" s="55"/>
      <c r="N85" s="55"/>
      <c r="O85" s="36"/>
      <c r="P85" s="36"/>
      <c r="Q85" s="36"/>
      <c r="R85" s="36"/>
      <c r="S85" s="36"/>
      <c r="T85" s="36"/>
      <c r="U85" s="36"/>
      <c r="V85" s="36"/>
      <c r="W85" s="36"/>
      <c r="X85" s="36"/>
      <c r="Y85" s="36"/>
      <c r="Z85" s="36"/>
      <c r="AB85" s="42"/>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row>
    <row r="86" spans="1:81">
      <c r="A86" s="77"/>
      <c r="B86" s="77"/>
      <c r="C86" s="77"/>
      <c r="F86" s="36"/>
      <c r="G86" s="36"/>
      <c r="H86" s="36"/>
      <c r="I86" s="36"/>
      <c r="J86" s="36"/>
      <c r="K86" s="36"/>
      <c r="L86" s="36"/>
      <c r="M86" s="36"/>
      <c r="N86" s="36"/>
      <c r="O86" s="36"/>
      <c r="P86" s="36"/>
      <c r="Q86" s="36"/>
      <c r="R86" s="36"/>
      <c r="S86" s="36"/>
      <c r="T86" s="36"/>
      <c r="U86" s="36"/>
      <c r="V86" s="36"/>
      <c r="W86" s="36"/>
      <c r="X86" s="36"/>
      <c r="Y86" s="36"/>
      <c r="Z86" s="36"/>
      <c r="AB86" s="42"/>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row>
    <row r="87" spans="1:81">
      <c r="A87" s="77"/>
      <c r="B87" s="77"/>
      <c r="C87" s="77"/>
      <c r="F87" s="36"/>
      <c r="G87" s="36"/>
      <c r="H87" s="36"/>
      <c r="I87" s="36"/>
      <c r="J87" s="36"/>
      <c r="K87" s="36"/>
      <c r="L87" s="36"/>
      <c r="M87" s="36"/>
      <c r="N87" s="36"/>
      <c r="O87" s="36"/>
      <c r="P87" s="36"/>
      <c r="Q87" s="36"/>
      <c r="R87" s="36"/>
      <c r="S87" s="36"/>
      <c r="T87" s="36"/>
      <c r="U87" s="36"/>
      <c r="V87" s="36"/>
      <c r="W87" s="36"/>
      <c r="X87" s="36"/>
      <c r="Y87" s="36"/>
      <c r="Z87" s="36"/>
      <c r="AB87" s="42"/>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row>
    <row r="88" spans="1:81">
      <c r="A88" s="77"/>
      <c r="B88" s="77"/>
      <c r="C88" s="77"/>
      <c r="F88" s="36"/>
      <c r="G88" s="36"/>
      <c r="H88" s="36"/>
      <c r="I88" s="36"/>
      <c r="J88" s="36"/>
      <c r="K88" s="36"/>
      <c r="L88" s="36"/>
      <c r="M88" s="36"/>
      <c r="N88" s="36"/>
      <c r="O88" s="36"/>
      <c r="P88" s="36"/>
      <c r="Q88" s="36"/>
      <c r="R88" s="36"/>
      <c r="S88" s="36"/>
      <c r="T88" s="36"/>
      <c r="U88" s="36"/>
      <c r="V88" s="36"/>
      <c r="W88" s="36"/>
      <c r="X88" s="36"/>
      <c r="Y88" s="36"/>
      <c r="Z88" s="36"/>
      <c r="AB88" s="42"/>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row>
    <row r="89" spans="1:81">
      <c r="AB89" s="42"/>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row>
    <row r="90" spans="1:81">
      <c r="B90" s="75">
        <f ca="1">SUMPRODUCT(B77:B80,AB77:AB80)/SUM(AB77:AB80)</f>
        <v>49.286628448437469</v>
      </c>
      <c r="F90" s="36">
        <f ca="1">SUM(F77:F80)</f>
        <v>0.62708156893977041</v>
      </c>
      <c r="G90" s="36">
        <f t="shared" ref="G90:X90" ca="1" si="19">SUM(G77:G80)</f>
        <v>0.90690924255901051</v>
      </c>
      <c r="H90" s="36">
        <f t="shared" ca="1" si="19"/>
        <v>1.0838631694246614</v>
      </c>
      <c r="I90" s="36">
        <f t="shared" ca="1" si="19"/>
        <v>1.188829787577693</v>
      </c>
      <c r="J90" s="36">
        <f t="shared" ca="1" si="19"/>
        <v>1.250549693095782</v>
      </c>
      <c r="K90" s="36">
        <f t="shared" ca="1" si="19"/>
        <v>1.3524142067876697</v>
      </c>
      <c r="L90" s="36">
        <f t="shared" ca="1" si="19"/>
        <v>1.3417748541043641</v>
      </c>
      <c r="M90" s="36">
        <f t="shared" ca="1" si="19"/>
        <v>1.3230229272273248</v>
      </c>
      <c r="N90" s="36">
        <f t="shared" ca="1" si="19"/>
        <v>1.3027711411524339</v>
      </c>
      <c r="O90" s="36">
        <f t="shared" ca="1" si="19"/>
        <v>1.2822014973414844</v>
      </c>
      <c r="P90" s="36">
        <f t="shared" ca="1" si="19"/>
        <v>1.2617031676150703</v>
      </c>
      <c r="Q90" s="36">
        <f t="shared" ca="1" si="19"/>
        <v>1.2429526303198004</v>
      </c>
      <c r="R90" s="36">
        <f t="shared" ca="1" si="19"/>
        <v>1.2258192492407181</v>
      </c>
      <c r="S90" s="36">
        <f t="shared" ca="1" si="19"/>
        <v>1.2088263048692345</v>
      </c>
      <c r="T90" s="36">
        <f t="shared" ca="1" si="19"/>
        <v>1.1932362111475807</v>
      </c>
      <c r="U90" s="36">
        <f t="shared" ca="1" si="19"/>
        <v>1.1772539301730123</v>
      </c>
      <c r="V90" s="36">
        <f t="shared" ca="1" si="19"/>
        <v>1.1607348081600781</v>
      </c>
      <c r="W90" s="36">
        <f t="shared" ca="1" si="19"/>
        <v>1.1439681292792143</v>
      </c>
      <c r="X90" s="36">
        <f t="shared" ca="1" si="19"/>
        <v>1.1284303779986746</v>
      </c>
      <c r="Y90" s="36">
        <f ca="1">SUM(Y77:Y80)</f>
        <v>1.1134992574502798</v>
      </c>
      <c r="Z90" s="36">
        <f ca="1">SUM(Z77:Z80)</f>
        <v>6.0780585034919685</v>
      </c>
      <c r="AB90" s="42">
        <f ca="1">SUM(F90:Y90)</f>
        <v>23.515842154463861</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1:81">
      <c r="D92" s="36"/>
      <c r="F92" s="36"/>
      <c r="G92" s="36"/>
      <c r="H92" s="36"/>
      <c r="I92" s="36"/>
      <c r="J92" s="36"/>
      <c r="K92" s="36"/>
      <c r="L92" s="36"/>
      <c r="M92" s="36"/>
      <c r="N92" s="36"/>
      <c r="O92" s="36"/>
      <c r="P92" s="36"/>
      <c r="Q92" s="36"/>
      <c r="R92" s="36"/>
      <c r="S92" s="36"/>
      <c r="T92" s="36"/>
      <c r="U92" s="36"/>
      <c r="V92" s="36"/>
      <c r="W92" s="36"/>
      <c r="X92" s="36"/>
      <c r="Y92" s="36"/>
      <c r="Z92" s="36"/>
      <c r="AA92" s="36"/>
      <c r="AB92" s="56"/>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1:81">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1:81">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1:81" ht="15">
      <c r="A95" s="63" t="s">
        <v>67</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81" ht="15">
      <c r="F96" s="66">
        <f t="shared" ref="F96:Y96" si="20">F11</f>
        <v>2016</v>
      </c>
      <c r="G96" s="67">
        <f t="shared" si="20"/>
        <v>2017</v>
      </c>
      <c r="H96" s="67">
        <f t="shared" si="20"/>
        <v>2018</v>
      </c>
      <c r="I96" s="67">
        <f t="shared" si="20"/>
        <v>2019</v>
      </c>
      <c r="J96" s="67">
        <f t="shared" si="20"/>
        <v>2020</v>
      </c>
      <c r="K96" s="67">
        <f t="shared" si="20"/>
        <v>2021</v>
      </c>
      <c r="L96" s="67">
        <f t="shared" si="20"/>
        <v>2022</v>
      </c>
      <c r="M96" s="67">
        <f t="shared" si="20"/>
        <v>2023</v>
      </c>
      <c r="N96" s="67">
        <f t="shared" si="20"/>
        <v>2024</v>
      </c>
      <c r="O96" s="67">
        <f t="shared" si="20"/>
        <v>2025</v>
      </c>
      <c r="P96" s="67">
        <f t="shared" si="20"/>
        <v>2026</v>
      </c>
      <c r="Q96" s="67">
        <f t="shared" si="20"/>
        <v>2027</v>
      </c>
      <c r="R96" s="67">
        <f t="shared" si="20"/>
        <v>2028</v>
      </c>
      <c r="S96" s="67">
        <f t="shared" si="20"/>
        <v>2029</v>
      </c>
      <c r="T96" s="67">
        <f t="shared" si="20"/>
        <v>2030</v>
      </c>
      <c r="U96" s="67">
        <f t="shared" si="20"/>
        <v>2031</v>
      </c>
      <c r="V96" s="67">
        <f t="shared" si="20"/>
        <v>2032</v>
      </c>
      <c r="W96" s="67">
        <f t="shared" si="20"/>
        <v>2033</v>
      </c>
      <c r="X96" s="67">
        <f t="shared" si="20"/>
        <v>2034</v>
      </c>
      <c r="Y96" s="67">
        <f t="shared" si="20"/>
        <v>2035</v>
      </c>
      <c r="Z96" s="68" t="s">
        <v>59</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2:79" ht="15">
      <c r="C97" s="57" t="s">
        <v>64</v>
      </c>
      <c r="D97" s="57" t="s">
        <v>64</v>
      </c>
      <c r="F97" s="69" t="str">
        <f t="shared" ref="F97:Y97" si="21">CONCATENATE("aMW_",F$11)</f>
        <v>aMW_2016</v>
      </c>
      <c r="G97" s="70" t="str">
        <f t="shared" si="21"/>
        <v>aMW_2017</v>
      </c>
      <c r="H97" s="70" t="str">
        <f t="shared" si="21"/>
        <v>aMW_2018</v>
      </c>
      <c r="I97" s="70" t="str">
        <f t="shared" si="21"/>
        <v>aMW_2019</v>
      </c>
      <c r="J97" s="70" t="str">
        <f t="shared" si="21"/>
        <v>aMW_2020</v>
      </c>
      <c r="K97" s="70" t="str">
        <f t="shared" si="21"/>
        <v>aMW_2021</v>
      </c>
      <c r="L97" s="70" t="str">
        <f t="shared" si="21"/>
        <v>aMW_2022</v>
      </c>
      <c r="M97" s="70" t="str">
        <f t="shared" si="21"/>
        <v>aMW_2023</v>
      </c>
      <c r="N97" s="70" t="str">
        <f t="shared" si="21"/>
        <v>aMW_2024</v>
      </c>
      <c r="O97" s="70" t="str">
        <f t="shared" si="21"/>
        <v>aMW_2025</v>
      </c>
      <c r="P97" s="70" t="str">
        <f t="shared" si="21"/>
        <v>aMW_2026</v>
      </c>
      <c r="Q97" s="70" t="str">
        <f t="shared" si="21"/>
        <v>aMW_2027</v>
      </c>
      <c r="R97" s="70" t="str">
        <f t="shared" si="21"/>
        <v>aMW_2028</v>
      </c>
      <c r="S97" s="70" t="str">
        <f t="shared" si="21"/>
        <v>aMW_2029</v>
      </c>
      <c r="T97" s="70" t="str">
        <f t="shared" si="21"/>
        <v>aMW_2030</v>
      </c>
      <c r="U97" s="70" t="str">
        <f t="shared" si="21"/>
        <v>aMW_2031</v>
      </c>
      <c r="V97" s="70" t="str">
        <f t="shared" si="21"/>
        <v>aMW_2032</v>
      </c>
      <c r="W97" s="70" t="str">
        <f t="shared" si="21"/>
        <v>aMW_2033</v>
      </c>
      <c r="X97" s="70" t="str">
        <f t="shared" si="21"/>
        <v>aMW_2034</v>
      </c>
      <c r="Y97" s="70" t="str">
        <f t="shared" si="21"/>
        <v>aMW_2035</v>
      </c>
      <c r="Z97" s="71" t="s">
        <v>59</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2:79">
      <c r="B98" s="9" t="s">
        <v>68</v>
      </c>
      <c r="C98" s="58" t="s">
        <v>69</v>
      </c>
      <c r="D98" s="58" t="s">
        <v>70</v>
      </c>
      <c r="F98" s="55">
        <f>DSUM($B$76:$Z$80,F$76,$C$97:$D98)</f>
        <v>0</v>
      </c>
      <c r="G98" s="55">
        <f>DSUM($B$76:$Z$80,G$76,$C$97:$D98)</f>
        <v>0</v>
      </c>
      <c r="H98" s="55">
        <f>DSUM($B$76:$Z$80,H$76,$C$97:$D98)</f>
        <v>0</v>
      </c>
      <c r="I98" s="55">
        <f>DSUM($B$76:$Z$80,I$76,$C$97:$D98)</f>
        <v>0</v>
      </c>
      <c r="J98" s="55">
        <f>DSUM($B$76:$Z$80,J$76,$C$97:$D98)</f>
        <v>0</v>
      </c>
      <c r="K98" s="55">
        <f>DSUM($B$76:$Z$80,K$76,$C$97:$D98)</f>
        <v>0</v>
      </c>
      <c r="L98" s="55">
        <f>DSUM($B$76:$Z$80,L$76,$C$97:$D98)</f>
        <v>0</v>
      </c>
      <c r="M98" s="55">
        <f>DSUM($B$76:$Z$80,M$76,$C$97:$D98)</f>
        <v>0</v>
      </c>
      <c r="N98" s="55">
        <f>DSUM($B$76:$Z$80,N$76,$C$97:$D98)</f>
        <v>0</v>
      </c>
      <c r="O98" s="55">
        <f>DSUM($B$76:$Z$80,O$76,$C$97:$D98)</f>
        <v>0</v>
      </c>
      <c r="P98" s="55">
        <f>DSUM($B$76:$Z$80,P$76,$C$97:$D98)</f>
        <v>0</v>
      </c>
      <c r="Q98" s="55">
        <f>DSUM($B$76:$Z$80,Q$76,$C$97:$D98)</f>
        <v>0</v>
      </c>
      <c r="R98" s="55">
        <f>DSUM($B$76:$Z$80,R$76,$C$97:$D98)</f>
        <v>0</v>
      </c>
      <c r="S98" s="55">
        <f>DSUM($B$76:$Z$80,S$76,$C$97:$D98)</f>
        <v>0</v>
      </c>
      <c r="T98" s="55">
        <f>DSUM($B$76:$Z$80,T$76,$C$97:$D98)</f>
        <v>0</v>
      </c>
      <c r="U98" s="55">
        <f>DSUM($B$76:$Z$80,U$76,$C$97:$D98)</f>
        <v>0</v>
      </c>
      <c r="V98" s="55">
        <f>DSUM($B$76:$Z$80,V$76,$C$97:$D98)</f>
        <v>0</v>
      </c>
      <c r="W98" s="55">
        <f>DSUM($B$76:$Z$80,W$76,$C$97:$D98)</f>
        <v>0</v>
      </c>
      <c r="X98" s="55">
        <f>DSUM($B$76:$Z$80,X$76,$C$97:$D98)</f>
        <v>0</v>
      </c>
      <c r="Y98" s="55">
        <f>DSUM($B$76:$Z$80,Y$76,$C$97:$D98)</f>
        <v>0</v>
      </c>
      <c r="Z98" s="55">
        <f>DSUM($B$76:$Z$80,Z$76,$C$97:$D98)</f>
        <v>0</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2:79">
      <c r="B99" s="9" t="s">
        <v>572</v>
      </c>
      <c r="C99" s="58" t="s">
        <v>72</v>
      </c>
      <c r="D99" s="58" t="s">
        <v>73</v>
      </c>
      <c r="F99" s="55">
        <f>DSUM($B$76:$Z$80,F$76,$C$97:$D99)</f>
        <v>0</v>
      </c>
      <c r="G99" s="55">
        <f>DSUM($B$76:$Z$80,G$76,$C$97:$D99)</f>
        <v>0</v>
      </c>
      <c r="H99" s="55">
        <f>DSUM($B$76:$Z$80,H$76,$C$97:$D99)</f>
        <v>0</v>
      </c>
      <c r="I99" s="55">
        <f>DSUM($B$76:$Z$80,I$76,$C$97:$D99)</f>
        <v>0</v>
      </c>
      <c r="J99" s="55">
        <f>DSUM($B$76:$Z$80,J$76,$C$97:$D99)</f>
        <v>0</v>
      </c>
      <c r="K99" s="55">
        <f>DSUM($B$76:$Z$80,K$76,$C$97:$D99)</f>
        <v>0</v>
      </c>
      <c r="L99" s="55">
        <f>DSUM($B$76:$Z$80,L$76,$C$97:$D99)</f>
        <v>0</v>
      </c>
      <c r="M99" s="55">
        <f>DSUM($B$76:$Z$80,M$76,$C$97:$D99)</f>
        <v>0</v>
      </c>
      <c r="N99" s="55">
        <f>DSUM($B$76:$Z$80,N$76,$C$97:$D99)</f>
        <v>0</v>
      </c>
      <c r="O99" s="55">
        <f>DSUM($B$76:$Z$80,O$76,$C$97:$D99)</f>
        <v>0</v>
      </c>
      <c r="P99" s="55">
        <f>DSUM($B$76:$Z$80,P$76,$C$97:$D99)</f>
        <v>0</v>
      </c>
      <c r="Q99" s="55">
        <f>DSUM($B$76:$Z$80,Q$76,$C$97:$D99)</f>
        <v>0</v>
      </c>
      <c r="R99" s="55">
        <f>DSUM($B$76:$Z$80,R$76,$C$97:$D99)</f>
        <v>0</v>
      </c>
      <c r="S99" s="55">
        <f>DSUM($B$76:$Z$80,S$76,$C$97:$D99)</f>
        <v>0</v>
      </c>
      <c r="T99" s="55">
        <f>DSUM($B$76:$Z$80,T$76,$C$97:$D99)</f>
        <v>0</v>
      </c>
      <c r="U99" s="55">
        <f>DSUM($B$76:$Z$80,U$76,$C$97:$D99)</f>
        <v>0</v>
      </c>
      <c r="V99" s="55">
        <f>DSUM($B$76:$Z$80,V$76,$C$97:$D99)</f>
        <v>0</v>
      </c>
      <c r="W99" s="55">
        <f>DSUM($B$76:$Z$80,W$76,$C$97:$D99)</f>
        <v>0</v>
      </c>
      <c r="X99" s="55">
        <f>DSUM($B$76:$Z$80,X$76,$C$97:$D99)</f>
        <v>0</v>
      </c>
      <c r="Y99" s="55">
        <f>DSUM($B$76:$Z$80,Y$76,$C$97:$D99)</f>
        <v>0</v>
      </c>
      <c r="Z99" s="55">
        <f>DSUM($B$76:$Z$80,Z$76,$C$97:$D99)</f>
        <v>0</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2:79">
      <c r="B100" s="9" t="s">
        <v>74</v>
      </c>
      <c r="C100" s="58" t="s">
        <v>75</v>
      </c>
      <c r="D100" s="58" t="s">
        <v>76</v>
      </c>
      <c r="F100" s="55">
        <f>DSUM($B$76:$Z$80,F$76,$C$97:$D100)</f>
        <v>0</v>
      </c>
      <c r="G100" s="55">
        <f>DSUM($B$76:$Z$80,G$76,$C$97:$D100)</f>
        <v>0</v>
      </c>
      <c r="H100" s="55">
        <f>DSUM($B$76:$Z$80,H$76,$C$97:$D100)</f>
        <v>0</v>
      </c>
      <c r="I100" s="55">
        <f>DSUM($B$76:$Z$80,I$76,$C$97:$D100)</f>
        <v>0</v>
      </c>
      <c r="J100" s="55">
        <f>DSUM($B$76:$Z$80,J$76,$C$97:$D100)</f>
        <v>0</v>
      </c>
      <c r="K100" s="55">
        <f>DSUM($B$76:$Z$80,K$76,$C$97:$D100)</f>
        <v>0</v>
      </c>
      <c r="L100" s="55">
        <f>DSUM($B$76:$Z$80,L$76,$C$97:$D100)</f>
        <v>0</v>
      </c>
      <c r="M100" s="55">
        <f>DSUM($B$76:$Z$80,M$76,$C$97:$D100)</f>
        <v>0</v>
      </c>
      <c r="N100" s="55">
        <f>DSUM($B$76:$Z$80,N$76,$C$97:$D100)</f>
        <v>0</v>
      </c>
      <c r="O100" s="55">
        <f>DSUM($B$76:$Z$80,O$76,$C$97:$D100)</f>
        <v>0</v>
      </c>
      <c r="P100" s="55">
        <f>DSUM($B$76:$Z$80,P$76,$C$97:$D100)</f>
        <v>0</v>
      </c>
      <c r="Q100" s="55">
        <f>DSUM($B$76:$Z$80,Q$76,$C$97:$D100)</f>
        <v>0</v>
      </c>
      <c r="R100" s="55">
        <f>DSUM($B$76:$Z$80,R$76,$C$97:$D100)</f>
        <v>0</v>
      </c>
      <c r="S100" s="55">
        <f>DSUM($B$76:$Z$80,S$76,$C$97:$D100)</f>
        <v>0</v>
      </c>
      <c r="T100" s="55">
        <f>DSUM($B$76:$Z$80,T$76,$C$97:$D100)</f>
        <v>0</v>
      </c>
      <c r="U100" s="55">
        <f>DSUM($B$76:$Z$80,U$76,$C$97:$D100)</f>
        <v>0</v>
      </c>
      <c r="V100" s="55">
        <f>DSUM($B$76:$Z$80,V$76,$C$97:$D100)</f>
        <v>0</v>
      </c>
      <c r="W100" s="55">
        <f>DSUM($B$76:$Z$80,W$76,$C$97:$D100)</f>
        <v>0</v>
      </c>
      <c r="X100" s="55">
        <f>DSUM($B$76:$Z$80,X$76,$C$97:$D100)</f>
        <v>0</v>
      </c>
      <c r="Y100" s="55">
        <f>DSUM($B$76:$Z$80,Y$76,$C$97:$D100)</f>
        <v>0</v>
      </c>
      <c r="Z100" s="55">
        <f>DSUM($B$76:$Z$80,Z$76,$C$97:$D100)</f>
        <v>0</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2:79">
      <c r="B101" s="9" t="s">
        <v>77</v>
      </c>
      <c r="C101" s="58" t="s">
        <v>78</v>
      </c>
      <c r="D101" s="58" t="s">
        <v>79</v>
      </c>
      <c r="F101" s="55">
        <f>DSUM($B$76:$Z$80,F$76,$C$97:$D101)</f>
        <v>0</v>
      </c>
      <c r="G101" s="55">
        <f>DSUM($B$76:$Z$80,G$76,$C$97:$D101)</f>
        <v>0</v>
      </c>
      <c r="H101" s="55">
        <f>DSUM($B$76:$Z$80,H$76,$C$97:$D101)</f>
        <v>0</v>
      </c>
      <c r="I101" s="55">
        <f>DSUM($B$76:$Z$80,I$76,$C$97:$D101)</f>
        <v>0</v>
      </c>
      <c r="J101" s="55">
        <f>DSUM($B$76:$Z$80,J$76,$C$97:$D101)</f>
        <v>0</v>
      </c>
      <c r="K101" s="55">
        <f>DSUM($B$76:$Z$80,K$76,$C$97:$D101)</f>
        <v>0</v>
      </c>
      <c r="L101" s="55">
        <f>DSUM($B$76:$Z$80,L$76,$C$97:$D101)</f>
        <v>0</v>
      </c>
      <c r="M101" s="55">
        <f>DSUM($B$76:$Z$80,M$76,$C$97:$D101)</f>
        <v>0</v>
      </c>
      <c r="N101" s="55">
        <f>DSUM($B$76:$Z$80,N$76,$C$97:$D101)</f>
        <v>0</v>
      </c>
      <c r="O101" s="55">
        <f>DSUM($B$76:$Z$80,O$76,$C$97:$D101)</f>
        <v>0</v>
      </c>
      <c r="P101" s="55">
        <f>DSUM($B$76:$Z$80,P$76,$C$97:$D101)</f>
        <v>0</v>
      </c>
      <c r="Q101" s="55">
        <f>DSUM($B$76:$Z$80,Q$76,$C$97:$D101)</f>
        <v>0</v>
      </c>
      <c r="R101" s="55">
        <f>DSUM($B$76:$Z$80,R$76,$C$97:$D101)</f>
        <v>0</v>
      </c>
      <c r="S101" s="55">
        <f>DSUM($B$76:$Z$80,S$76,$C$97:$D101)</f>
        <v>0</v>
      </c>
      <c r="T101" s="55">
        <f>DSUM($B$76:$Z$80,T$76,$C$97:$D101)</f>
        <v>0</v>
      </c>
      <c r="U101" s="55">
        <f>DSUM($B$76:$Z$80,U$76,$C$97:$D101)</f>
        <v>0</v>
      </c>
      <c r="V101" s="55">
        <f>DSUM($B$76:$Z$80,V$76,$C$97:$D101)</f>
        <v>0</v>
      </c>
      <c r="W101" s="55">
        <f>DSUM($B$76:$Z$80,W$76,$C$97:$D101)</f>
        <v>0</v>
      </c>
      <c r="X101" s="55">
        <f>DSUM($B$76:$Z$80,X$76,$C$97:$D101)</f>
        <v>0</v>
      </c>
      <c r="Y101" s="55">
        <f>DSUM($B$76:$Z$80,Y$76,$C$97:$D101)</f>
        <v>0</v>
      </c>
      <c r="Z101" s="55">
        <f>DSUM($B$76:$Z$80,Z$76,$C$97:$D101)</f>
        <v>0</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2:79">
      <c r="B102" s="9" t="s">
        <v>80</v>
      </c>
      <c r="C102" s="58" t="s">
        <v>81</v>
      </c>
      <c r="D102" s="58" t="s">
        <v>82</v>
      </c>
      <c r="F102" s="55">
        <f>DSUM($B$76:$Z$80,F$76,$C$97:$D102)</f>
        <v>0</v>
      </c>
      <c r="G102" s="55">
        <f>DSUM($B$76:$Z$80,G$76,$C$97:$D102)</f>
        <v>0</v>
      </c>
      <c r="H102" s="55">
        <f>DSUM($B$76:$Z$80,H$76,$C$97:$D102)</f>
        <v>0</v>
      </c>
      <c r="I102" s="55">
        <f>DSUM($B$76:$Z$80,I$76,$C$97:$D102)</f>
        <v>0</v>
      </c>
      <c r="J102" s="55">
        <f>DSUM($B$76:$Z$80,J$76,$C$97:$D102)</f>
        <v>0</v>
      </c>
      <c r="K102" s="55">
        <f>DSUM($B$76:$Z$80,K$76,$C$97:$D102)</f>
        <v>0</v>
      </c>
      <c r="L102" s="55">
        <f>DSUM($B$76:$Z$80,L$76,$C$97:$D102)</f>
        <v>0</v>
      </c>
      <c r="M102" s="55">
        <f>DSUM($B$76:$Z$80,M$76,$C$97:$D102)</f>
        <v>0</v>
      </c>
      <c r="N102" s="55">
        <f>DSUM($B$76:$Z$80,N$76,$C$97:$D102)</f>
        <v>0</v>
      </c>
      <c r="O102" s="55">
        <f>DSUM($B$76:$Z$80,O$76,$C$97:$D102)</f>
        <v>0</v>
      </c>
      <c r="P102" s="55">
        <f>DSUM($B$76:$Z$80,P$76,$C$97:$D102)</f>
        <v>0</v>
      </c>
      <c r="Q102" s="55">
        <f>DSUM($B$76:$Z$80,Q$76,$C$97:$D102)</f>
        <v>0</v>
      </c>
      <c r="R102" s="55">
        <f>DSUM($B$76:$Z$80,R$76,$C$97:$D102)</f>
        <v>0</v>
      </c>
      <c r="S102" s="55">
        <f>DSUM($B$76:$Z$80,S$76,$C$97:$D102)</f>
        <v>0</v>
      </c>
      <c r="T102" s="55">
        <f>DSUM($B$76:$Z$80,T$76,$C$97:$D102)</f>
        <v>0</v>
      </c>
      <c r="U102" s="55">
        <f>DSUM($B$76:$Z$80,U$76,$C$97:$D102)</f>
        <v>0</v>
      </c>
      <c r="V102" s="55">
        <f>DSUM($B$76:$Z$80,V$76,$C$97:$D102)</f>
        <v>0</v>
      </c>
      <c r="W102" s="55">
        <f>DSUM($B$76:$Z$80,W$76,$C$97:$D102)</f>
        <v>0</v>
      </c>
      <c r="X102" s="55">
        <f>DSUM($B$76:$Z$80,X$76,$C$97:$D102)</f>
        <v>0</v>
      </c>
      <c r="Y102" s="55">
        <f>DSUM($B$76:$Z$80,Y$76,$C$97:$D102)</f>
        <v>0</v>
      </c>
      <c r="Z102" s="55">
        <f>DSUM($B$76:$Z$80,Z$76,$C$97:$D102)</f>
        <v>0</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2:79">
      <c r="B103" s="9" t="s">
        <v>83</v>
      </c>
      <c r="C103" s="58" t="s">
        <v>84</v>
      </c>
      <c r="D103" s="58" t="s">
        <v>85</v>
      </c>
      <c r="F103" s="55">
        <f ca="1">DSUM($B$76:$Z$80,F$76,$C$97:$D103)</f>
        <v>0.62708156893977041</v>
      </c>
      <c r="G103" s="55">
        <f ca="1">DSUM($B$76:$Z$80,G$76,$C$97:$D103)</f>
        <v>0.90690924255901051</v>
      </c>
      <c r="H103" s="55">
        <f ca="1">DSUM($B$76:$Z$80,H$76,$C$97:$D103)</f>
        <v>1.0838631694246614</v>
      </c>
      <c r="I103" s="55">
        <f ca="1">DSUM($B$76:$Z$80,I$76,$C$97:$D103)</f>
        <v>1.188829787577693</v>
      </c>
      <c r="J103" s="55">
        <f ca="1">DSUM($B$76:$Z$80,J$76,$C$97:$D103)</f>
        <v>1.250549693095782</v>
      </c>
      <c r="K103" s="55">
        <f ca="1">DSUM($B$76:$Z$80,K$76,$C$97:$D103)</f>
        <v>1.3524142067876697</v>
      </c>
      <c r="L103" s="55">
        <f ca="1">DSUM($B$76:$Z$80,L$76,$C$97:$D103)</f>
        <v>1.3417748541043641</v>
      </c>
      <c r="M103" s="55">
        <f ca="1">DSUM($B$76:$Z$80,M$76,$C$97:$D103)</f>
        <v>1.3230229272273248</v>
      </c>
      <c r="N103" s="55">
        <f ca="1">DSUM($B$76:$Z$80,N$76,$C$97:$D103)</f>
        <v>1.3027711411524339</v>
      </c>
      <c r="O103" s="55">
        <f ca="1">DSUM($B$76:$Z$80,O$76,$C$97:$D103)</f>
        <v>1.2822014973414844</v>
      </c>
      <c r="P103" s="55">
        <f ca="1">DSUM($B$76:$Z$80,P$76,$C$97:$D103)</f>
        <v>1.2617031676150703</v>
      </c>
      <c r="Q103" s="55">
        <f ca="1">DSUM($B$76:$Z$80,Q$76,$C$97:$D103)</f>
        <v>1.2429526303198004</v>
      </c>
      <c r="R103" s="55">
        <f ca="1">DSUM($B$76:$Z$80,R$76,$C$97:$D103)</f>
        <v>1.2258192492407181</v>
      </c>
      <c r="S103" s="55">
        <f ca="1">DSUM($B$76:$Z$80,S$76,$C$97:$D103)</f>
        <v>1.2088263048692345</v>
      </c>
      <c r="T103" s="55">
        <f ca="1">DSUM($B$76:$Z$80,T$76,$C$97:$D103)</f>
        <v>1.1932362111475807</v>
      </c>
      <c r="U103" s="55">
        <f ca="1">DSUM($B$76:$Z$80,U$76,$C$97:$D103)</f>
        <v>1.1772539301730123</v>
      </c>
      <c r="V103" s="55">
        <f ca="1">DSUM($B$76:$Z$80,V$76,$C$97:$D103)</f>
        <v>1.1607348081600781</v>
      </c>
      <c r="W103" s="55">
        <f ca="1">DSUM($B$76:$Z$80,W$76,$C$97:$D103)</f>
        <v>1.1439681292792143</v>
      </c>
      <c r="X103" s="55">
        <f ca="1">DSUM($B$76:$Z$80,X$76,$C$97:$D103)</f>
        <v>1.1284303779986746</v>
      </c>
      <c r="Y103" s="55">
        <f ca="1">DSUM($B$76:$Z$80,Y$76,$C$97:$D103)</f>
        <v>1.1134992574502798</v>
      </c>
      <c r="Z103" s="55">
        <f ca="1">DSUM($B$76:$Z$80,Z$76,$C$97:$D103)</f>
        <v>6.0780585034919685</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2:79">
      <c r="B104" s="9" t="s">
        <v>86</v>
      </c>
      <c r="C104" s="58" t="s">
        <v>87</v>
      </c>
      <c r="D104" s="58" t="s">
        <v>88</v>
      </c>
      <c r="F104" s="55">
        <f ca="1">DSUM($B$76:$Z$80,F$76,$C$97:$D104)</f>
        <v>0.62708156893977041</v>
      </c>
      <c r="G104" s="55">
        <f ca="1">DSUM($B$76:$Z$80,G$76,$C$97:$D104)</f>
        <v>0.90690924255901051</v>
      </c>
      <c r="H104" s="55">
        <f ca="1">DSUM($B$76:$Z$80,H$76,$C$97:$D104)</f>
        <v>1.0838631694246614</v>
      </c>
      <c r="I104" s="55">
        <f ca="1">DSUM($B$76:$Z$80,I$76,$C$97:$D104)</f>
        <v>1.188829787577693</v>
      </c>
      <c r="J104" s="55">
        <f ca="1">DSUM($B$76:$Z$80,J$76,$C$97:$D104)</f>
        <v>1.250549693095782</v>
      </c>
      <c r="K104" s="55">
        <f ca="1">DSUM($B$76:$Z$80,K$76,$C$97:$D104)</f>
        <v>1.3524142067876697</v>
      </c>
      <c r="L104" s="55">
        <f ca="1">DSUM($B$76:$Z$80,L$76,$C$97:$D104)</f>
        <v>1.3417748541043641</v>
      </c>
      <c r="M104" s="55">
        <f ca="1">DSUM($B$76:$Z$80,M$76,$C$97:$D104)</f>
        <v>1.3230229272273248</v>
      </c>
      <c r="N104" s="55">
        <f ca="1">DSUM($B$76:$Z$80,N$76,$C$97:$D104)</f>
        <v>1.3027711411524339</v>
      </c>
      <c r="O104" s="55">
        <f ca="1">DSUM($B$76:$Z$80,O$76,$C$97:$D104)</f>
        <v>1.2822014973414844</v>
      </c>
      <c r="P104" s="55">
        <f ca="1">DSUM($B$76:$Z$80,P$76,$C$97:$D104)</f>
        <v>1.2617031676150703</v>
      </c>
      <c r="Q104" s="55">
        <f ca="1">DSUM($B$76:$Z$80,Q$76,$C$97:$D104)</f>
        <v>1.2429526303198004</v>
      </c>
      <c r="R104" s="55">
        <f ca="1">DSUM($B$76:$Z$80,R$76,$C$97:$D104)</f>
        <v>1.2258192492407181</v>
      </c>
      <c r="S104" s="55">
        <f ca="1">DSUM($B$76:$Z$80,S$76,$C$97:$D104)</f>
        <v>1.2088263048692345</v>
      </c>
      <c r="T104" s="55">
        <f ca="1">DSUM($B$76:$Z$80,T$76,$C$97:$D104)</f>
        <v>1.1932362111475807</v>
      </c>
      <c r="U104" s="55">
        <f ca="1">DSUM($B$76:$Z$80,U$76,$C$97:$D104)</f>
        <v>1.1772539301730123</v>
      </c>
      <c r="V104" s="55">
        <f ca="1">DSUM($B$76:$Z$80,V$76,$C$97:$D104)</f>
        <v>1.1607348081600781</v>
      </c>
      <c r="W104" s="55">
        <f ca="1">DSUM($B$76:$Z$80,W$76,$C$97:$D104)</f>
        <v>1.1439681292792143</v>
      </c>
      <c r="X104" s="55">
        <f ca="1">DSUM($B$76:$Z$80,X$76,$C$97:$D104)</f>
        <v>1.1284303779986746</v>
      </c>
      <c r="Y104" s="55">
        <f ca="1">DSUM($B$76:$Z$80,Y$76,$C$97:$D104)</f>
        <v>1.1134992574502798</v>
      </c>
      <c r="Z104" s="55">
        <f ca="1">DSUM($B$76:$Z$80,Z$76,$C$97:$D104)</f>
        <v>6.0780585034919685</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2:79">
      <c r="B105" s="9" t="s">
        <v>89</v>
      </c>
      <c r="C105" s="58" t="s">
        <v>90</v>
      </c>
      <c r="D105" s="58" t="s">
        <v>91</v>
      </c>
      <c r="F105" s="55">
        <f ca="1">DSUM($B$76:$Z$80,F$76,$C$97:$D105)</f>
        <v>0.62708156893977041</v>
      </c>
      <c r="G105" s="55">
        <f ca="1">DSUM($B$76:$Z$80,G$76,$C$97:$D105)</f>
        <v>0.90690924255901051</v>
      </c>
      <c r="H105" s="55">
        <f ca="1">DSUM($B$76:$Z$80,H$76,$C$97:$D105)</f>
        <v>1.0838631694246614</v>
      </c>
      <c r="I105" s="55">
        <f ca="1">DSUM($B$76:$Z$80,I$76,$C$97:$D105)</f>
        <v>1.188829787577693</v>
      </c>
      <c r="J105" s="55">
        <f ca="1">DSUM($B$76:$Z$80,J$76,$C$97:$D105)</f>
        <v>1.250549693095782</v>
      </c>
      <c r="K105" s="55">
        <f ca="1">DSUM($B$76:$Z$80,K$76,$C$97:$D105)</f>
        <v>1.3524142067876697</v>
      </c>
      <c r="L105" s="55">
        <f ca="1">DSUM($B$76:$Z$80,L$76,$C$97:$D105)</f>
        <v>1.3417748541043641</v>
      </c>
      <c r="M105" s="55">
        <f ca="1">DSUM($B$76:$Z$80,M$76,$C$97:$D105)</f>
        <v>1.3230229272273248</v>
      </c>
      <c r="N105" s="55">
        <f ca="1">DSUM($B$76:$Z$80,N$76,$C$97:$D105)</f>
        <v>1.3027711411524339</v>
      </c>
      <c r="O105" s="55">
        <f ca="1">DSUM($B$76:$Z$80,O$76,$C$97:$D105)</f>
        <v>1.2822014973414844</v>
      </c>
      <c r="P105" s="55">
        <f ca="1">DSUM($B$76:$Z$80,P$76,$C$97:$D105)</f>
        <v>1.2617031676150703</v>
      </c>
      <c r="Q105" s="55">
        <f ca="1">DSUM($B$76:$Z$80,Q$76,$C$97:$D105)</f>
        <v>1.2429526303198004</v>
      </c>
      <c r="R105" s="55">
        <f ca="1">DSUM($B$76:$Z$80,R$76,$C$97:$D105)</f>
        <v>1.2258192492407181</v>
      </c>
      <c r="S105" s="55">
        <f ca="1">DSUM($B$76:$Z$80,S$76,$C$97:$D105)</f>
        <v>1.2088263048692345</v>
      </c>
      <c r="T105" s="55">
        <f ca="1">DSUM($B$76:$Z$80,T$76,$C$97:$D105)</f>
        <v>1.1932362111475807</v>
      </c>
      <c r="U105" s="55">
        <f ca="1">DSUM($B$76:$Z$80,U$76,$C$97:$D105)</f>
        <v>1.1772539301730123</v>
      </c>
      <c r="V105" s="55">
        <f ca="1">DSUM($B$76:$Z$80,V$76,$C$97:$D105)</f>
        <v>1.1607348081600781</v>
      </c>
      <c r="W105" s="55">
        <f ca="1">DSUM($B$76:$Z$80,W$76,$C$97:$D105)</f>
        <v>1.1439681292792143</v>
      </c>
      <c r="X105" s="55">
        <f ca="1">DSUM($B$76:$Z$80,X$76,$C$97:$D105)</f>
        <v>1.1284303779986746</v>
      </c>
      <c r="Y105" s="55">
        <f ca="1">DSUM($B$76:$Z$80,Y$76,$C$97:$D105)</f>
        <v>1.1134992574502798</v>
      </c>
      <c r="Z105" s="55">
        <f ca="1">DSUM($B$76:$Z$80,Z$76,$C$97:$D105)</f>
        <v>6.0780585034919685</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2:79">
      <c r="B106" s="9" t="s">
        <v>92</v>
      </c>
      <c r="C106" s="58" t="s">
        <v>93</v>
      </c>
      <c r="D106" s="58" t="s">
        <v>94</v>
      </c>
      <c r="F106" s="55">
        <f ca="1">DSUM($B$76:$Z$80,F$76,$C$97:$D106)</f>
        <v>0.62708156893977041</v>
      </c>
      <c r="G106" s="55">
        <f ca="1">DSUM($B$76:$Z$80,G$76,$C$97:$D106)</f>
        <v>0.90690924255901051</v>
      </c>
      <c r="H106" s="55">
        <f ca="1">DSUM($B$76:$Z$80,H$76,$C$97:$D106)</f>
        <v>1.0838631694246614</v>
      </c>
      <c r="I106" s="55">
        <f ca="1">DSUM($B$76:$Z$80,I$76,$C$97:$D106)</f>
        <v>1.188829787577693</v>
      </c>
      <c r="J106" s="55">
        <f ca="1">DSUM($B$76:$Z$80,J$76,$C$97:$D106)</f>
        <v>1.250549693095782</v>
      </c>
      <c r="K106" s="55">
        <f ca="1">DSUM($B$76:$Z$80,K$76,$C$97:$D106)</f>
        <v>1.3524142067876697</v>
      </c>
      <c r="L106" s="55">
        <f ca="1">DSUM($B$76:$Z$80,L$76,$C$97:$D106)</f>
        <v>1.3417748541043641</v>
      </c>
      <c r="M106" s="55">
        <f ca="1">DSUM($B$76:$Z$80,M$76,$C$97:$D106)</f>
        <v>1.3230229272273248</v>
      </c>
      <c r="N106" s="55">
        <f ca="1">DSUM($B$76:$Z$80,N$76,$C$97:$D106)</f>
        <v>1.3027711411524339</v>
      </c>
      <c r="O106" s="55">
        <f ca="1">DSUM($B$76:$Z$80,O$76,$C$97:$D106)</f>
        <v>1.2822014973414844</v>
      </c>
      <c r="P106" s="55">
        <f ca="1">DSUM($B$76:$Z$80,P$76,$C$97:$D106)</f>
        <v>1.2617031676150703</v>
      </c>
      <c r="Q106" s="55">
        <f ca="1">DSUM($B$76:$Z$80,Q$76,$C$97:$D106)</f>
        <v>1.2429526303198004</v>
      </c>
      <c r="R106" s="55">
        <f ca="1">DSUM($B$76:$Z$80,R$76,$C$97:$D106)</f>
        <v>1.2258192492407181</v>
      </c>
      <c r="S106" s="55">
        <f ca="1">DSUM($B$76:$Z$80,S$76,$C$97:$D106)</f>
        <v>1.2088263048692345</v>
      </c>
      <c r="T106" s="55">
        <f ca="1">DSUM($B$76:$Z$80,T$76,$C$97:$D106)</f>
        <v>1.1932362111475807</v>
      </c>
      <c r="U106" s="55">
        <f ca="1">DSUM($B$76:$Z$80,U$76,$C$97:$D106)</f>
        <v>1.1772539301730123</v>
      </c>
      <c r="V106" s="55">
        <f ca="1">DSUM($B$76:$Z$80,V$76,$C$97:$D106)</f>
        <v>1.1607348081600781</v>
      </c>
      <c r="W106" s="55">
        <f ca="1">DSUM($B$76:$Z$80,W$76,$C$97:$D106)</f>
        <v>1.1439681292792143</v>
      </c>
      <c r="X106" s="55">
        <f ca="1">DSUM($B$76:$Z$80,X$76,$C$97:$D106)</f>
        <v>1.1284303779986746</v>
      </c>
      <c r="Y106" s="55">
        <f ca="1">DSUM($B$76:$Z$80,Y$76,$C$97:$D106)</f>
        <v>1.1134992574502798</v>
      </c>
      <c r="Z106" s="55">
        <f ca="1">DSUM($B$76:$Z$80,Z$76,$C$97:$D106)</f>
        <v>6.0780585034919685</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2:79">
      <c r="B107" s="9" t="s">
        <v>95</v>
      </c>
      <c r="C107" s="58" t="s">
        <v>96</v>
      </c>
      <c r="D107" s="58" t="s">
        <v>97</v>
      </c>
      <c r="F107" s="55">
        <f ca="1">DSUM($B$76:$Z$80,F$76,$C$97:$D107)</f>
        <v>0.62708156893977041</v>
      </c>
      <c r="G107" s="55">
        <f ca="1">DSUM($B$76:$Z$80,G$76,$C$97:$D107)</f>
        <v>0.90690924255901051</v>
      </c>
      <c r="H107" s="55">
        <f ca="1">DSUM($B$76:$Z$80,H$76,$C$97:$D107)</f>
        <v>1.0838631694246614</v>
      </c>
      <c r="I107" s="55">
        <f ca="1">DSUM($B$76:$Z$80,I$76,$C$97:$D107)</f>
        <v>1.188829787577693</v>
      </c>
      <c r="J107" s="55">
        <f ca="1">DSUM($B$76:$Z$80,J$76,$C$97:$D107)</f>
        <v>1.250549693095782</v>
      </c>
      <c r="K107" s="55">
        <f ca="1">DSUM($B$76:$Z$80,K$76,$C$97:$D107)</f>
        <v>1.3524142067876697</v>
      </c>
      <c r="L107" s="55">
        <f ca="1">DSUM($B$76:$Z$80,L$76,$C$97:$D107)</f>
        <v>1.3417748541043641</v>
      </c>
      <c r="M107" s="55">
        <f ca="1">DSUM($B$76:$Z$80,M$76,$C$97:$D107)</f>
        <v>1.3230229272273248</v>
      </c>
      <c r="N107" s="55">
        <f ca="1">DSUM($B$76:$Z$80,N$76,$C$97:$D107)</f>
        <v>1.3027711411524339</v>
      </c>
      <c r="O107" s="55">
        <f ca="1">DSUM($B$76:$Z$80,O$76,$C$97:$D107)</f>
        <v>1.2822014973414844</v>
      </c>
      <c r="P107" s="55">
        <f ca="1">DSUM($B$76:$Z$80,P$76,$C$97:$D107)</f>
        <v>1.2617031676150703</v>
      </c>
      <c r="Q107" s="55">
        <f ca="1">DSUM($B$76:$Z$80,Q$76,$C$97:$D107)</f>
        <v>1.2429526303198004</v>
      </c>
      <c r="R107" s="55">
        <f ca="1">DSUM($B$76:$Z$80,R$76,$C$97:$D107)</f>
        <v>1.2258192492407181</v>
      </c>
      <c r="S107" s="55">
        <f ca="1">DSUM($B$76:$Z$80,S$76,$C$97:$D107)</f>
        <v>1.2088263048692345</v>
      </c>
      <c r="T107" s="55">
        <f ca="1">DSUM($B$76:$Z$80,T$76,$C$97:$D107)</f>
        <v>1.1932362111475807</v>
      </c>
      <c r="U107" s="55">
        <f ca="1">DSUM($B$76:$Z$80,U$76,$C$97:$D107)</f>
        <v>1.1772539301730123</v>
      </c>
      <c r="V107" s="55">
        <f ca="1">DSUM($B$76:$Z$80,V$76,$C$97:$D107)</f>
        <v>1.1607348081600781</v>
      </c>
      <c r="W107" s="55">
        <f ca="1">DSUM($B$76:$Z$80,W$76,$C$97:$D107)</f>
        <v>1.1439681292792143</v>
      </c>
      <c r="X107" s="55">
        <f ca="1">DSUM($B$76:$Z$80,X$76,$C$97:$D107)</f>
        <v>1.1284303779986746</v>
      </c>
      <c r="Y107" s="55">
        <f ca="1">DSUM($B$76:$Z$80,Y$76,$C$97:$D107)</f>
        <v>1.1134992574502798</v>
      </c>
      <c r="Z107" s="55">
        <f ca="1">DSUM($B$76:$Z$80,Z$76,$C$97:$D107)</f>
        <v>6.0780585034919685</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2:79">
      <c r="B108" s="9" t="s">
        <v>98</v>
      </c>
      <c r="C108" s="58" t="s">
        <v>99</v>
      </c>
      <c r="D108" s="58" t="s">
        <v>100</v>
      </c>
      <c r="F108" s="55">
        <f ca="1">DSUM($B$76:$Z$80,F$76,$C$97:$D108)</f>
        <v>0.62708156893977041</v>
      </c>
      <c r="G108" s="55">
        <f ca="1">DSUM($B$76:$Z$80,G$76,$C$97:$D108)</f>
        <v>0.90690924255901051</v>
      </c>
      <c r="H108" s="55">
        <f ca="1">DSUM($B$76:$Z$80,H$76,$C$97:$D108)</f>
        <v>1.0838631694246614</v>
      </c>
      <c r="I108" s="55">
        <f ca="1">DSUM($B$76:$Z$80,I$76,$C$97:$D108)</f>
        <v>1.188829787577693</v>
      </c>
      <c r="J108" s="55">
        <f ca="1">DSUM($B$76:$Z$80,J$76,$C$97:$D108)</f>
        <v>1.250549693095782</v>
      </c>
      <c r="K108" s="55">
        <f ca="1">DSUM($B$76:$Z$80,K$76,$C$97:$D108)</f>
        <v>1.3524142067876697</v>
      </c>
      <c r="L108" s="55">
        <f ca="1">DSUM($B$76:$Z$80,L$76,$C$97:$D108)</f>
        <v>1.3417748541043641</v>
      </c>
      <c r="M108" s="55">
        <f ca="1">DSUM($B$76:$Z$80,M$76,$C$97:$D108)</f>
        <v>1.3230229272273248</v>
      </c>
      <c r="N108" s="55">
        <f ca="1">DSUM($B$76:$Z$80,N$76,$C$97:$D108)</f>
        <v>1.3027711411524339</v>
      </c>
      <c r="O108" s="55">
        <f ca="1">DSUM($B$76:$Z$80,O$76,$C$97:$D108)</f>
        <v>1.2822014973414844</v>
      </c>
      <c r="P108" s="55">
        <f ca="1">DSUM($B$76:$Z$80,P$76,$C$97:$D108)</f>
        <v>1.2617031676150703</v>
      </c>
      <c r="Q108" s="55">
        <f ca="1">DSUM($B$76:$Z$80,Q$76,$C$97:$D108)</f>
        <v>1.2429526303198004</v>
      </c>
      <c r="R108" s="55">
        <f ca="1">DSUM($B$76:$Z$80,R$76,$C$97:$D108)</f>
        <v>1.2258192492407181</v>
      </c>
      <c r="S108" s="55">
        <f ca="1">DSUM($B$76:$Z$80,S$76,$C$97:$D108)</f>
        <v>1.2088263048692345</v>
      </c>
      <c r="T108" s="55">
        <f ca="1">DSUM($B$76:$Z$80,T$76,$C$97:$D108)</f>
        <v>1.1932362111475807</v>
      </c>
      <c r="U108" s="55">
        <f ca="1">DSUM($B$76:$Z$80,U$76,$C$97:$D108)</f>
        <v>1.1772539301730123</v>
      </c>
      <c r="V108" s="55">
        <f ca="1">DSUM($B$76:$Z$80,V$76,$C$97:$D108)</f>
        <v>1.1607348081600781</v>
      </c>
      <c r="W108" s="55">
        <f ca="1">DSUM($B$76:$Z$80,W$76,$C$97:$D108)</f>
        <v>1.1439681292792143</v>
      </c>
      <c r="X108" s="55">
        <f ca="1">DSUM($B$76:$Z$80,X$76,$C$97:$D108)</f>
        <v>1.1284303779986746</v>
      </c>
      <c r="Y108" s="55">
        <f ca="1">DSUM($B$76:$Z$80,Y$76,$C$97:$D108)</f>
        <v>1.1134992574502798</v>
      </c>
      <c r="Z108" s="55">
        <f ca="1">DSUM($B$76:$Z$80,Z$76,$C$97:$D108)</f>
        <v>6.0780585034919685</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c r="B109" s="9" t="s">
        <v>101</v>
      </c>
      <c r="C109" s="58" t="s">
        <v>102</v>
      </c>
      <c r="D109" s="58" t="s">
        <v>103</v>
      </c>
      <c r="F109" s="55">
        <f ca="1">DSUM($B$76:$Z$80,F$76,$C$97:$D109)</f>
        <v>0.62708156893977041</v>
      </c>
      <c r="G109" s="55">
        <f ca="1">DSUM($B$76:$Z$80,G$76,$C$97:$D109)</f>
        <v>0.90690924255901051</v>
      </c>
      <c r="H109" s="55">
        <f ca="1">DSUM($B$76:$Z$80,H$76,$C$97:$D109)</f>
        <v>1.0838631694246614</v>
      </c>
      <c r="I109" s="55">
        <f ca="1">DSUM($B$76:$Z$80,I$76,$C$97:$D109)</f>
        <v>1.188829787577693</v>
      </c>
      <c r="J109" s="55">
        <f ca="1">DSUM($B$76:$Z$80,J$76,$C$97:$D109)</f>
        <v>1.250549693095782</v>
      </c>
      <c r="K109" s="55">
        <f ca="1">DSUM($B$76:$Z$80,K$76,$C$97:$D109)</f>
        <v>1.3524142067876697</v>
      </c>
      <c r="L109" s="55">
        <f ca="1">DSUM($B$76:$Z$80,L$76,$C$97:$D109)</f>
        <v>1.3417748541043641</v>
      </c>
      <c r="M109" s="55">
        <f ca="1">DSUM($B$76:$Z$80,M$76,$C$97:$D109)</f>
        <v>1.3230229272273248</v>
      </c>
      <c r="N109" s="55">
        <f ca="1">DSUM($B$76:$Z$80,N$76,$C$97:$D109)</f>
        <v>1.3027711411524339</v>
      </c>
      <c r="O109" s="55">
        <f ca="1">DSUM($B$76:$Z$80,O$76,$C$97:$D109)</f>
        <v>1.2822014973414844</v>
      </c>
      <c r="P109" s="55">
        <f ca="1">DSUM($B$76:$Z$80,P$76,$C$97:$D109)</f>
        <v>1.2617031676150703</v>
      </c>
      <c r="Q109" s="55">
        <f ca="1">DSUM($B$76:$Z$80,Q$76,$C$97:$D109)</f>
        <v>1.2429526303198004</v>
      </c>
      <c r="R109" s="55">
        <f ca="1">DSUM($B$76:$Z$80,R$76,$C$97:$D109)</f>
        <v>1.2258192492407181</v>
      </c>
      <c r="S109" s="55">
        <f ca="1">DSUM($B$76:$Z$80,S$76,$C$97:$D109)</f>
        <v>1.2088263048692345</v>
      </c>
      <c r="T109" s="55">
        <f ca="1">DSUM($B$76:$Z$80,T$76,$C$97:$D109)</f>
        <v>1.1932362111475807</v>
      </c>
      <c r="U109" s="55">
        <f ca="1">DSUM($B$76:$Z$80,U$76,$C$97:$D109)</f>
        <v>1.1772539301730123</v>
      </c>
      <c r="V109" s="55">
        <f ca="1">DSUM($B$76:$Z$80,V$76,$C$97:$D109)</f>
        <v>1.1607348081600781</v>
      </c>
      <c r="W109" s="55">
        <f ca="1">DSUM($B$76:$Z$80,W$76,$C$97:$D109)</f>
        <v>1.1439681292792143</v>
      </c>
      <c r="X109" s="55">
        <f ca="1">DSUM($B$76:$Z$80,X$76,$C$97:$D109)</f>
        <v>1.1284303779986746</v>
      </c>
      <c r="Y109" s="55">
        <f ca="1">DSUM($B$76:$Z$80,Y$76,$C$97:$D109)</f>
        <v>1.1134992574502798</v>
      </c>
      <c r="Z109" s="55">
        <f ca="1">DSUM($B$76:$Z$80,Z$76,$C$97:$D109)</f>
        <v>6.0780585034919685</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2:79">
      <c r="B110" s="9" t="s">
        <v>104</v>
      </c>
      <c r="C110" s="58" t="s">
        <v>105</v>
      </c>
      <c r="D110" s="58" t="s">
        <v>106</v>
      </c>
      <c r="F110" s="55">
        <f ca="1">DSUM($B$76:$Z$80,F$76,$C$97:$D110)</f>
        <v>0.62708156893977041</v>
      </c>
      <c r="G110" s="55">
        <f ca="1">DSUM($B$76:$Z$80,G$76,$C$97:$D110)</f>
        <v>0.90690924255901051</v>
      </c>
      <c r="H110" s="55">
        <f ca="1">DSUM($B$76:$Z$80,H$76,$C$97:$D110)</f>
        <v>1.0838631694246614</v>
      </c>
      <c r="I110" s="55">
        <f ca="1">DSUM($B$76:$Z$80,I$76,$C$97:$D110)</f>
        <v>1.188829787577693</v>
      </c>
      <c r="J110" s="55">
        <f ca="1">DSUM($B$76:$Z$80,J$76,$C$97:$D110)</f>
        <v>1.250549693095782</v>
      </c>
      <c r="K110" s="55">
        <f ca="1">DSUM($B$76:$Z$80,K$76,$C$97:$D110)</f>
        <v>1.3524142067876697</v>
      </c>
      <c r="L110" s="55">
        <f ca="1">DSUM($B$76:$Z$80,L$76,$C$97:$D110)</f>
        <v>1.3417748541043641</v>
      </c>
      <c r="M110" s="55">
        <f ca="1">DSUM($B$76:$Z$80,M$76,$C$97:$D110)</f>
        <v>1.3230229272273248</v>
      </c>
      <c r="N110" s="55">
        <f ca="1">DSUM($B$76:$Z$80,N$76,$C$97:$D110)</f>
        <v>1.3027711411524339</v>
      </c>
      <c r="O110" s="55">
        <f ca="1">DSUM($B$76:$Z$80,O$76,$C$97:$D110)</f>
        <v>1.2822014973414844</v>
      </c>
      <c r="P110" s="55">
        <f ca="1">DSUM($B$76:$Z$80,P$76,$C$97:$D110)</f>
        <v>1.2617031676150703</v>
      </c>
      <c r="Q110" s="55">
        <f ca="1">DSUM($B$76:$Z$80,Q$76,$C$97:$D110)</f>
        <v>1.2429526303198004</v>
      </c>
      <c r="R110" s="55">
        <f ca="1">DSUM($B$76:$Z$80,R$76,$C$97:$D110)</f>
        <v>1.2258192492407181</v>
      </c>
      <c r="S110" s="55">
        <f ca="1">DSUM($B$76:$Z$80,S$76,$C$97:$D110)</f>
        <v>1.2088263048692345</v>
      </c>
      <c r="T110" s="55">
        <f ca="1">DSUM($B$76:$Z$80,T$76,$C$97:$D110)</f>
        <v>1.1932362111475807</v>
      </c>
      <c r="U110" s="55">
        <f ca="1">DSUM($B$76:$Z$80,U$76,$C$97:$D110)</f>
        <v>1.1772539301730123</v>
      </c>
      <c r="V110" s="55">
        <f ca="1">DSUM($B$76:$Z$80,V$76,$C$97:$D110)</f>
        <v>1.1607348081600781</v>
      </c>
      <c r="W110" s="55">
        <f ca="1">DSUM($B$76:$Z$80,W$76,$C$97:$D110)</f>
        <v>1.1439681292792143</v>
      </c>
      <c r="X110" s="55">
        <f ca="1">DSUM($B$76:$Z$80,X$76,$C$97:$D110)</f>
        <v>1.1284303779986746</v>
      </c>
      <c r="Y110" s="55">
        <f ca="1">DSUM($B$76:$Z$80,Y$76,$C$97:$D110)</f>
        <v>1.1134992574502798</v>
      </c>
      <c r="Z110" s="55">
        <f ca="1">DSUM($B$76:$Z$80,Z$76,$C$97:$D110)</f>
        <v>6.0780585034919685</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2:79">
      <c r="B111" s="9" t="s">
        <v>107</v>
      </c>
      <c r="C111" s="58" t="s">
        <v>108</v>
      </c>
      <c r="D111" s="58" t="s">
        <v>109</v>
      </c>
      <c r="F111" s="55">
        <f ca="1">DSUM($B$76:$Z$80,F$76,$C$97:$D111)</f>
        <v>0.62708156893977041</v>
      </c>
      <c r="G111" s="55">
        <f ca="1">DSUM($B$76:$Z$80,G$76,$C$97:$D111)</f>
        <v>0.90690924255901051</v>
      </c>
      <c r="H111" s="55">
        <f ca="1">DSUM($B$76:$Z$80,H$76,$C$97:$D111)</f>
        <v>1.0838631694246614</v>
      </c>
      <c r="I111" s="55">
        <f ca="1">DSUM($B$76:$Z$80,I$76,$C$97:$D111)</f>
        <v>1.188829787577693</v>
      </c>
      <c r="J111" s="55">
        <f ca="1">DSUM($B$76:$Z$80,J$76,$C$97:$D111)</f>
        <v>1.250549693095782</v>
      </c>
      <c r="K111" s="55">
        <f ca="1">DSUM($B$76:$Z$80,K$76,$C$97:$D111)</f>
        <v>1.3524142067876697</v>
      </c>
      <c r="L111" s="55">
        <f ca="1">DSUM($B$76:$Z$80,L$76,$C$97:$D111)</f>
        <v>1.3417748541043641</v>
      </c>
      <c r="M111" s="55">
        <f ca="1">DSUM($B$76:$Z$80,M$76,$C$97:$D111)</f>
        <v>1.3230229272273248</v>
      </c>
      <c r="N111" s="55">
        <f ca="1">DSUM($B$76:$Z$80,N$76,$C$97:$D111)</f>
        <v>1.3027711411524339</v>
      </c>
      <c r="O111" s="55">
        <f ca="1">DSUM($B$76:$Z$80,O$76,$C$97:$D111)</f>
        <v>1.2822014973414844</v>
      </c>
      <c r="P111" s="55">
        <f ca="1">DSUM($B$76:$Z$80,P$76,$C$97:$D111)</f>
        <v>1.2617031676150703</v>
      </c>
      <c r="Q111" s="55">
        <f ca="1">DSUM($B$76:$Z$80,Q$76,$C$97:$D111)</f>
        <v>1.2429526303198004</v>
      </c>
      <c r="R111" s="55">
        <f ca="1">DSUM($B$76:$Z$80,R$76,$C$97:$D111)</f>
        <v>1.2258192492407181</v>
      </c>
      <c r="S111" s="55">
        <f ca="1">DSUM($B$76:$Z$80,S$76,$C$97:$D111)</f>
        <v>1.2088263048692345</v>
      </c>
      <c r="T111" s="55">
        <f ca="1">DSUM($B$76:$Z$80,T$76,$C$97:$D111)</f>
        <v>1.1932362111475807</v>
      </c>
      <c r="U111" s="55">
        <f ca="1">DSUM($B$76:$Z$80,U$76,$C$97:$D111)</f>
        <v>1.1772539301730123</v>
      </c>
      <c r="V111" s="55">
        <f ca="1">DSUM($B$76:$Z$80,V$76,$C$97:$D111)</f>
        <v>1.1607348081600781</v>
      </c>
      <c r="W111" s="55">
        <f ca="1">DSUM($B$76:$Z$80,W$76,$C$97:$D111)</f>
        <v>1.1439681292792143</v>
      </c>
      <c r="X111" s="55">
        <f ca="1">DSUM($B$76:$Z$80,X$76,$C$97:$D111)</f>
        <v>1.1284303779986746</v>
      </c>
      <c r="Y111" s="55">
        <f ca="1">DSUM($B$76:$Z$80,Y$76,$C$97:$D111)</f>
        <v>1.1134992574502798</v>
      </c>
      <c r="Z111" s="55">
        <f ca="1">DSUM($B$76:$Z$80,Z$76,$C$97:$D111)</f>
        <v>6.0780585034919685</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2:79">
      <c r="B112" s="9" t="s">
        <v>110</v>
      </c>
      <c r="C112" s="58" t="s">
        <v>111</v>
      </c>
      <c r="D112" s="58" t="s">
        <v>112</v>
      </c>
      <c r="F112" s="55">
        <f ca="1">DSUM($B$76:$Z$80,F$76,$C$97:$D112)</f>
        <v>0.62708156893977041</v>
      </c>
      <c r="G112" s="55">
        <f ca="1">DSUM($B$76:$Z$80,G$76,$C$97:$D112)</f>
        <v>0.90690924255901051</v>
      </c>
      <c r="H112" s="55">
        <f ca="1">DSUM($B$76:$Z$80,H$76,$C$97:$D112)</f>
        <v>1.0838631694246614</v>
      </c>
      <c r="I112" s="55">
        <f ca="1">DSUM($B$76:$Z$80,I$76,$C$97:$D112)</f>
        <v>1.188829787577693</v>
      </c>
      <c r="J112" s="55">
        <f ca="1">DSUM($B$76:$Z$80,J$76,$C$97:$D112)</f>
        <v>1.250549693095782</v>
      </c>
      <c r="K112" s="55">
        <f ca="1">DSUM($B$76:$Z$80,K$76,$C$97:$D112)</f>
        <v>1.3524142067876697</v>
      </c>
      <c r="L112" s="55">
        <f ca="1">DSUM($B$76:$Z$80,L$76,$C$97:$D112)</f>
        <v>1.3417748541043641</v>
      </c>
      <c r="M112" s="55">
        <f ca="1">DSUM($B$76:$Z$80,M$76,$C$97:$D112)</f>
        <v>1.3230229272273248</v>
      </c>
      <c r="N112" s="55">
        <f ca="1">DSUM($B$76:$Z$80,N$76,$C$97:$D112)</f>
        <v>1.3027711411524339</v>
      </c>
      <c r="O112" s="55">
        <f ca="1">DSUM($B$76:$Z$80,O$76,$C$97:$D112)</f>
        <v>1.2822014973414844</v>
      </c>
      <c r="P112" s="55">
        <f ca="1">DSUM($B$76:$Z$80,P$76,$C$97:$D112)</f>
        <v>1.2617031676150703</v>
      </c>
      <c r="Q112" s="55">
        <f ca="1">DSUM($B$76:$Z$80,Q$76,$C$97:$D112)</f>
        <v>1.2429526303198004</v>
      </c>
      <c r="R112" s="55">
        <f ca="1">DSUM($B$76:$Z$80,R$76,$C$97:$D112)</f>
        <v>1.2258192492407181</v>
      </c>
      <c r="S112" s="55">
        <f ca="1">DSUM($B$76:$Z$80,S$76,$C$97:$D112)</f>
        <v>1.2088263048692345</v>
      </c>
      <c r="T112" s="55">
        <f ca="1">DSUM($B$76:$Z$80,T$76,$C$97:$D112)</f>
        <v>1.1932362111475807</v>
      </c>
      <c r="U112" s="55">
        <f ca="1">DSUM($B$76:$Z$80,U$76,$C$97:$D112)</f>
        <v>1.1772539301730123</v>
      </c>
      <c r="V112" s="55">
        <f ca="1">DSUM($B$76:$Z$80,V$76,$C$97:$D112)</f>
        <v>1.1607348081600781</v>
      </c>
      <c r="W112" s="55">
        <f ca="1">DSUM($B$76:$Z$80,W$76,$C$97:$D112)</f>
        <v>1.1439681292792143</v>
      </c>
      <c r="X112" s="55">
        <f ca="1">DSUM($B$76:$Z$80,X$76,$C$97:$D112)</f>
        <v>1.1284303779986746</v>
      </c>
      <c r="Y112" s="55">
        <f ca="1">DSUM($B$76:$Z$80,Y$76,$C$97:$D112)</f>
        <v>1.1134992574502798</v>
      </c>
      <c r="Z112" s="55">
        <f ca="1">DSUM($B$76:$Z$80,Z$76,$C$97:$D112)</f>
        <v>6.0780585034919685</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9" t="s">
        <v>113</v>
      </c>
      <c r="C113" s="58" t="s">
        <v>114</v>
      </c>
      <c r="D113" s="58" t="s">
        <v>115</v>
      </c>
      <c r="F113" s="55">
        <f ca="1">DSUM($B$76:$Z$80,F$76,$C$97:$D113)</f>
        <v>0.62708156893977041</v>
      </c>
      <c r="G113" s="55">
        <f ca="1">DSUM($B$76:$Z$80,G$76,$C$97:$D113)</f>
        <v>0.90690924255901051</v>
      </c>
      <c r="H113" s="55">
        <f ca="1">DSUM($B$76:$Z$80,H$76,$C$97:$D113)</f>
        <v>1.0838631694246614</v>
      </c>
      <c r="I113" s="55">
        <f ca="1">DSUM($B$76:$Z$80,I$76,$C$97:$D113)</f>
        <v>1.188829787577693</v>
      </c>
      <c r="J113" s="55">
        <f ca="1">DSUM($B$76:$Z$80,J$76,$C$97:$D113)</f>
        <v>1.250549693095782</v>
      </c>
      <c r="K113" s="55">
        <f ca="1">DSUM($B$76:$Z$80,K$76,$C$97:$D113)</f>
        <v>1.3524142067876697</v>
      </c>
      <c r="L113" s="55">
        <f ca="1">DSUM($B$76:$Z$80,L$76,$C$97:$D113)</f>
        <v>1.3417748541043641</v>
      </c>
      <c r="M113" s="55">
        <f ca="1">DSUM($B$76:$Z$80,M$76,$C$97:$D113)</f>
        <v>1.3230229272273248</v>
      </c>
      <c r="N113" s="55">
        <f ca="1">DSUM($B$76:$Z$80,N$76,$C$97:$D113)</f>
        <v>1.3027711411524339</v>
      </c>
      <c r="O113" s="55">
        <f ca="1">DSUM($B$76:$Z$80,O$76,$C$97:$D113)</f>
        <v>1.2822014973414844</v>
      </c>
      <c r="P113" s="55">
        <f ca="1">DSUM($B$76:$Z$80,P$76,$C$97:$D113)</f>
        <v>1.2617031676150703</v>
      </c>
      <c r="Q113" s="55">
        <f ca="1">DSUM($B$76:$Z$80,Q$76,$C$97:$D113)</f>
        <v>1.2429526303198004</v>
      </c>
      <c r="R113" s="55">
        <f ca="1">DSUM($B$76:$Z$80,R$76,$C$97:$D113)</f>
        <v>1.2258192492407181</v>
      </c>
      <c r="S113" s="55">
        <f ca="1">DSUM($B$76:$Z$80,S$76,$C$97:$D113)</f>
        <v>1.2088263048692345</v>
      </c>
      <c r="T113" s="55">
        <f ca="1">DSUM($B$76:$Z$80,T$76,$C$97:$D113)</f>
        <v>1.1932362111475807</v>
      </c>
      <c r="U113" s="55">
        <f ca="1">DSUM($B$76:$Z$80,U$76,$C$97:$D113)</f>
        <v>1.1772539301730123</v>
      </c>
      <c r="V113" s="55">
        <f ca="1">DSUM($B$76:$Z$80,V$76,$C$97:$D113)</f>
        <v>1.1607348081600781</v>
      </c>
      <c r="W113" s="55">
        <f ca="1">DSUM($B$76:$Z$80,W$76,$C$97:$D113)</f>
        <v>1.1439681292792143</v>
      </c>
      <c r="X113" s="55">
        <f ca="1">DSUM($B$76:$Z$80,X$76,$C$97:$D113)</f>
        <v>1.1284303779986746</v>
      </c>
      <c r="Y113" s="55">
        <f ca="1">DSUM($B$76:$Z$80,Y$76,$C$97:$D113)</f>
        <v>1.1134992574502798</v>
      </c>
      <c r="Z113" s="55">
        <f ca="1">DSUM($B$76:$Z$80,Z$76,$C$97:$D113)</f>
        <v>6.0780585034919685</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9" t="s">
        <v>116</v>
      </c>
      <c r="C114" s="58" t="s">
        <v>117</v>
      </c>
      <c r="D114" s="58" t="s">
        <v>118</v>
      </c>
      <c r="F114" s="55">
        <f ca="1">DSUM($B$76:$Z$80,F$76,$C$97:$D114)</f>
        <v>0.62708156893977041</v>
      </c>
      <c r="G114" s="55">
        <f ca="1">DSUM($B$76:$Z$80,G$76,$C$97:$D114)</f>
        <v>0.90690924255901051</v>
      </c>
      <c r="H114" s="55">
        <f ca="1">DSUM($B$76:$Z$80,H$76,$C$97:$D114)</f>
        <v>1.0838631694246614</v>
      </c>
      <c r="I114" s="55">
        <f ca="1">DSUM($B$76:$Z$80,I$76,$C$97:$D114)</f>
        <v>1.188829787577693</v>
      </c>
      <c r="J114" s="55">
        <f ca="1">DSUM($B$76:$Z$80,J$76,$C$97:$D114)</f>
        <v>1.250549693095782</v>
      </c>
      <c r="K114" s="55">
        <f ca="1">DSUM($B$76:$Z$80,K$76,$C$97:$D114)</f>
        <v>1.3524142067876697</v>
      </c>
      <c r="L114" s="55">
        <f ca="1">DSUM($B$76:$Z$80,L$76,$C$97:$D114)</f>
        <v>1.3417748541043641</v>
      </c>
      <c r="M114" s="55">
        <f ca="1">DSUM($B$76:$Z$80,M$76,$C$97:$D114)</f>
        <v>1.3230229272273248</v>
      </c>
      <c r="N114" s="55">
        <f ca="1">DSUM($B$76:$Z$80,N$76,$C$97:$D114)</f>
        <v>1.3027711411524339</v>
      </c>
      <c r="O114" s="55">
        <f ca="1">DSUM($B$76:$Z$80,O$76,$C$97:$D114)</f>
        <v>1.2822014973414844</v>
      </c>
      <c r="P114" s="55">
        <f ca="1">DSUM($B$76:$Z$80,P$76,$C$97:$D114)</f>
        <v>1.2617031676150703</v>
      </c>
      <c r="Q114" s="55">
        <f ca="1">DSUM($B$76:$Z$80,Q$76,$C$97:$D114)</f>
        <v>1.2429526303198004</v>
      </c>
      <c r="R114" s="55">
        <f ca="1">DSUM($B$76:$Z$80,R$76,$C$97:$D114)</f>
        <v>1.2258192492407181</v>
      </c>
      <c r="S114" s="55">
        <f ca="1">DSUM($B$76:$Z$80,S$76,$C$97:$D114)</f>
        <v>1.2088263048692345</v>
      </c>
      <c r="T114" s="55">
        <f ca="1">DSUM($B$76:$Z$80,T$76,$C$97:$D114)</f>
        <v>1.1932362111475807</v>
      </c>
      <c r="U114" s="55">
        <f ca="1">DSUM($B$76:$Z$80,U$76,$C$97:$D114)</f>
        <v>1.1772539301730123</v>
      </c>
      <c r="V114" s="55">
        <f ca="1">DSUM($B$76:$Z$80,V$76,$C$97:$D114)</f>
        <v>1.1607348081600781</v>
      </c>
      <c r="W114" s="55">
        <f ca="1">DSUM($B$76:$Z$80,W$76,$C$97:$D114)</f>
        <v>1.1439681292792143</v>
      </c>
      <c r="X114" s="55">
        <f ca="1">DSUM($B$76:$Z$80,X$76,$C$97:$D114)</f>
        <v>1.1284303779986746</v>
      </c>
      <c r="Y114" s="55">
        <f ca="1">DSUM($B$76:$Z$80,Y$76,$C$97:$D114)</f>
        <v>1.1134992574502798</v>
      </c>
      <c r="Z114" s="55">
        <f ca="1">DSUM($B$76:$Z$80,Z$76,$C$97:$D114)</f>
        <v>6.0780585034919685</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9" t="s">
        <v>119</v>
      </c>
      <c r="C115" s="58" t="s">
        <v>120</v>
      </c>
      <c r="D115" s="58" t="s">
        <v>121</v>
      </c>
      <c r="F115" s="55">
        <f ca="1">DSUM($B$76:$Z$80,F$76,$C$97:$D115)</f>
        <v>0.62708156893977041</v>
      </c>
      <c r="G115" s="55">
        <f ca="1">DSUM($B$76:$Z$80,G$76,$C$97:$D115)</f>
        <v>0.90690924255901051</v>
      </c>
      <c r="H115" s="55">
        <f ca="1">DSUM($B$76:$Z$80,H$76,$C$97:$D115)</f>
        <v>1.0838631694246614</v>
      </c>
      <c r="I115" s="55">
        <f ca="1">DSUM($B$76:$Z$80,I$76,$C$97:$D115)</f>
        <v>1.188829787577693</v>
      </c>
      <c r="J115" s="55">
        <f ca="1">DSUM($B$76:$Z$80,J$76,$C$97:$D115)</f>
        <v>1.250549693095782</v>
      </c>
      <c r="K115" s="55">
        <f ca="1">DSUM($B$76:$Z$80,K$76,$C$97:$D115)</f>
        <v>1.3524142067876697</v>
      </c>
      <c r="L115" s="55">
        <f ca="1">DSUM($B$76:$Z$80,L$76,$C$97:$D115)</f>
        <v>1.3417748541043641</v>
      </c>
      <c r="M115" s="55">
        <f ca="1">DSUM($B$76:$Z$80,M$76,$C$97:$D115)</f>
        <v>1.3230229272273248</v>
      </c>
      <c r="N115" s="55">
        <f ca="1">DSUM($B$76:$Z$80,N$76,$C$97:$D115)</f>
        <v>1.3027711411524339</v>
      </c>
      <c r="O115" s="55">
        <f ca="1">DSUM($B$76:$Z$80,O$76,$C$97:$D115)</f>
        <v>1.2822014973414844</v>
      </c>
      <c r="P115" s="55">
        <f ca="1">DSUM($B$76:$Z$80,P$76,$C$97:$D115)</f>
        <v>1.2617031676150703</v>
      </c>
      <c r="Q115" s="55">
        <f ca="1">DSUM($B$76:$Z$80,Q$76,$C$97:$D115)</f>
        <v>1.2429526303198004</v>
      </c>
      <c r="R115" s="55">
        <f ca="1">DSUM($B$76:$Z$80,R$76,$C$97:$D115)</f>
        <v>1.2258192492407181</v>
      </c>
      <c r="S115" s="55">
        <f ca="1">DSUM($B$76:$Z$80,S$76,$C$97:$D115)</f>
        <v>1.2088263048692345</v>
      </c>
      <c r="T115" s="55">
        <f ca="1">DSUM($B$76:$Z$80,T$76,$C$97:$D115)</f>
        <v>1.1932362111475807</v>
      </c>
      <c r="U115" s="55">
        <f ca="1">DSUM($B$76:$Z$80,U$76,$C$97:$D115)</f>
        <v>1.1772539301730123</v>
      </c>
      <c r="V115" s="55">
        <f ca="1">DSUM($B$76:$Z$80,V$76,$C$97:$D115)</f>
        <v>1.1607348081600781</v>
      </c>
      <c r="W115" s="55">
        <f ca="1">DSUM($B$76:$Z$80,W$76,$C$97:$D115)</f>
        <v>1.1439681292792143</v>
      </c>
      <c r="X115" s="55">
        <f ca="1">DSUM($B$76:$Z$80,X$76,$C$97:$D115)</f>
        <v>1.1284303779986746</v>
      </c>
      <c r="Y115" s="55">
        <f ca="1">DSUM($B$76:$Z$80,Y$76,$C$97:$D115)</f>
        <v>1.1134992574502798</v>
      </c>
      <c r="Z115" s="55">
        <f ca="1">DSUM($B$76:$Z$80,Z$76,$C$97:$D115)</f>
        <v>6.0780585034919685</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9" t="s">
        <v>122</v>
      </c>
      <c r="C116" s="58" t="s">
        <v>123</v>
      </c>
      <c r="D116" s="58" t="s">
        <v>124</v>
      </c>
      <c r="F116" s="55">
        <f ca="1">DSUM($B$76:$Z$80,F$76,$C$97:$D116)</f>
        <v>0.62708156893977041</v>
      </c>
      <c r="G116" s="55">
        <f ca="1">DSUM($B$76:$Z$80,G$76,$C$97:$D116)</f>
        <v>0.90690924255901051</v>
      </c>
      <c r="H116" s="55">
        <f ca="1">DSUM($B$76:$Z$80,H$76,$C$97:$D116)</f>
        <v>1.0838631694246614</v>
      </c>
      <c r="I116" s="55">
        <f ca="1">DSUM($B$76:$Z$80,I$76,$C$97:$D116)</f>
        <v>1.188829787577693</v>
      </c>
      <c r="J116" s="55">
        <f ca="1">DSUM($B$76:$Z$80,J$76,$C$97:$D116)</f>
        <v>1.250549693095782</v>
      </c>
      <c r="K116" s="55">
        <f ca="1">DSUM($B$76:$Z$80,K$76,$C$97:$D116)</f>
        <v>1.3524142067876697</v>
      </c>
      <c r="L116" s="55">
        <f ca="1">DSUM($B$76:$Z$80,L$76,$C$97:$D116)</f>
        <v>1.3417748541043641</v>
      </c>
      <c r="M116" s="55">
        <f ca="1">DSUM($B$76:$Z$80,M$76,$C$97:$D116)</f>
        <v>1.3230229272273248</v>
      </c>
      <c r="N116" s="55">
        <f ca="1">DSUM($B$76:$Z$80,N$76,$C$97:$D116)</f>
        <v>1.3027711411524339</v>
      </c>
      <c r="O116" s="55">
        <f ca="1">DSUM($B$76:$Z$80,O$76,$C$97:$D116)</f>
        <v>1.2822014973414844</v>
      </c>
      <c r="P116" s="55">
        <f ca="1">DSUM($B$76:$Z$80,P$76,$C$97:$D116)</f>
        <v>1.2617031676150703</v>
      </c>
      <c r="Q116" s="55">
        <f ca="1">DSUM($B$76:$Z$80,Q$76,$C$97:$D116)</f>
        <v>1.2429526303198004</v>
      </c>
      <c r="R116" s="55">
        <f ca="1">DSUM($B$76:$Z$80,R$76,$C$97:$D116)</f>
        <v>1.2258192492407181</v>
      </c>
      <c r="S116" s="55">
        <f ca="1">DSUM($B$76:$Z$80,S$76,$C$97:$D116)</f>
        <v>1.2088263048692345</v>
      </c>
      <c r="T116" s="55">
        <f ca="1">DSUM($B$76:$Z$80,T$76,$C$97:$D116)</f>
        <v>1.1932362111475807</v>
      </c>
      <c r="U116" s="55">
        <f ca="1">DSUM($B$76:$Z$80,U$76,$C$97:$D116)</f>
        <v>1.1772539301730123</v>
      </c>
      <c r="V116" s="55">
        <f ca="1">DSUM($B$76:$Z$80,V$76,$C$97:$D116)</f>
        <v>1.1607348081600781</v>
      </c>
      <c r="W116" s="55">
        <f ca="1">DSUM($B$76:$Z$80,W$76,$C$97:$D116)</f>
        <v>1.1439681292792143</v>
      </c>
      <c r="X116" s="55">
        <f ca="1">DSUM($B$76:$Z$80,X$76,$C$97:$D116)</f>
        <v>1.1284303779986746</v>
      </c>
      <c r="Y116" s="55">
        <f ca="1">DSUM($B$76:$Z$80,Y$76,$C$97:$D116)</f>
        <v>1.1134992574502798</v>
      </c>
      <c r="Z116" s="55">
        <f ca="1">DSUM($B$76:$Z$80,Z$76,$C$97:$D116)</f>
        <v>6.0780585034919685</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9" t="s">
        <v>125</v>
      </c>
      <c r="C117" s="58" t="s">
        <v>126</v>
      </c>
      <c r="D117" s="58" t="s">
        <v>127</v>
      </c>
      <c r="F117" s="55">
        <f ca="1">DSUM($B$76:$Z$80,F$76,$C$97:$D117)</f>
        <v>0.62708156893977041</v>
      </c>
      <c r="G117" s="55">
        <f ca="1">DSUM($B$76:$Z$80,G$76,$C$97:$D117)</f>
        <v>0.90690924255901051</v>
      </c>
      <c r="H117" s="55">
        <f ca="1">DSUM($B$76:$Z$80,H$76,$C$97:$D117)</f>
        <v>1.0838631694246614</v>
      </c>
      <c r="I117" s="55">
        <f ca="1">DSUM($B$76:$Z$80,I$76,$C$97:$D117)</f>
        <v>1.188829787577693</v>
      </c>
      <c r="J117" s="55">
        <f ca="1">DSUM($B$76:$Z$80,J$76,$C$97:$D117)</f>
        <v>1.250549693095782</v>
      </c>
      <c r="K117" s="55">
        <f ca="1">DSUM($B$76:$Z$80,K$76,$C$97:$D117)</f>
        <v>1.3524142067876697</v>
      </c>
      <c r="L117" s="55">
        <f ca="1">DSUM($B$76:$Z$80,L$76,$C$97:$D117)</f>
        <v>1.3417748541043641</v>
      </c>
      <c r="M117" s="55">
        <f ca="1">DSUM($B$76:$Z$80,M$76,$C$97:$D117)</f>
        <v>1.3230229272273248</v>
      </c>
      <c r="N117" s="55">
        <f ca="1">DSUM($B$76:$Z$80,N$76,$C$97:$D117)</f>
        <v>1.3027711411524339</v>
      </c>
      <c r="O117" s="55">
        <f ca="1">DSUM($B$76:$Z$80,O$76,$C$97:$D117)</f>
        <v>1.2822014973414844</v>
      </c>
      <c r="P117" s="55">
        <f ca="1">DSUM($B$76:$Z$80,P$76,$C$97:$D117)</f>
        <v>1.2617031676150703</v>
      </c>
      <c r="Q117" s="55">
        <f ca="1">DSUM($B$76:$Z$80,Q$76,$C$97:$D117)</f>
        <v>1.2429526303198004</v>
      </c>
      <c r="R117" s="55">
        <f ca="1">DSUM($B$76:$Z$80,R$76,$C$97:$D117)</f>
        <v>1.2258192492407181</v>
      </c>
      <c r="S117" s="55">
        <f ca="1">DSUM($B$76:$Z$80,S$76,$C$97:$D117)</f>
        <v>1.2088263048692345</v>
      </c>
      <c r="T117" s="55">
        <f ca="1">DSUM($B$76:$Z$80,T$76,$C$97:$D117)</f>
        <v>1.1932362111475807</v>
      </c>
      <c r="U117" s="55">
        <f ca="1">DSUM($B$76:$Z$80,U$76,$C$97:$D117)</f>
        <v>1.1772539301730123</v>
      </c>
      <c r="V117" s="55">
        <f ca="1">DSUM($B$76:$Z$80,V$76,$C$97:$D117)</f>
        <v>1.1607348081600781</v>
      </c>
      <c r="W117" s="55">
        <f ca="1">DSUM($B$76:$Z$80,W$76,$C$97:$D117)</f>
        <v>1.1439681292792143</v>
      </c>
      <c r="X117" s="55">
        <f ca="1">DSUM($B$76:$Z$80,X$76,$C$97:$D117)</f>
        <v>1.1284303779986746</v>
      </c>
      <c r="Y117" s="55">
        <f ca="1">DSUM($B$76:$Z$80,Y$76,$C$97:$D117)</f>
        <v>1.1134992574502798</v>
      </c>
      <c r="Z117" s="55">
        <f ca="1">DSUM($B$76:$Z$80,Z$76,$C$97:$D117)</f>
        <v>6.0780585034919685</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9" t="s">
        <v>128</v>
      </c>
      <c r="C118" s="58" t="s">
        <v>129</v>
      </c>
      <c r="D118" s="58" t="s">
        <v>130</v>
      </c>
      <c r="F118" s="55">
        <f ca="1">DSUM($B$76:$Z$80,F$76,$C$97:$D118)</f>
        <v>0.62708156893977041</v>
      </c>
      <c r="G118" s="55">
        <f ca="1">DSUM($B$76:$Z$80,G$76,$C$97:$D118)</f>
        <v>0.90690924255901051</v>
      </c>
      <c r="H118" s="55">
        <f ca="1">DSUM($B$76:$Z$80,H$76,$C$97:$D118)</f>
        <v>1.0838631694246614</v>
      </c>
      <c r="I118" s="55">
        <f ca="1">DSUM($B$76:$Z$80,I$76,$C$97:$D118)</f>
        <v>1.188829787577693</v>
      </c>
      <c r="J118" s="55">
        <f ca="1">DSUM($B$76:$Z$80,J$76,$C$97:$D118)</f>
        <v>1.250549693095782</v>
      </c>
      <c r="K118" s="55">
        <f ca="1">DSUM($B$76:$Z$80,K$76,$C$97:$D118)</f>
        <v>1.3524142067876697</v>
      </c>
      <c r="L118" s="55">
        <f ca="1">DSUM($B$76:$Z$80,L$76,$C$97:$D118)</f>
        <v>1.3417748541043641</v>
      </c>
      <c r="M118" s="55">
        <f ca="1">DSUM($B$76:$Z$80,M$76,$C$97:$D118)</f>
        <v>1.3230229272273248</v>
      </c>
      <c r="N118" s="55">
        <f ca="1">DSUM($B$76:$Z$80,N$76,$C$97:$D118)</f>
        <v>1.3027711411524339</v>
      </c>
      <c r="O118" s="55">
        <f ca="1">DSUM($B$76:$Z$80,O$76,$C$97:$D118)</f>
        <v>1.2822014973414844</v>
      </c>
      <c r="P118" s="55">
        <f ca="1">DSUM($B$76:$Z$80,P$76,$C$97:$D118)</f>
        <v>1.2617031676150703</v>
      </c>
      <c r="Q118" s="55">
        <f ca="1">DSUM($B$76:$Z$80,Q$76,$C$97:$D118)</f>
        <v>1.2429526303198004</v>
      </c>
      <c r="R118" s="55">
        <f ca="1">DSUM($B$76:$Z$80,R$76,$C$97:$D118)</f>
        <v>1.2258192492407181</v>
      </c>
      <c r="S118" s="55">
        <f ca="1">DSUM($B$76:$Z$80,S$76,$C$97:$D118)</f>
        <v>1.2088263048692345</v>
      </c>
      <c r="T118" s="55">
        <f ca="1">DSUM($B$76:$Z$80,T$76,$C$97:$D118)</f>
        <v>1.1932362111475807</v>
      </c>
      <c r="U118" s="55">
        <f ca="1">DSUM($B$76:$Z$80,U$76,$C$97:$D118)</f>
        <v>1.1772539301730123</v>
      </c>
      <c r="V118" s="55">
        <f ca="1">DSUM($B$76:$Z$80,V$76,$C$97:$D118)</f>
        <v>1.1607348081600781</v>
      </c>
      <c r="W118" s="55">
        <f ca="1">DSUM($B$76:$Z$80,W$76,$C$97:$D118)</f>
        <v>1.1439681292792143</v>
      </c>
      <c r="X118" s="55">
        <f ca="1">DSUM($B$76:$Z$80,X$76,$C$97:$D118)</f>
        <v>1.1284303779986746</v>
      </c>
      <c r="Y118" s="55">
        <f ca="1">DSUM($B$76:$Z$80,Y$76,$C$97:$D118)</f>
        <v>1.1134992574502798</v>
      </c>
      <c r="Z118" s="55">
        <f ca="1">DSUM($B$76:$Z$80,Z$76,$C$97:$D118)</f>
        <v>6.0780585034919685</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9" t="s">
        <v>534</v>
      </c>
      <c r="C119" s="58" t="s">
        <v>132</v>
      </c>
      <c r="D119" s="58" t="s">
        <v>535</v>
      </c>
      <c r="F119" s="55">
        <f ca="1">DSUM($B$76:$Z$80,F$76,$C$97:$D119)</f>
        <v>0.62708156893977041</v>
      </c>
      <c r="G119" s="55">
        <f ca="1">DSUM($B$76:$Z$80,G$76,$C$97:$D119)</f>
        <v>0.90690924255901051</v>
      </c>
      <c r="H119" s="55">
        <f ca="1">DSUM($B$76:$Z$80,H$76,$C$97:$D119)</f>
        <v>1.0838631694246614</v>
      </c>
      <c r="I119" s="55">
        <f ca="1">DSUM($B$76:$Z$80,I$76,$C$97:$D119)</f>
        <v>1.188829787577693</v>
      </c>
      <c r="J119" s="55">
        <f ca="1">DSUM($B$76:$Z$80,J$76,$C$97:$D119)</f>
        <v>1.250549693095782</v>
      </c>
      <c r="K119" s="55">
        <f ca="1">DSUM($B$76:$Z$80,K$76,$C$97:$D119)</f>
        <v>1.3524142067876697</v>
      </c>
      <c r="L119" s="55">
        <f ca="1">DSUM($B$76:$Z$80,L$76,$C$97:$D119)</f>
        <v>1.3417748541043641</v>
      </c>
      <c r="M119" s="55">
        <f ca="1">DSUM($B$76:$Z$80,M$76,$C$97:$D119)</f>
        <v>1.3230229272273248</v>
      </c>
      <c r="N119" s="55">
        <f ca="1">DSUM($B$76:$Z$80,N$76,$C$97:$D119)</f>
        <v>1.3027711411524339</v>
      </c>
      <c r="O119" s="55">
        <f ca="1">DSUM($B$76:$Z$80,O$76,$C$97:$D119)</f>
        <v>1.2822014973414844</v>
      </c>
      <c r="P119" s="55">
        <f ca="1">DSUM($B$76:$Z$80,P$76,$C$97:$D119)</f>
        <v>1.2617031676150703</v>
      </c>
      <c r="Q119" s="55">
        <f ca="1">DSUM($B$76:$Z$80,Q$76,$C$97:$D119)</f>
        <v>1.2429526303198004</v>
      </c>
      <c r="R119" s="55">
        <f ca="1">DSUM($B$76:$Z$80,R$76,$C$97:$D119)</f>
        <v>1.2258192492407181</v>
      </c>
      <c r="S119" s="55">
        <f ca="1">DSUM($B$76:$Z$80,S$76,$C$97:$D119)</f>
        <v>1.2088263048692345</v>
      </c>
      <c r="T119" s="55">
        <f ca="1">DSUM($B$76:$Z$80,T$76,$C$97:$D119)</f>
        <v>1.1932362111475807</v>
      </c>
      <c r="U119" s="55">
        <f ca="1">DSUM($B$76:$Z$80,U$76,$C$97:$D119)</f>
        <v>1.1772539301730123</v>
      </c>
      <c r="V119" s="55">
        <f ca="1">DSUM($B$76:$Z$80,V$76,$C$97:$D119)</f>
        <v>1.1607348081600781</v>
      </c>
      <c r="W119" s="55">
        <f ca="1">DSUM($B$76:$Z$80,W$76,$C$97:$D119)</f>
        <v>1.1439681292792143</v>
      </c>
      <c r="X119" s="55">
        <f ca="1">DSUM($B$76:$Z$80,X$76,$C$97:$D119)</f>
        <v>1.1284303779986746</v>
      </c>
      <c r="Y119" s="55">
        <f ca="1">DSUM($B$76:$Z$80,Y$76,$C$97:$D119)</f>
        <v>1.1134992574502798</v>
      </c>
      <c r="Z119" s="55">
        <f ca="1">DSUM($B$76:$Z$80,Z$76,$C$97:$D119)</f>
        <v>6.0780585034919685</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9" t="s">
        <v>536</v>
      </c>
      <c r="C120" s="58" t="s">
        <v>537</v>
      </c>
      <c r="D120" s="58" t="s">
        <v>538</v>
      </c>
      <c r="F120" s="55">
        <f ca="1">DSUM($B$76:$Z$80,F$76,$C$97:$D120)</f>
        <v>0.62708156893977041</v>
      </c>
      <c r="G120" s="55">
        <f ca="1">DSUM($B$76:$Z$80,G$76,$C$97:$D120)</f>
        <v>0.90690924255901051</v>
      </c>
      <c r="H120" s="55">
        <f ca="1">DSUM($B$76:$Z$80,H$76,$C$97:$D120)</f>
        <v>1.0838631694246614</v>
      </c>
      <c r="I120" s="55">
        <f ca="1">DSUM($B$76:$Z$80,I$76,$C$97:$D120)</f>
        <v>1.188829787577693</v>
      </c>
      <c r="J120" s="55">
        <f ca="1">DSUM($B$76:$Z$80,J$76,$C$97:$D120)</f>
        <v>1.250549693095782</v>
      </c>
      <c r="K120" s="55">
        <f ca="1">DSUM($B$76:$Z$80,K$76,$C$97:$D120)</f>
        <v>1.3524142067876697</v>
      </c>
      <c r="L120" s="55">
        <f ca="1">DSUM($B$76:$Z$80,L$76,$C$97:$D120)</f>
        <v>1.3417748541043641</v>
      </c>
      <c r="M120" s="55">
        <f ca="1">DSUM($B$76:$Z$80,M$76,$C$97:$D120)</f>
        <v>1.3230229272273248</v>
      </c>
      <c r="N120" s="55">
        <f ca="1">DSUM($B$76:$Z$80,N$76,$C$97:$D120)</f>
        <v>1.3027711411524339</v>
      </c>
      <c r="O120" s="55">
        <f ca="1">DSUM($B$76:$Z$80,O$76,$C$97:$D120)</f>
        <v>1.2822014973414844</v>
      </c>
      <c r="P120" s="55">
        <f ca="1">DSUM($B$76:$Z$80,P$76,$C$97:$D120)</f>
        <v>1.2617031676150703</v>
      </c>
      <c r="Q120" s="55">
        <f ca="1">DSUM($B$76:$Z$80,Q$76,$C$97:$D120)</f>
        <v>1.2429526303198004</v>
      </c>
      <c r="R120" s="55">
        <f ca="1">DSUM($B$76:$Z$80,R$76,$C$97:$D120)</f>
        <v>1.2258192492407181</v>
      </c>
      <c r="S120" s="55">
        <f ca="1">DSUM($B$76:$Z$80,S$76,$C$97:$D120)</f>
        <v>1.2088263048692345</v>
      </c>
      <c r="T120" s="55">
        <f ca="1">DSUM($B$76:$Z$80,T$76,$C$97:$D120)</f>
        <v>1.1932362111475807</v>
      </c>
      <c r="U120" s="55">
        <f ca="1">DSUM($B$76:$Z$80,U$76,$C$97:$D120)</f>
        <v>1.1772539301730123</v>
      </c>
      <c r="V120" s="55">
        <f ca="1">DSUM($B$76:$Z$80,V$76,$C$97:$D120)</f>
        <v>1.1607348081600781</v>
      </c>
      <c r="W120" s="55">
        <f ca="1">DSUM($B$76:$Z$80,W$76,$C$97:$D120)</f>
        <v>1.1439681292792143</v>
      </c>
      <c r="X120" s="55">
        <f ca="1">DSUM($B$76:$Z$80,X$76,$C$97:$D120)</f>
        <v>1.1284303779986746</v>
      </c>
      <c r="Y120" s="55">
        <f ca="1">DSUM($B$76:$Z$80,Y$76,$C$97:$D120)</f>
        <v>1.1134992574502798</v>
      </c>
      <c r="Z120" s="55">
        <f ca="1">DSUM($B$76:$Z$80,Z$76,$C$97:$D120)</f>
        <v>6.0780585034919685</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9" t="s">
        <v>539</v>
      </c>
      <c r="C121" s="58" t="s">
        <v>540</v>
      </c>
      <c r="D121" s="58" t="s">
        <v>541</v>
      </c>
      <c r="F121" s="55">
        <f ca="1">DSUM($B$76:$Z$80,F$76,$C$97:$D121)</f>
        <v>0.62708156893977041</v>
      </c>
      <c r="G121" s="55">
        <f ca="1">DSUM($B$76:$Z$80,G$76,$C$97:$D121)</f>
        <v>0.90690924255901051</v>
      </c>
      <c r="H121" s="55">
        <f ca="1">DSUM($B$76:$Z$80,H$76,$C$97:$D121)</f>
        <v>1.0838631694246614</v>
      </c>
      <c r="I121" s="55">
        <f ca="1">DSUM($B$76:$Z$80,I$76,$C$97:$D121)</f>
        <v>1.188829787577693</v>
      </c>
      <c r="J121" s="55">
        <f ca="1">DSUM($B$76:$Z$80,J$76,$C$97:$D121)</f>
        <v>1.250549693095782</v>
      </c>
      <c r="K121" s="55">
        <f ca="1">DSUM($B$76:$Z$80,K$76,$C$97:$D121)</f>
        <v>1.3524142067876697</v>
      </c>
      <c r="L121" s="55">
        <f ca="1">DSUM($B$76:$Z$80,L$76,$C$97:$D121)</f>
        <v>1.3417748541043641</v>
      </c>
      <c r="M121" s="55">
        <f ca="1">DSUM($B$76:$Z$80,M$76,$C$97:$D121)</f>
        <v>1.3230229272273248</v>
      </c>
      <c r="N121" s="55">
        <f ca="1">DSUM($B$76:$Z$80,N$76,$C$97:$D121)</f>
        <v>1.3027711411524339</v>
      </c>
      <c r="O121" s="55">
        <f ca="1">DSUM($B$76:$Z$80,O$76,$C$97:$D121)</f>
        <v>1.2822014973414844</v>
      </c>
      <c r="P121" s="55">
        <f ca="1">DSUM($B$76:$Z$80,P$76,$C$97:$D121)</f>
        <v>1.2617031676150703</v>
      </c>
      <c r="Q121" s="55">
        <f ca="1">DSUM($B$76:$Z$80,Q$76,$C$97:$D121)</f>
        <v>1.2429526303198004</v>
      </c>
      <c r="R121" s="55">
        <f ca="1">DSUM($B$76:$Z$80,R$76,$C$97:$D121)</f>
        <v>1.2258192492407181</v>
      </c>
      <c r="S121" s="55">
        <f ca="1">DSUM($B$76:$Z$80,S$76,$C$97:$D121)</f>
        <v>1.2088263048692345</v>
      </c>
      <c r="T121" s="55">
        <f ca="1">DSUM($B$76:$Z$80,T$76,$C$97:$D121)</f>
        <v>1.1932362111475807</v>
      </c>
      <c r="U121" s="55">
        <f ca="1">DSUM($B$76:$Z$80,U$76,$C$97:$D121)</f>
        <v>1.1772539301730123</v>
      </c>
      <c r="V121" s="55">
        <f ca="1">DSUM($B$76:$Z$80,V$76,$C$97:$D121)</f>
        <v>1.1607348081600781</v>
      </c>
      <c r="W121" s="55">
        <f ca="1">DSUM($B$76:$Z$80,W$76,$C$97:$D121)</f>
        <v>1.1439681292792143</v>
      </c>
      <c r="X121" s="55">
        <f ca="1">DSUM($B$76:$Z$80,X$76,$C$97:$D121)</f>
        <v>1.1284303779986746</v>
      </c>
      <c r="Y121" s="55">
        <f ca="1">DSUM($B$76:$Z$80,Y$76,$C$97:$D121)</f>
        <v>1.1134992574502798</v>
      </c>
      <c r="Z121" s="55">
        <f ca="1">DSUM($B$76:$Z$80,Z$76,$C$97:$D121)</f>
        <v>6.0780585034919685</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9" t="s">
        <v>542</v>
      </c>
      <c r="C122" s="58" t="s">
        <v>543</v>
      </c>
      <c r="D122" s="58" t="s">
        <v>544</v>
      </c>
      <c r="F122" s="55">
        <f ca="1">DSUM($B$76:$Z$80,F$76,$C$97:$D122)</f>
        <v>0.62708156893977041</v>
      </c>
      <c r="G122" s="55">
        <f ca="1">DSUM($B$76:$Z$80,G$76,$C$97:$D122)</f>
        <v>0.90690924255901051</v>
      </c>
      <c r="H122" s="55">
        <f ca="1">DSUM($B$76:$Z$80,H$76,$C$97:$D122)</f>
        <v>1.0838631694246614</v>
      </c>
      <c r="I122" s="55">
        <f ca="1">DSUM($B$76:$Z$80,I$76,$C$97:$D122)</f>
        <v>1.188829787577693</v>
      </c>
      <c r="J122" s="55">
        <f ca="1">DSUM($B$76:$Z$80,J$76,$C$97:$D122)</f>
        <v>1.250549693095782</v>
      </c>
      <c r="K122" s="55">
        <f ca="1">DSUM($B$76:$Z$80,K$76,$C$97:$D122)</f>
        <v>1.3524142067876697</v>
      </c>
      <c r="L122" s="55">
        <f ca="1">DSUM($B$76:$Z$80,L$76,$C$97:$D122)</f>
        <v>1.3417748541043641</v>
      </c>
      <c r="M122" s="55">
        <f ca="1">DSUM($B$76:$Z$80,M$76,$C$97:$D122)</f>
        <v>1.3230229272273248</v>
      </c>
      <c r="N122" s="55">
        <f ca="1">DSUM($B$76:$Z$80,N$76,$C$97:$D122)</f>
        <v>1.3027711411524339</v>
      </c>
      <c r="O122" s="55">
        <f ca="1">DSUM($B$76:$Z$80,O$76,$C$97:$D122)</f>
        <v>1.2822014973414844</v>
      </c>
      <c r="P122" s="55">
        <f ca="1">DSUM($B$76:$Z$80,P$76,$C$97:$D122)</f>
        <v>1.2617031676150703</v>
      </c>
      <c r="Q122" s="55">
        <f ca="1">DSUM($B$76:$Z$80,Q$76,$C$97:$D122)</f>
        <v>1.2429526303198004</v>
      </c>
      <c r="R122" s="55">
        <f ca="1">DSUM($B$76:$Z$80,R$76,$C$97:$D122)</f>
        <v>1.2258192492407181</v>
      </c>
      <c r="S122" s="55">
        <f ca="1">DSUM($B$76:$Z$80,S$76,$C$97:$D122)</f>
        <v>1.2088263048692345</v>
      </c>
      <c r="T122" s="55">
        <f ca="1">DSUM($B$76:$Z$80,T$76,$C$97:$D122)</f>
        <v>1.1932362111475807</v>
      </c>
      <c r="U122" s="55">
        <f ca="1">DSUM($B$76:$Z$80,U$76,$C$97:$D122)</f>
        <v>1.1772539301730123</v>
      </c>
      <c r="V122" s="55">
        <f ca="1">DSUM($B$76:$Z$80,V$76,$C$97:$D122)</f>
        <v>1.1607348081600781</v>
      </c>
      <c r="W122" s="55">
        <f ca="1">DSUM($B$76:$Z$80,W$76,$C$97:$D122)</f>
        <v>1.1439681292792143</v>
      </c>
      <c r="X122" s="55">
        <f ca="1">DSUM($B$76:$Z$80,X$76,$C$97:$D122)</f>
        <v>1.1284303779986746</v>
      </c>
      <c r="Y122" s="55">
        <f ca="1">DSUM($B$76:$Z$80,Y$76,$C$97:$D122)</f>
        <v>1.1134992574502798</v>
      </c>
      <c r="Z122" s="55">
        <f ca="1">DSUM($B$76:$Z$80,Z$76,$C$97:$D122)</f>
        <v>6.0780585034919685</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9" t="s">
        <v>545</v>
      </c>
      <c r="C123" s="58" t="s">
        <v>546</v>
      </c>
      <c r="D123" s="58" t="s">
        <v>547</v>
      </c>
      <c r="F123" s="55">
        <f ca="1">DSUM($B$76:$Z$80,F$76,$C$97:$D123)</f>
        <v>0.62708156893977041</v>
      </c>
      <c r="G123" s="55">
        <f ca="1">DSUM($B$76:$Z$80,G$76,$C$97:$D123)</f>
        <v>0.90690924255901051</v>
      </c>
      <c r="H123" s="55">
        <f ca="1">DSUM($B$76:$Z$80,H$76,$C$97:$D123)</f>
        <v>1.0838631694246614</v>
      </c>
      <c r="I123" s="55">
        <f ca="1">DSUM($B$76:$Z$80,I$76,$C$97:$D123)</f>
        <v>1.188829787577693</v>
      </c>
      <c r="J123" s="55">
        <f ca="1">DSUM($B$76:$Z$80,J$76,$C$97:$D123)</f>
        <v>1.250549693095782</v>
      </c>
      <c r="K123" s="55">
        <f ca="1">DSUM($B$76:$Z$80,K$76,$C$97:$D123)</f>
        <v>1.3524142067876697</v>
      </c>
      <c r="L123" s="55">
        <f ca="1">DSUM($B$76:$Z$80,L$76,$C$97:$D123)</f>
        <v>1.3417748541043641</v>
      </c>
      <c r="M123" s="55">
        <f ca="1">DSUM($B$76:$Z$80,M$76,$C$97:$D123)</f>
        <v>1.3230229272273248</v>
      </c>
      <c r="N123" s="55">
        <f ca="1">DSUM($B$76:$Z$80,N$76,$C$97:$D123)</f>
        <v>1.3027711411524339</v>
      </c>
      <c r="O123" s="55">
        <f ca="1">DSUM($B$76:$Z$80,O$76,$C$97:$D123)</f>
        <v>1.2822014973414844</v>
      </c>
      <c r="P123" s="55">
        <f ca="1">DSUM($B$76:$Z$80,P$76,$C$97:$D123)</f>
        <v>1.2617031676150703</v>
      </c>
      <c r="Q123" s="55">
        <f ca="1">DSUM($B$76:$Z$80,Q$76,$C$97:$D123)</f>
        <v>1.2429526303198004</v>
      </c>
      <c r="R123" s="55">
        <f ca="1">DSUM($B$76:$Z$80,R$76,$C$97:$D123)</f>
        <v>1.2258192492407181</v>
      </c>
      <c r="S123" s="55">
        <f ca="1">DSUM($B$76:$Z$80,S$76,$C$97:$D123)</f>
        <v>1.2088263048692345</v>
      </c>
      <c r="T123" s="55">
        <f ca="1">DSUM($B$76:$Z$80,T$76,$C$97:$D123)</f>
        <v>1.1932362111475807</v>
      </c>
      <c r="U123" s="55">
        <f ca="1">DSUM($B$76:$Z$80,U$76,$C$97:$D123)</f>
        <v>1.1772539301730123</v>
      </c>
      <c r="V123" s="55">
        <f ca="1">DSUM($B$76:$Z$80,V$76,$C$97:$D123)</f>
        <v>1.1607348081600781</v>
      </c>
      <c r="W123" s="55">
        <f ca="1">DSUM($B$76:$Z$80,W$76,$C$97:$D123)</f>
        <v>1.1439681292792143</v>
      </c>
      <c r="X123" s="55">
        <f ca="1">DSUM($B$76:$Z$80,X$76,$C$97:$D123)</f>
        <v>1.1284303779986746</v>
      </c>
      <c r="Y123" s="55">
        <f ca="1">DSUM($B$76:$Z$80,Y$76,$C$97:$D123)</f>
        <v>1.1134992574502798</v>
      </c>
      <c r="Z123" s="55">
        <f ca="1">DSUM($B$76:$Z$80,Z$76,$C$97:$D123)</f>
        <v>6.0780585034919685</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9" t="s">
        <v>548</v>
      </c>
      <c r="C124" s="58" t="s">
        <v>549</v>
      </c>
      <c r="D124" s="58" t="s">
        <v>550</v>
      </c>
      <c r="F124" s="55">
        <f ca="1">DSUM($B$76:$Z$80,F$76,$C$97:$D124)</f>
        <v>0.62708156893977041</v>
      </c>
      <c r="G124" s="55">
        <f ca="1">DSUM($B$76:$Z$80,G$76,$C$97:$D124)</f>
        <v>0.90690924255901051</v>
      </c>
      <c r="H124" s="55">
        <f ca="1">DSUM($B$76:$Z$80,H$76,$C$97:$D124)</f>
        <v>1.0838631694246614</v>
      </c>
      <c r="I124" s="55">
        <f ca="1">DSUM($B$76:$Z$80,I$76,$C$97:$D124)</f>
        <v>1.188829787577693</v>
      </c>
      <c r="J124" s="55">
        <f ca="1">DSUM($B$76:$Z$80,J$76,$C$97:$D124)</f>
        <v>1.250549693095782</v>
      </c>
      <c r="K124" s="55">
        <f ca="1">DSUM($B$76:$Z$80,K$76,$C$97:$D124)</f>
        <v>1.3524142067876697</v>
      </c>
      <c r="L124" s="55">
        <f ca="1">DSUM($B$76:$Z$80,L$76,$C$97:$D124)</f>
        <v>1.3417748541043641</v>
      </c>
      <c r="M124" s="55">
        <f ca="1">DSUM($B$76:$Z$80,M$76,$C$97:$D124)</f>
        <v>1.3230229272273248</v>
      </c>
      <c r="N124" s="55">
        <f ca="1">DSUM($B$76:$Z$80,N$76,$C$97:$D124)</f>
        <v>1.3027711411524339</v>
      </c>
      <c r="O124" s="55">
        <f ca="1">DSUM($B$76:$Z$80,O$76,$C$97:$D124)</f>
        <v>1.2822014973414844</v>
      </c>
      <c r="P124" s="55">
        <f ca="1">DSUM($B$76:$Z$80,P$76,$C$97:$D124)</f>
        <v>1.2617031676150703</v>
      </c>
      <c r="Q124" s="55">
        <f ca="1">DSUM($B$76:$Z$80,Q$76,$C$97:$D124)</f>
        <v>1.2429526303198004</v>
      </c>
      <c r="R124" s="55">
        <f ca="1">DSUM($B$76:$Z$80,R$76,$C$97:$D124)</f>
        <v>1.2258192492407181</v>
      </c>
      <c r="S124" s="55">
        <f ca="1">DSUM($B$76:$Z$80,S$76,$C$97:$D124)</f>
        <v>1.2088263048692345</v>
      </c>
      <c r="T124" s="55">
        <f ca="1">DSUM($B$76:$Z$80,T$76,$C$97:$D124)</f>
        <v>1.1932362111475807</v>
      </c>
      <c r="U124" s="55">
        <f ca="1">DSUM($B$76:$Z$80,U$76,$C$97:$D124)</f>
        <v>1.1772539301730123</v>
      </c>
      <c r="V124" s="55">
        <f ca="1">DSUM($B$76:$Z$80,V$76,$C$97:$D124)</f>
        <v>1.1607348081600781</v>
      </c>
      <c r="W124" s="55">
        <f ca="1">DSUM($B$76:$Z$80,W$76,$C$97:$D124)</f>
        <v>1.1439681292792143</v>
      </c>
      <c r="X124" s="55">
        <f ca="1">DSUM($B$76:$Z$80,X$76,$C$97:$D124)</f>
        <v>1.1284303779986746</v>
      </c>
      <c r="Y124" s="55">
        <f ca="1">DSUM($B$76:$Z$80,Y$76,$C$97:$D124)</f>
        <v>1.1134992574502798</v>
      </c>
      <c r="Z124" s="55">
        <f ca="1">DSUM($B$76:$Z$80,Z$76,$C$97:$D124)</f>
        <v>6.0780585034919685</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9" t="s">
        <v>551</v>
      </c>
      <c r="C125" s="58" t="s">
        <v>552</v>
      </c>
      <c r="D125" s="58" t="s">
        <v>553</v>
      </c>
      <c r="F125" s="55">
        <f ca="1">DSUM($B$76:$Z$80,F$76,$C$97:$D125)</f>
        <v>0.62708156893977041</v>
      </c>
      <c r="G125" s="55">
        <f ca="1">DSUM($B$76:$Z$80,G$76,$C$97:$D125)</f>
        <v>0.90690924255901051</v>
      </c>
      <c r="H125" s="55">
        <f ca="1">DSUM($B$76:$Z$80,H$76,$C$97:$D125)</f>
        <v>1.0838631694246614</v>
      </c>
      <c r="I125" s="55">
        <f ca="1">DSUM($B$76:$Z$80,I$76,$C$97:$D125)</f>
        <v>1.188829787577693</v>
      </c>
      <c r="J125" s="55">
        <f ca="1">DSUM($B$76:$Z$80,J$76,$C$97:$D125)</f>
        <v>1.250549693095782</v>
      </c>
      <c r="K125" s="55">
        <f ca="1">DSUM($B$76:$Z$80,K$76,$C$97:$D125)</f>
        <v>1.3524142067876697</v>
      </c>
      <c r="L125" s="55">
        <f ca="1">DSUM($B$76:$Z$80,L$76,$C$97:$D125)</f>
        <v>1.3417748541043641</v>
      </c>
      <c r="M125" s="55">
        <f ca="1">DSUM($B$76:$Z$80,M$76,$C$97:$D125)</f>
        <v>1.3230229272273248</v>
      </c>
      <c r="N125" s="55">
        <f ca="1">DSUM($B$76:$Z$80,N$76,$C$97:$D125)</f>
        <v>1.3027711411524339</v>
      </c>
      <c r="O125" s="55">
        <f ca="1">DSUM($B$76:$Z$80,O$76,$C$97:$D125)</f>
        <v>1.2822014973414844</v>
      </c>
      <c r="P125" s="55">
        <f ca="1">DSUM($B$76:$Z$80,P$76,$C$97:$D125)</f>
        <v>1.2617031676150703</v>
      </c>
      <c r="Q125" s="55">
        <f ca="1">DSUM($B$76:$Z$80,Q$76,$C$97:$D125)</f>
        <v>1.2429526303198004</v>
      </c>
      <c r="R125" s="55">
        <f ca="1">DSUM($B$76:$Z$80,R$76,$C$97:$D125)</f>
        <v>1.2258192492407181</v>
      </c>
      <c r="S125" s="55">
        <f ca="1">DSUM($B$76:$Z$80,S$76,$C$97:$D125)</f>
        <v>1.2088263048692345</v>
      </c>
      <c r="T125" s="55">
        <f ca="1">DSUM($B$76:$Z$80,T$76,$C$97:$D125)</f>
        <v>1.1932362111475807</v>
      </c>
      <c r="U125" s="55">
        <f ca="1">DSUM($B$76:$Z$80,U$76,$C$97:$D125)</f>
        <v>1.1772539301730123</v>
      </c>
      <c r="V125" s="55">
        <f ca="1">DSUM($B$76:$Z$80,V$76,$C$97:$D125)</f>
        <v>1.1607348081600781</v>
      </c>
      <c r="W125" s="55">
        <f ca="1">DSUM($B$76:$Z$80,W$76,$C$97:$D125)</f>
        <v>1.1439681292792143</v>
      </c>
      <c r="X125" s="55">
        <f ca="1">DSUM($B$76:$Z$80,X$76,$C$97:$D125)</f>
        <v>1.1284303779986746</v>
      </c>
      <c r="Y125" s="55">
        <f ca="1">DSUM($B$76:$Z$80,Y$76,$C$97:$D125)</f>
        <v>1.1134992574502798</v>
      </c>
      <c r="Z125" s="55">
        <f ca="1">DSUM($B$76:$Z$80,Z$76,$C$97:$D125)</f>
        <v>6.0780585034919685</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9" t="s">
        <v>554</v>
      </c>
      <c r="C126" s="58" t="s">
        <v>555</v>
      </c>
      <c r="D126" s="58" t="s">
        <v>556</v>
      </c>
      <c r="F126" s="55">
        <f ca="1">DSUM($B$76:$Z$80,F$76,$C$97:$D126)</f>
        <v>0.62708156893977041</v>
      </c>
      <c r="G126" s="55">
        <f ca="1">DSUM($B$76:$Z$80,G$76,$C$97:$D126)</f>
        <v>0.90690924255901051</v>
      </c>
      <c r="H126" s="55">
        <f ca="1">DSUM($B$76:$Z$80,H$76,$C$97:$D126)</f>
        <v>1.0838631694246614</v>
      </c>
      <c r="I126" s="55">
        <f ca="1">DSUM($B$76:$Z$80,I$76,$C$97:$D126)</f>
        <v>1.188829787577693</v>
      </c>
      <c r="J126" s="55">
        <f ca="1">DSUM($B$76:$Z$80,J$76,$C$97:$D126)</f>
        <v>1.250549693095782</v>
      </c>
      <c r="K126" s="55">
        <f ca="1">DSUM($B$76:$Z$80,K$76,$C$97:$D126)</f>
        <v>1.3524142067876697</v>
      </c>
      <c r="L126" s="55">
        <f ca="1">DSUM($B$76:$Z$80,L$76,$C$97:$D126)</f>
        <v>1.3417748541043641</v>
      </c>
      <c r="M126" s="55">
        <f ca="1">DSUM($B$76:$Z$80,M$76,$C$97:$D126)</f>
        <v>1.3230229272273248</v>
      </c>
      <c r="N126" s="55">
        <f ca="1">DSUM($B$76:$Z$80,N$76,$C$97:$D126)</f>
        <v>1.3027711411524339</v>
      </c>
      <c r="O126" s="55">
        <f ca="1">DSUM($B$76:$Z$80,O$76,$C$97:$D126)</f>
        <v>1.2822014973414844</v>
      </c>
      <c r="P126" s="55">
        <f ca="1">DSUM($B$76:$Z$80,P$76,$C$97:$D126)</f>
        <v>1.2617031676150703</v>
      </c>
      <c r="Q126" s="55">
        <f ca="1">DSUM($B$76:$Z$80,Q$76,$C$97:$D126)</f>
        <v>1.2429526303198004</v>
      </c>
      <c r="R126" s="55">
        <f ca="1">DSUM($B$76:$Z$80,R$76,$C$97:$D126)</f>
        <v>1.2258192492407181</v>
      </c>
      <c r="S126" s="55">
        <f ca="1">DSUM($B$76:$Z$80,S$76,$C$97:$D126)</f>
        <v>1.2088263048692345</v>
      </c>
      <c r="T126" s="55">
        <f ca="1">DSUM($B$76:$Z$80,T$76,$C$97:$D126)</f>
        <v>1.1932362111475807</v>
      </c>
      <c r="U126" s="55">
        <f ca="1">DSUM($B$76:$Z$80,U$76,$C$97:$D126)</f>
        <v>1.1772539301730123</v>
      </c>
      <c r="V126" s="55">
        <f ca="1">DSUM($B$76:$Z$80,V$76,$C$97:$D126)</f>
        <v>1.1607348081600781</v>
      </c>
      <c r="W126" s="55">
        <f ca="1">DSUM($B$76:$Z$80,W$76,$C$97:$D126)</f>
        <v>1.1439681292792143</v>
      </c>
      <c r="X126" s="55">
        <f ca="1">DSUM($B$76:$Z$80,X$76,$C$97:$D126)</f>
        <v>1.1284303779986746</v>
      </c>
      <c r="Y126" s="55">
        <f ca="1">DSUM($B$76:$Z$80,Y$76,$C$97:$D126)</f>
        <v>1.1134992574502798</v>
      </c>
      <c r="Z126" s="55">
        <f ca="1">DSUM($B$76:$Z$80,Z$76,$C$97:$D126)</f>
        <v>6.0780585034919685</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9" t="s">
        <v>557</v>
      </c>
      <c r="C127" s="58" t="s">
        <v>558</v>
      </c>
      <c r="D127" s="58" t="s">
        <v>559</v>
      </c>
      <c r="F127" s="55">
        <f ca="1">DSUM($B$76:$Z$80,F$76,$C$97:$D127)</f>
        <v>0.62708156893977041</v>
      </c>
      <c r="G127" s="55">
        <f ca="1">DSUM($B$76:$Z$80,G$76,$C$97:$D127)</f>
        <v>0.90690924255901051</v>
      </c>
      <c r="H127" s="55">
        <f ca="1">DSUM($B$76:$Z$80,H$76,$C$97:$D127)</f>
        <v>1.0838631694246614</v>
      </c>
      <c r="I127" s="55">
        <f ca="1">DSUM($B$76:$Z$80,I$76,$C$97:$D127)</f>
        <v>1.188829787577693</v>
      </c>
      <c r="J127" s="55">
        <f ca="1">DSUM($B$76:$Z$80,J$76,$C$97:$D127)</f>
        <v>1.250549693095782</v>
      </c>
      <c r="K127" s="55">
        <f ca="1">DSUM($B$76:$Z$80,K$76,$C$97:$D127)</f>
        <v>1.3524142067876697</v>
      </c>
      <c r="L127" s="55">
        <f ca="1">DSUM($B$76:$Z$80,L$76,$C$97:$D127)</f>
        <v>1.3417748541043641</v>
      </c>
      <c r="M127" s="55">
        <f ca="1">DSUM($B$76:$Z$80,M$76,$C$97:$D127)</f>
        <v>1.3230229272273248</v>
      </c>
      <c r="N127" s="55">
        <f ca="1">DSUM($B$76:$Z$80,N$76,$C$97:$D127)</f>
        <v>1.3027711411524339</v>
      </c>
      <c r="O127" s="55">
        <f ca="1">DSUM($B$76:$Z$80,O$76,$C$97:$D127)</f>
        <v>1.2822014973414844</v>
      </c>
      <c r="P127" s="55">
        <f ca="1">DSUM($B$76:$Z$80,P$76,$C$97:$D127)</f>
        <v>1.2617031676150703</v>
      </c>
      <c r="Q127" s="55">
        <f ca="1">DSUM($B$76:$Z$80,Q$76,$C$97:$D127)</f>
        <v>1.2429526303198004</v>
      </c>
      <c r="R127" s="55">
        <f ca="1">DSUM($B$76:$Z$80,R$76,$C$97:$D127)</f>
        <v>1.2258192492407181</v>
      </c>
      <c r="S127" s="55">
        <f ca="1">DSUM($B$76:$Z$80,S$76,$C$97:$D127)</f>
        <v>1.2088263048692345</v>
      </c>
      <c r="T127" s="55">
        <f ca="1">DSUM($B$76:$Z$80,T$76,$C$97:$D127)</f>
        <v>1.1932362111475807</v>
      </c>
      <c r="U127" s="55">
        <f ca="1">DSUM($B$76:$Z$80,U$76,$C$97:$D127)</f>
        <v>1.1772539301730123</v>
      </c>
      <c r="V127" s="55">
        <f ca="1">DSUM($B$76:$Z$80,V$76,$C$97:$D127)</f>
        <v>1.1607348081600781</v>
      </c>
      <c r="W127" s="55">
        <f ca="1">DSUM($B$76:$Z$80,W$76,$C$97:$D127)</f>
        <v>1.1439681292792143</v>
      </c>
      <c r="X127" s="55">
        <f ca="1">DSUM($B$76:$Z$80,X$76,$C$97:$D127)</f>
        <v>1.1284303779986746</v>
      </c>
      <c r="Y127" s="55">
        <f ca="1">DSUM($B$76:$Z$80,Y$76,$C$97:$D127)</f>
        <v>1.1134992574502798</v>
      </c>
      <c r="Z127" s="55">
        <f ca="1">DSUM($B$76:$Z$80,Z$76,$C$97:$D127)</f>
        <v>6.0780585034919685</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9" t="s">
        <v>560</v>
      </c>
      <c r="C128" s="58" t="s">
        <v>561</v>
      </c>
      <c r="D128" s="58" t="s">
        <v>562</v>
      </c>
      <c r="F128" s="55">
        <f ca="1">DSUM($B$76:$Z$80,F$76,$C$97:$D128)</f>
        <v>0.62708156893977041</v>
      </c>
      <c r="G128" s="55">
        <f ca="1">DSUM($B$76:$Z$80,G$76,$C$97:$D128)</f>
        <v>0.90690924255901051</v>
      </c>
      <c r="H128" s="55">
        <f ca="1">DSUM($B$76:$Z$80,H$76,$C$97:$D128)</f>
        <v>1.0838631694246614</v>
      </c>
      <c r="I128" s="55">
        <f ca="1">DSUM($B$76:$Z$80,I$76,$C$97:$D128)</f>
        <v>1.188829787577693</v>
      </c>
      <c r="J128" s="55">
        <f ca="1">DSUM($B$76:$Z$80,J$76,$C$97:$D128)</f>
        <v>1.250549693095782</v>
      </c>
      <c r="K128" s="55">
        <f ca="1">DSUM($B$76:$Z$80,K$76,$C$97:$D128)</f>
        <v>1.3524142067876697</v>
      </c>
      <c r="L128" s="55">
        <f ca="1">DSUM($B$76:$Z$80,L$76,$C$97:$D128)</f>
        <v>1.3417748541043641</v>
      </c>
      <c r="M128" s="55">
        <f ca="1">DSUM($B$76:$Z$80,M$76,$C$97:$D128)</f>
        <v>1.3230229272273248</v>
      </c>
      <c r="N128" s="55">
        <f ca="1">DSUM($B$76:$Z$80,N$76,$C$97:$D128)</f>
        <v>1.3027711411524339</v>
      </c>
      <c r="O128" s="55">
        <f ca="1">DSUM($B$76:$Z$80,O$76,$C$97:$D128)</f>
        <v>1.2822014973414844</v>
      </c>
      <c r="P128" s="55">
        <f ca="1">DSUM($B$76:$Z$80,P$76,$C$97:$D128)</f>
        <v>1.2617031676150703</v>
      </c>
      <c r="Q128" s="55">
        <f ca="1">DSUM($B$76:$Z$80,Q$76,$C$97:$D128)</f>
        <v>1.2429526303198004</v>
      </c>
      <c r="R128" s="55">
        <f ca="1">DSUM($B$76:$Z$80,R$76,$C$97:$D128)</f>
        <v>1.2258192492407181</v>
      </c>
      <c r="S128" s="55">
        <f ca="1">DSUM($B$76:$Z$80,S$76,$C$97:$D128)</f>
        <v>1.2088263048692345</v>
      </c>
      <c r="T128" s="55">
        <f ca="1">DSUM($B$76:$Z$80,T$76,$C$97:$D128)</f>
        <v>1.1932362111475807</v>
      </c>
      <c r="U128" s="55">
        <f ca="1">DSUM($B$76:$Z$80,U$76,$C$97:$D128)</f>
        <v>1.1772539301730123</v>
      </c>
      <c r="V128" s="55">
        <f ca="1">DSUM($B$76:$Z$80,V$76,$C$97:$D128)</f>
        <v>1.1607348081600781</v>
      </c>
      <c r="W128" s="55">
        <f ca="1">DSUM($B$76:$Z$80,W$76,$C$97:$D128)</f>
        <v>1.1439681292792143</v>
      </c>
      <c r="X128" s="55">
        <f ca="1">DSUM($B$76:$Z$80,X$76,$C$97:$D128)</f>
        <v>1.1284303779986746</v>
      </c>
      <c r="Y128" s="55">
        <f ca="1">DSUM($B$76:$Z$80,Y$76,$C$97:$D128)</f>
        <v>1.1134992574502798</v>
      </c>
      <c r="Z128" s="55">
        <f ca="1">DSUM($B$76:$Z$80,Z$76,$C$97:$D128)</f>
        <v>6.0780585034919685</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9" t="s">
        <v>563</v>
      </c>
      <c r="C129" s="58" t="s">
        <v>564</v>
      </c>
      <c r="D129" s="58" t="s">
        <v>133</v>
      </c>
      <c r="F129" s="55">
        <f ca="1">DSUM($B$76:$Z$80,F$76,$C$97:$D129)</f>
        <v>0.62708156893977041</v>
      </c>
      <c r="G129" s="55">
        <f ca="1">DSUM($B$76:$Z$80,G$76,$C$97:$D129)</f>
        <v>0.90690924255901051</v>
      </c>
      <c r="H129" s="55">
        <f ca="1">DSUM($B$76:$Z$80,H$76,$C$97:$D129)</f>
        <v>1.0838631694246614</v>
      </c>
      <c r="I129" s="55">
        <f ca="1">DSUM($B$76:$Z$80,I$76,$C$97:$D129)</f>
        <v>1.188829787577693</v>
      </c>
      <c r="J129" s="55">
        <f ca="1">DSUM($B$76:$Z$80,J$76,$C$97:$D129)</f>
        <v>1.250549693095782</v>
      </c>
      <c r="K129" s="55">
        <f ca="1">DSUM($B$76:$Z$80,K$76,$C$97:$D129)</f>
        <v>1.3524142067876697</v>
      </c>
      <c r="L129" s="55">
        <f ca="1">DSUM($B$76:$Z$80,L$76,$C$97:$D129)</f>
        <v>1.3417748541043641</v>
      </c>
      <c r="M129" s="55">
        <f ca="1">DSUM($B$76:$Z$80,M$76,$C$97:$D129)</f>
        <v>1.3230229272273248</v>
      </c>
      <c r="N129" s="55">
        <f ca="1">DSUM($B$76:$Z$80,N$76,$C$97:$D129)</f>
        <v>1.3027711411524339</v>
      </c>
      <c r="O129" s="55">
        <f ca="1">DSUM($B$76:$Z$80,O$76,$C$97:$D129)</f>
        <v>1.2822014973414844</v>
      </c>
      <c r="P129" s="55">
        <f ca="1">DSUM($B$76:$Z$80,P$76,$C$97:$D129)</f>
        <v>1.2617031676150703</v>
      </c>
      <c r="Q129" s="55">
        <f ca="1">DSUM($B$76:$Z$80,Q$76,$C$97:$D129)</f>
        <v>1.2429526303198004</v>
      </c>
      <c r="R129" s="55">
        <f ca="1">DSUM($B$76:$Z$80,R$76,$C$97:$D129)</f>
        <v>1.2258192492407181</v>
      </c>
      <c r="S129" s="55">
        <f ca="1">DSUM($B$76:$Z$80,S$76,$C$97:$D129)</f>
        <v>1.2088263048692345</v>
      </c>
      <c r="T129" s="55">
        <f ca="1">DSUM($B$76:$Z$80,T$76,$C$97:$D129)</f>
        <v>1.1932362111475807</v>
      </c>
      <c r="U129" s="55">
        <f ca="1">DSUM($B$76:$Z$80,U$76,$C$97:$D129)</f>
        <v>1.1772539301730123</v>
      </c>
      <c r="V129" s="55">
        <f ca="1">DSUM($B$76:$Z$80,V$76,$C$97:$D129)</f>
        <v>1.1607348081600781</v>
      </c>
      <c r="W129" s="55">
        <f ca="1">DSUM($B$76:$Z$80,W$76,$C$97:$D129)</f>
        <v>1.1439681292792143</v>
      </c>
      <c r="X129" s="55">
        <f ca="1">DSUM($B$76:$Z$80,X$76,$C$97:$D129)</f>
        <v>1.1284303779986746</v>
      </c>
      <c r="Y129" s="55">
        <f ca="1">DSUM($B$76:$Z$80,Y$76,$C$97:$D129)</f>
        <v>1.1134992574502798</v>
      </c>
      <c r="Z129" s="55">
        <f ca="1">DSUM($B$76:$Z$80,Z$76,$C$97:$D129)</f>
        <v>6.0780585034919685</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F131" s="36">
        <f ca="1">F129</f>
        <v>0.62708156893977041</v>
      </c>
      <c r="G131" s="36">
        <f ca="1">G129+F131</f>
        <v>1.5339908114987808</v>
      </c>
      <c r="H131" s="36">
        <f t="shared" ref="H131:Y131" ca="1" si="22">H129+G131</f>
        <v>2.6178539809234422</v>
      </c>
      <c r="I131" s="36">
        <f t="shared" ca="1" si="22"/>
        <v>3.8066837685011352</v>
      </c>
      <c r="J131" s="36">
        <f t="shared" ca="1" si="22"/>
        <v>5.0572334615969172</v>
      </c>
      <c r="K131" s="36">
        <f t="shared" ca="1" si="22"/>
        <v>6.4096476683845864</v>
      </c>
      <c r="L131" s="36">
        <f t="shared" ca="1" si="22"/>
        <v>7.7514225224889506</v>
      </c>
      <c r="M131" s="36">
        <f t="shared" ca="1" si="22"/>
        <v>9.0744454497162756</v>
      </c>
      <c r="N131" s="36">
        <f t="shared" ca="1" si="22"/>
        <v>10.377216590868709</v>
      </c>
      <c r="O131" s="36">
        <f t="shared" ca="1" si="22"/>
        <v>11.659418088210193</v>
      </c>
      <c r="P131" s="36">
        <f t="shared" ca="1" si="22"/>
        <v>12.921121255825264</v>
      </c>
      <c r="Q131" s="36">
        <f t="shared" ca="1" si="22"/>
        <v>14.164073886145065</v>
      </c>
      <c r="R131" s="36">
        <f t="shared" ca="1" si="22"/>
        <v>15.389893135385783</v>
      </c>
      <c r="S131" s="36">
        <f t="shared" ca="1" si="22"/>
        <v>16.598719440255017</v>
      </c>
      <c r="T131" s="36">
        <f t="shared" ca="1" si="22"/>
        <v>17.791955651402599</v>
      </c>
      <c r="U131" s="36">
        <f t="shared" ca="1" si="22"/>
        <v>18.969209581575612</v>
      </c>
      <c r="V131" s="36">
        <f t="shared" ca="1" si="22"/>
        <v>20.129944389735691</v>
      </c>
      <c r="W131" s="36">
        <f t="shared" ca="1" si="22"/>
        <v>21.273912519014907</v>
      </c>
      <c r="X131" s="36">
        <f t="shared" ca="1" si="22"/>
        <v>22.402342897013583</v>
      </c>
      <c r="Y131" s="36">
        <f t="shared" ca="1" si="22"/>
        <v>23.515842154463861</v>
      </c>
      <c r="Z131" s="36"/>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ht="15">
      <c r="A132" s="63" t="s">
        <v>134</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ht="15">
      <c r="D133" s="72" t="str">
        <f>D30</f>
        <v>Monitor - NR</v>
      </c>
      <c r="F133" s="66">
        <f t="shared" ref="F133:Y133" si="23">F11</f>
        <v>2016</v>
      </c>
      <c r="G133" s="67">
        <f t="shared" si="23"/>
        <v>2017</v>
      </c>
      <c r="H133" s="67">
        <f t="shared" si="23"/>
        <v>2018</v>
      </c>
      <c r="I133" s="67">
        <f t="shared" si="23"/>
        <v>2019</v>
      </c>
      <c r="J133" s="67">
        <f t="shared" si="23"/>
        <v>2020</v>
      </c>
      <c r="K133" s="67">
        <f t="shared" si="23"/>
        <v>2021</v>
      </c>
      <c r="L133" s="67">
        <f t="shared" si="23"/>
        <v>2022</v>
      </c>
      <c r="M133" s="67">
        <f t="shared" si="23"/>
        <v>2023</v>
      </c>
      <c r="N133" s="67">
        <f t="shared" si="23"/>
        <v>2024</v>
      </c>
      <c r="O133" s="67">
        <f t="shared" si="23"/>
        <v>2025</v>
      </c>
      <c r="P133" s="67">
        <f t="shared" si="23"/>
        <v>2026</v>
      </c>
      <c r="Q133" s="67">
        <f t="shared" si="23"/>
        <v>2027</v>
      </c>
      <c r="R133" s="67">
        <f t="shared" si="23"/>
        <v>2028</v>
      </c>
      <c r="S133" s="67">
        <f t="shared" si="23"/>
        <v>2029</v>
      </c>
      <c r="T133" s="67">
        <f t="shared" si="23"/>
        <v>2030</v>
      </c>
      <c r="U133" s="67">
        <f t="shared" si="23"/>
        <v>2031</v>
      </c>
      <c r="V133" s="67">
        <f t="shared" si="23"/>
        <v>2032</v>
      </c>
      <c r="W133" s="67">
        <f t="shared" si="23"/>
        <v>2033</v>
      </c>
      <c r="X133" s="67">
        <f t="shared" si="23"/>
        <v>2034</v>
      </c>
      <c r="Y133" s="67">
        <f t="shared" si="23"/>
        <v>2035</v>
      </c>
      <c r="Z133" s="68" t="s">
        <v>59</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ht="15">
      <c r="F134" s="69" t="str">
        <f t="shared" ref="F134:Y134" si="24">CONCATENATE("aMW_",F$11)</f>
        <v>aMW_2016</v>
      </c>
      <c r="G134" s="70" t="str">
        <f t="shared" si="24"/>
        <v>aMW_2017</v>
      </c>
      <c r="H134" s="70" t="str">
        <f t="shared" si="24"/>
        <v>aMW_2018</v>
      </c>
      <c r="I134" s="70" t="str">
        <f t="shared" si="24"/>
        <v>aMW_2019</v>
      </c>
      <c r="J134" s="70" t="str">
        <f t="shared" si="24"/>
        <v>aMW_2020</v>
      </c>
      <c r="K134" s="70" t="str">
        <f t="shared" si="24"/>
        <v>aMW_2021</v>
      </c>
      <c r="L134" s="70" t="str">
        <f t="shared" si="24"/>
        <v>aMW_2022</v>
      </c>
      <c r="M134" s="70" t="str">
        <f t="shared" si="24"/>
        <v>aMW_2023</v>
      </c>
      <c r="N134" s="70" t="str">
        <f t="shared" si="24"/>
        <v>aMW_2024</v>
      </c>
      <c r="O134" s="70" t="str">
        <f t="shared" si="24"/>
        <v>aMW_2025</v>
      </c>
      <c r="P134" s="70" t="str">
        <f t="shared" si="24"/>
        <v>aMW_2026</v>
      </c>
      <c r="Q134" s="70" t="str">
        <f t="shared" si="24"/>
        <v>aMW_2027</v>
      </c>
      <c r="R134" s="70" t="str">
        <f t="shared" si="24"/>
        <v>aMW_2028</v>
      </c>
      <c r="S134" s="70" t="str">
        <f t="shared" si="24"/>
        <v>aMW_2029</v>
      </c>
      <c r="T134" s="70" t="str">
        <f t="shared" si="24"/>
        <v>aMW_2030</v>
      </c>
      <c r="U134" s="70" t="str">
        <f t="shared" si="24"/>
        <v>aMW_2031</v>
      </c>
      <c r="V134" s="70" t="str">
        <f t="shared" si="24"/>
        <v>aMW_2032</v>
      </c>
      <c r="W134" s="70" t="str">
        <f t="shared" si="24"/>
        <v>aMW_2033</v>
      </c>
      <c r="X134" s="70" t="str">
        <f t="shared" si="24"/>
        <v>aMW_2034</v>
      </c>
      <c r="Y134" s="70" t="str">
        <f t="shared" si="24"/>
        <v>aMW_2035</v>
      </c>
      <c r="Z134" s="71" t="s">
        <v>59</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D135" s="9" t="s">
        <v>68</v>
      </c>
      <c r="F135" s="59">
        <f>F98</f>
        <v>0</v>
      </c>
      <c r="G135" s="59">
        <f t="shared" ref="G135:Z135" si="25">G98</f>
        <v>0</v>
      </c>
      <c r="H135" s="59">
        <f t="shared" si="25"/>
        <v>0</v>
      </c>
      <c r="I135" s="59">
        <f t="shared" si="25"/>
        <v>0</v>
      </c>
      <c r="J135" s="59">
        <f t="shared" si="25"/>
        <v>0</v>
      </c>
      <c r="K135" s="59">
        <f t="shared" si="25"/>
        <v>0</v>
      </c>
      <c r="L135" s="59">
        <f t="shared" si="25"/>
        <v>0</v>
      </c>
      <c r="M135" s="59">
        <f t="shared" si="25"/>
        <v>0</v>
      </c>
      <c r="N135" s="59">
        <f t="shared" si="25"/>
        <v>0</v>
      </c>
      <c r="O135" s="59">
        <f t="shared" si="25"/>
        <v>0</v>
      </c>
      <c r="P135" s="59">
        <f t="shared" si="25"/>
        <v>0</v>
      </c>
      <c r="Q135" s="59">
        <f t="shared" si="25"/>
        <v>0</v>
      </c>
      <c r="R135" s="59">
        <f t="shared" si="25"/>
        <v>0</v>
      </c>
      <c r="S135" s="59">
        <f t="shared" si="25"/>
        <v>0</v>
      </c>
      <c r="T135" s="59">
        <f t="shared" si="25"/>
        <v>0</v>
      </c>
      <c r="U135" s="59">
        <f t="shared" si="25"/>
        <v>0</v>
      </c>
      <c r="V135" s="59">
        <f t="shared" si="25"/>
        <v>0</v>
      </c>
      <c r="W135" s="59">
        <f t="shared" si="25"/>
        <v>0</v>
      </c>
      <c r="X135" s="59">
        <f t="shared" si="25"/>
        <v>0</v>
      </c>
      <c r="Y135" s="59">
        <f t="shared" si="25"/>
        <v>0</v>
      </c>
      <c r="Z135" s="59">
        <f t="shared" si="25"/>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c r="D136" s="9" t="s">
        <v>572</v>
      </c>
      <c r="F136" s="59">
        <f>F99-F98</f>
        <v>0</v>
      </c>
      <c r="G136" s="59">
        <f>G99-G98</f>
        <v>0</v>
      </c>
      <c r="H136" s="59">
        <f t="shared" ref="H136:Z149" si="26">H99-H98</f>
        <v>0</v>
      </c>
      <c r="I136" s="59">
        <f t="shared" si="26"/>
        <v>0</v>
      </c>
      <c r="J136" s="59">
        <f t="shared" si="26"/>
        <v>0</v>
      </c>
      <c r="K136" s="59">
        <f t="shared" si="26"/>
        <v>0</v>
      </c>
      <c r="L136" s="59">
        <f t="shared" si="26"/>
        <v>0</v>
      </c>
      <c r="M136" s="59">
        <f t="shared" si="26"/>
        <v>0</v>
      </c>
      <c r="N136" s="59">
        <f t="shared" si="26"/>
        <v>0</v>
      </c>
      <c r="O136" s="59">
        <f>O99-O98</f>
        <v>0</v>
      </c>
      <c r="P136" s="59">
        <f t="shared" si="26"/>
        <v>0</v>
      </c>
      <c r="Q136" s="59">
        <f t="shared" si="26"/>
        <v>0</v>
      </c>
      <c r="R136" s="59">
        <f t="shared" si="26"/>
        <v>0</v>
      </c>
      <c r="S136" s="59">
        <f t="shared" si="26"/>
        <v>0</v>
      </c>
      <c r="T136" s="59">
        <f t="shared" si="26"/>
        <v>0</v>
      </c>
      <c r="U136" s="59">
        <f t="shared" si="26"/>
        <v>0</v>
      </c>
      <c r="V136" s="59">
        <f t="shared" si="26"/>
        <v>0</v>
      </c>
      <c r="W136" s="59">
        <f t="shared" si="26"/>
        <v>0</v>
      </c>
      <c r="X136" s="59">
        <f t="shared" si="26"/>
        <v>0</v>
      </c>
      <c r="Y136" s="59">
        <f t="shared" si="26"/>
        <v>0</v>
      </c>
      <c r="Z136" s="59">
        <f t="shared" si="26"/>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c r="D137" s="9" t="s">
        <v>74</v>
      </c>
      <c r="F137" s="59">
        <f t="shared" ref="F137:U152" si="27">F100-F99</f>
        <v>0</v>
      </c>
      <c r="G137" s="59">
        <f t="shared" si="27"/>
        <v>0</v>
      </c>
      <c r="H137" s="59">
        <f t="shared" si="26"/>
        <v>0</v>
      </c>
      <c r="I137" s="59">
        <f t="shared" si="26"/>
        <v>0</v>
      </c>
      <c r="J137" s="59">
        <f t="shared" si="26"/>
        <v>0</v>
      </c>
      <c r="K137" s="59">
        <f t="shared" si="26"/>
        <v>0</v>
      </c>
      <c r="L137" s="59">
        <f t="shared" si="26"/>
        <v>0</v>
      </c>
      <c r="M137" s="59">
        <f t="shared" si="26"/>
        <v>0</v>
      </c>
      <c r="N137" s="59">
        <f t="shared" si="26"/>
        <v>0</v>
      </c>
      <c r="O137" s="59">
        <f t="shared" si="26"/>
        <v>0</v>
      </c>
      <c r="P137" s="59">
        <f t="shared" si="26"/>
        <v>0</v>
      </c>
      <c r="Q137" s="59">
        <f t="shared" si="26"/>
        <v>0</v>
      </c>
      <c r="R137" s="59">
        <f t="shared" si="26"/>
        <v>0</v>
      </c>
      <c r="S137" s="59">
        <f t="shared" si="26"/>
        <v>0</v>
      </c>
      <c r="T137" s="59">
        <f t="shared" si="26"/>
        <v>0</v>
      </c>
      <c r="U137" s="59">
        <f t="shared" si="26"/>
        <v>0</v>
      </c>
      <c r="V137" s="59">
        <f t="shared" si="26"/>
        <v>0</v>
      </c>
      <c r="W137" s="59">
        <f t="shared" si="26"/>
        <v>0</v>
      </c>
      <c r="X137" s="59">
        <f t="shared" si="26"/>
        <v>0</v>
      </c>
      <c r="Y137" s="59">
        <f t="shared" si="26"/>
        <v>0</v>
      </c>
      <c r="Z137" s="59">
        <f t="shared" ref="Z137" si="28">Z100-Z99</f>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c r="D138" s="9" t="s">
        <v>77</v>
      </c>
      <c r="F138" s="59">
        <f t="shared" si="27"/>
        <v>0</v>
      </c>
      <c r="G138" s="59">
        <f t="shared" si="27"/>
        <v>0</v>
      </c>
      <c r="H138" s="59">
        <f t="shared" si="26"/>
        <v>0</v>
      </c>
      <c r="I138" s="59">
        <f t="shared" si="26"/>
        <v>0</v>
      </c>
      <c r="J138" s="59">
        <f t="shared" si="26"/>
        <v>0</v>
      </c>
      <c r="K138" s="59">
        <f t="shared" si="26"/>
        <v>0</v>
      </c>
      <c r="L138" s="59">
        <f t="shared" si="26"/>
        <v>0</v>
      </c>
      <c r="M138" s="59">
        <f t="shared" si="26"/>
        <v>0</v>
      </c>
      <c r="N138" s="59">
        <f t="shared" si="26"/>
        <v>0</v>
      </c>
      <c r="O138" s="59">
        <f t="shared" si="26"/>
        <v>0</v>
      </c>
      <c r="P138" s="59">
        <f t="shared" si="26"/>
        <v>0</v>
      </c>
      <c r="Q138" s="59">
        <f t="shared" si="26"/>
        <v>0</v>
      </c>
      <c r="R138" s="59">
        <f t="shared" si="26"/>
        <v>0</v>
      </c>
      <c r="S138" s="59">
        <f t="shared" si="26"/>
        <v>0</v>
      </c>
      <c r="T138" s="59">
        <f t="shared" si="26"/>
        <v>0</v>
      </c>
      <c r="U138" s="59">
        <f t="shared" si="26"/>
        <v>0</v>
      </c>
      <c r="V138" s="59">
        <f t="shared" si="26"/>
        <v>0</v>
      </c>
      <c r="W138" s="59">
        <f t="shared" si="26"/>
        <v>0</v>
      </c>
      <c r="X138" s="59">
        <f t="shared" si="26"/>
        <v>0</v>
      </c>
      <c r="Y138" s="59">
        <f t="shared" si="26"/>
        <v>0</v>
      </c>
      <c r="Z138" s="59">
        <f t="shared" ref="Z138" si="29">Z101-Z100</f>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D139" s="9" t="s">
        <v>80</v>
      </c>
      <c r="F139" s="59">
        <f t="shared" si="27"/>
        <v>0</v>
      </c>
      <c r="G139" s="59">
        <f t="shared" si="27"/>
        <v>0</v>
      </c>
      <c r="H139" s="59">
        <f t="shared" si="26"/>
        <v>0</v>
      </c>
      <c r="I139" s="59">
        <f t="shared" si="26"/>
        <v>0</v>
      </c>
      <c r="J139" s="59">
        <f t="shared" si="26"/>
        <v>0</v>
      </c>
      <c r="K139" s="59">
        <f t="shared" si="26"/>
        <v>0</v>
      </c>
      <c r="L139" s="59">
        <f t="shared" si="26"/>
        <v>0</v>
      </c>
      <c r="M139" s="59">
        <f t="shared" si="26"/>
        <v>0</v>
      </c>
      <c r="N139" s="59">
        <f t="shared" si="26"/>
        <v>0</v>
      </c>
      <c r="O139" s="59">
        <f t="shared" si="26"/>
        <v>0</v>
      </c>
      <c r="P139" s="59">
        <f t="shared" si="26"/>
        <v>0</v>
      </c>
      <c r="Q139" s="59">
        <f t="shared" si="26"/>
        <v>0</v>
      </c>
      <c r="R139" s="59">
        <f t="shared" si="26"/>
        <v>0</v>
      </c>
      <c r="S139" s="59">
        <f t="shared" si="26"/>
        <v>0</v>
      </c>
      <c r="T139" s="59">
        <f t="shared" si="26"/>
        <v>0</v>
      </c>
      <c r="U139" s="59">
        <f t="shared" si="26"/>
        <v>0</v>
      </c>
      <c r="V139" s="59">
        <f t="shared" si="26"/>
        <v>0</v>
      </c>
      <c r="W139" s="59">
        <f t="shared" si="26"/>
        <v>0</v>
      </c>
      <c r="X139" s="59">
        <f t="shared" si="26"/>
        <v>0</v>
      </c>
      <c r="Y139" s="59">
        <f t="shared" si="26"/>
        <v>0</v>
      </c>
      <c r="Z139" s="59">
        <f t="shared" ref="Z139" si="30">Z102-Z101</f>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c r="D140" s="9" t="s">
        <v>83</v>
      </c>
      <c r="F140" s="59">
        <f t="shared" ca="1" si="27"/>
        <v>0.62708156893977041</v>
      </c>
      <c r="G140" s="59">
        <f t="shared" ca="1" si="27"/>
        <v>0.90690924255901051</v>
      </c>
      <c r="H140" s="59">
        <f t="shared" ca="1" si="26"/>
        <v>1.0838631694246614</v>
      </c>
      <c r="I140" s="59">
        <f t="shared" ca="1" si="26"/>
        <v>1.188829787577693</v>
      </c>
      <c r="J140" s="59">
        <f t="shared" ca="1" si="26"/>
        <v>1.250549693095782</v>
      </c>
      <c r="K140" s="59">
        <f t="shared" ca="1" si="26"/>
        <v>1.3524142067876697</v>
      </c>
      <c r="L140" s="59">
        <f t="shared" ca="1" si="26"/>
        <v>1.3417748541043641</v>
      </c>
      <c r="M140" s="59">
        <f t="shared" ca="1" si="26"/>
        <v>1.3230229272273248</v>
      </c>
      <c r="N140" s="59">
        <f t="shared" ca="1" si="26"/>
        <v>1.3027711411524339</v>
      </c>
      <c r="O140" s="59">
        <f t="shared" ca="1" si="26"/>
        <v>1.2822014973414844</v>
      </c>
      <c r="P140" s="59">
        <f t="shared" ca="1" si="26"/>
        <v>1.2617031676150703</v>
      </c>
      <c r="Q140" s="59">
        <f t="shared" ca="1" si="26"/>
        <v>1.2429526303198004</v>
      </c>
      <c r="R140" s="59">
        <f t="shared" ca="1" si="26"/>
        <v>1.2258192492407181</v>
      </c>
      <c r="S140" s="59">
        <f t="shared" ca="1" si="26"/>
        <v>1.2088263048692345</v>
      </c>
      <c r="T140" s="59">
        <f t="shared" ca="1" si="26"/>
        <v>1.1932362111475807</v>
      </c>
      <c r="U140" s="59">
        <f t="shared" ca="1" si="26"/>
        <v>1.1772539301730123</v>
      </c>
      <c r="V140" s="59">
        <f t="shared" ca="1" si="26"/>
        <v>1.1607348081600781</v>
      </c>
      <c r="W140" s="59">
        <f t="shared" ca="1" si="26"/>
        <v>1.1439681292792143</v>
      </c>
      <c r="X140" s="59">
        <f t="shared" ca="1" si="26"/>
        <v>1.1284303779986746</v>
      </c>
      <c r="Y140" s="59">
        <f t="shared" ca="1" si="26"/>
        <v>1.1134992574502798</v>
      </c>
      <c r="Z140" s="59">
        <f t="shared" ref="Z140" ca="1" si="31">Z103-Z102</f>
        <v>6.0780585034919685</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c r="D141" s="9" t="s">
        <v>86</v>
      </c>
      <c r="F141" s="59">
        <f t="shared" ca="1" si="27"/>
        <v>0</v>
      </c>
      <c r="G141" s="59">
        <f t="shared" ca="1" si="27"/>
        <v>0</v>
      </c>
      <c r="H141" s="59">
        <f t="shared" ca="1" si="26"/>
        <v>0</v>
      </c>
      <c r="I141" s="59">
        <f t="shared" ca="1" si="26"/>
        <v>0</v>
      </c>
      <c r="J141" s="59">
        <f t="shared" ca="1" si="26"/>
        <v>0</v>
      </c>
      <c r="K141" s="59">
        <f t="shared" ca="1" si="26"/>
        <v>0</v>
      </c>
      <c r="L141" s="59">
        <f t="shared" ca="1" si="26"/>
        <v>0</v>
      </c>
      <c r="M141" s="59">
        <f t="shared" ca="1" si="26"/>
        <v>0</v>
      </c>
      <c r="N141" s="59">
        <f t="shared" ca="1" si="26"/>
        <v>0</v>
      </c>
      <c r="O141" s="59">
        <f t="shared" ca="1" si="26"/>
        <v>0</v>
      </c>
      <c r="P141" s="59">
        <f t="shared" ca="1" si="26"/>
        <v>0</v>
      </c>
      <c r="Q141" s="59">
        <f t="shared" ca="1" si="26"/>
        <v>0</v>
      </c>
      <c r="R141" s="59">
        <f t="shared" ca="1" si="26"/>
        <v>0</v>
      </c>
      <c r="S141" s="59">
        <f t="shared" ca="1" si="26"/>
        <v>0</v>
      </c>
      <c r="T141" s="59">
        <f t="shared" ca="1" si="26"/>
        <v>0</v>
      </c>
      <c r="U141" s="59">
        <f t="shared" ca="1" si="26"/>
        <v>0</v>
      </c>
      <c r="V141" s="59">
        <f t="shared" ca="1" si="26"/>
        <v>0</v>
      </c>
      <c r="W141" s="59">
        <f t="shared" ca="1" si="26"/>
        <v>0</v>
      </c>
      <c r="X141" s="59">
        <f t="shared" ca="1" si="26"/>
        <v>0</v>
      </c>
      <c r="Y141" s="59">
        <f t="shared" ca="1" si="26"/>
        <v>0</v>
      </c>
      <c r="Z141" s="59">
        <f t="shared" ref="Z141" ca="1" si="32">Z104-Z103</f>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c r="D142" s="9" t="s">
        <v>89</v>
      </c>
      <c r="F142" s="59">
        <f t="shared" ca="1" si="27"/>
        <v>0</v>
      </c>
      <c r="G142" s="59">
        <f t="shared" ca="1" si="27"/>
        <v>0</v>
      </c>
      <c r="H142" s="59">
        <f t="shared" ca="1" si="26"/>
        <v>0</v>
      </c>
      <c r="I142" s="59">
        <f t="shared" ca="1" si="26"/>
        <v>0</v>
      </c>
      <c r="J142" s="59">
        <f t="shared" ca="1" si="26"/>
        <v>0</v>
      </c>
      <c r="K142" s="59">
        <f t="shared" ca="1" si="26"/>
        <v>0</v>
      </c>
      <c r="L142" s="59">
        <f t="shared" ca="1" si="26"/>
        <v>0</v>
      </c>
      <c r="M142" s="59">
        <f t="shared" ca="1" si="26"/>
        <v>0</v>
      </c>
      <c r="N142" s="59">
        <f t="shared" ca="1" si="26"/>
        <v>0</v>
      </c>
      <c r="O142" s="59">
        <f t="shared" ca="1" si="26"/>
        <v>0</v>
      </c>
      <c r="P142" s="59">
        <f t="shared" ca="1" si="26"/>
        <v>0</v>
      </c>
      <c r="Q142" s="59">
        <f t="shared" ca="1" si="26"/>
        <v>0</v>
      </c>
      <c r="R142" s="59">
        <f t="shared" ca="1" si="26"/>
        <v>0</v>
      </c>
      <c r="S142" s="59">
        <f t="shared" ca="1" si="26"/>
        <v>0</v>
      </c>
      <c r="T142" s="59">
        <f t="shared" ca="1" si="26"/>
        <v>0</v>
      </c>
      <c r="U142" s="59">
        <f t="shared" ca="1" si="26"/>
        <v>0</v>
      </c>
      <c r="V142" s="59">
        <f t="shared" ca="1" si="26"/>
        <v>0</v>
      </c>
      <c r="W142" s="59">
        <f t="shared" ca="1" si="26"/>
        <v>0</v>
      </c>
      <c r="X142" s="59">
        <f t="shared" ca="1" si="26"/>
        <v>0</v>
      </c>
      <c r="Y142" s="59">
        <f t="shared" ca="1" si="26"/>
        <v>0</v>
      </c>
      <c r="Z142" s="59">
        <f t="shared" ref="Z142" ca="1" si="33">Z105-Z104</f>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9" t="s">
        <v>92</v>
      </c>
      <c r="F143" s="59">
        <f t="shared" ca="1" si="27"/>
        <v>0</v>
      </c>
      <c r="G143" s="59">
        <f t="shared" ca="1" si="27"/>
        <v>0</v>
      </c>
      <c r="H143" s="59">
        <f t="shared" ca="1" si="26"/>
        <v>0</v>
      </c>
      <c r="I143" s="59">
        <f t="shared" ca="1" si="26"/>
        <v>0</v>
      </c>
      <c r="J143" s="59">
        <f t="shared" ca="1" si="26"/>
        <v>0</v>
      </c>
      <c r="K143" s="59">
        <f t="shared" ca="1" si="26"/>
        <v>0</v>
      </c>
      <c r="L143" s="59">
        <f t="shared" ca="1" si="26"/>
        <v>0</v>
      </c>
      <c r="M143" s="59">
        <f t="shared" ca="1" si="26"/>
        <v>0</v>
      </c>
      <c r="N143" s="59">
        <f t="shared" ca="1" si="26"/>
        <v>0</v>
      </c>
      <c r="O143" s="59">
        <f t="shared" ca="1" si="26"/>
        <v>0</v>
      </c>
      <c r="P143" s="59">
        <f t="shared" ca="1" si="26"/>
        <v>0</v>
      </c>
      <c r="Q143" s="59">
        <f t="shared" ca="1" si="26"/>
        <v>0</v>
      </c>
      <c r="R143" s="59">
        <f t="shared" ca="1" si="26"/>
        <v>0</v>
      </c>
      <c r="S143" s="59">
        <f t="shared" ca="1" si="26"/>
        <v>0</v>
      </c>
      <c r="T143" s="59">
        <f t="shared" ca="1" si="26"/>
        <v>0</v>
      </c>
      <c r="U143" s="59">
        <f t="shared" ca="1" si="26"/>
        <v>0</v>
      </c>
      <c r="V143" s="59">
        <f t="shared" ca="1" si="26"/>
        <v>0</v>
      </c>
      <c r="W143" s="59">
        <f t="shared" ca="1" si="26"/>
        <v>0</v>
      </c>
      <c r="X143" s="59">
        <f t="shared" ca="1" si="26"/>
        <v>0</v>
      </c>
      <c r="Y143" s="59">
        <f t="shared" ca="1" si="26"/>
        <v>0</v>
      </c>
      <c r="Z143" s="59">
        <f t="shared" ref="Z143" ca="1" si="34">Z106-Z105</f>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9" t="s">
        <v>95</v>
      </c>
      <c r="F144" s="59">
        <f t="shared" ca="1" si="27"/>
        <v>0</v>
      </c>
      <c r="G144" s="59">
        <f t="shared" ca="1" si="27"/>
        <v>0</v>
      </c>
      <c r="H144" s="59">
        <f t="shared" ca="1" si="26"/>
        <v>0</v>
      </c>
      <c r="I144" s="59">
        <f t="shared" ca="1" si="26"/>
        <v>0</v>
      </c>
      <c r="J144" s="59">
        <f t="shared" ca="1" si="26"/>
        <v>0</v>
      </c>
      <c r="K144" s="59">
        <f t="shared" ca="1" si="26"/>
        <v>0</v>
      </c>
      <c r="L144" s="59">
        <f t="shared" ca="1" si="26"/>
        <v>0</v>
      </c>
      <c r="M144" s="59">
        <f t="shared" ca="1" si="26"/>
        <v>0</v>
      </c>
      <c r="N144" s="59">
        <f t="shared" ca="1" si="26"/>
        <v>0</v>
      </c>
      <c r="O144" s="59">
        <f t="shared" ca="1" si="26"/>
        <v>0</v>
      </c>
      <c r="P144" s="59">
        <f t="shared" ca="1" si="26"/>
        <v>0</v>
      </c>
      <c r="Q144" s="59">
        <f t="shared" ca="1" si="26"/>
        <v>0</v>
      </c>
      <c r="R144" s="59">
        <f t="shared" ca="1" si="26"/>
        <v>0</v>
      </c>
      <c r="S144" s="59">
        <f t="shared" ca="1" si="26"/>
        <v>0</v>
      </c>
      <c r="T144" s="59">
        <f t="shared" ca="1" si="26"/>
        <v>0</v>
      </c>
      <c r="U144" s="59">
        <f t="shared" ca="1" si="26"/>
        <v>0</v>
      </c>
      <c r="V144" s="59">
        <f t="shared" ca="1" si="26"/>
        <v>0</v>
      </c>
      <c r="W144" s="59">
        <f t="shared" ca="1" si="26"/>
        <v>0</v>
      </c>
      <c r="X144" s="59">
        <f t="shared" ca="1" si="26"/>
        <v>0</v>
      </c>
      <c r="Y144" s="59">
        <f t="shared" ca="1" si="26"/>
        <v>0</v>
      </c>
      <c r="Z144" s="59">
        <f t="shared" ref="Z144" ca="1" si="35">Z107-Z106</f>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9" t="s">
        <v>98</v>
      </c>
      <c r="F145" s="59">
        <f t="shared" ca="1" si="27"/>
        <v>0</v>
      </c>
      <c r="G145" s="59">
        <f t="shared" ca="1" si="27"/>
        <v>0</v>
      </c>
      <c r="H145" s="59">
        <f t="shared" ca="1" si="26"/>
        <v>0</v>
      </c>
      <c r="I145" s="59">
        <f t="shared" ca="1" si="26"/>
        <v>0</v>
      </c>
      <c r="J145" s="59">
        <f t="shared" ca="1" si="26"/>
        <v>0</v>
      </c>
      <c r="K145" s="59">
        <f t="shared" ca="1" si="26"/>
        <v>0</v>
      </c>
      <c r="L145" s="59">
        <f t="shared" ca="1" si="26"/>
        <v>0</v>
      </c>
      <c r="M145" s="59">
        <f t="shared" ca="1" si="26"/>
        <v>0</v>
      </c>
      <c r="N145" s="59">
        <f t="shared" ca="1" si="26"/>
        <v>0</v>
      </c>
      <c r="O145" s="59">
        <f t="shared" ca="1" si="26"/>
        <v>0</v>
      </c>
      <c r="P145" s="59">
        <f t="shared" ca="1" si="26"/>
        <v>0</v>
      </c>
      <c r="Q145" s="59">
        <f t="shared" ca="1" si="26"/>
        <v>0</v>
      </c>
      <c r="R145" s="59">
        <f t="shared" ca="1" si="26"/>
        <v>0</v>
      </c>
      <c r="S145" s="59">
        <f t="shared" ca="1" si="26"/>
        <v>0</v>
      </c>
      <c r="T145" s="59">
        <f t="shared" ca="1" si="26"/>
        <v>0</v>
      </c>
      <c r="U145" s="59">
        <f t="shared" ca="1" si="26"/>
        <v>0</v>
      </c>
      <c r="V145" s="59">
        <f t="shared" ca="1" si="26"/>
        <v>0</v>
      </c>
      <c r="W145" s="59">
        <f t="shared" ca="1" si="26"/>
        <v>0</v>
      </c>
      <c r="X145" s="59">
        <f t="shared" ca="1" si="26"/>
        <v>0</v>
      </c>
      <c r="Y145" s="59">
        <f t="shared" ca="1" si="26"/>
        <v>0</v>
      </c>
      <c r="Z145" s="59">
        <f t="shared" ref="Z145" ca="1" si="36">Z108-Z107</f>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9" t="s">
        <v>101</v>
      </c>
      <c r="F146" s="59">
        <f t="shared" ca="1" si="27"/>
        <v>0</v>
      </c>
      <c r="G146" s="59">
        <f t="shared" ca="1" si="27"/>
        <v>0</v>
      </c>
      <c r="H146" s="59">
        <f t="shared" ca="1" si="26"/>
        <v>0</v>
      </c>
      <c r="I146" s="59">
        <f t="shared" ca="1" si="26"/>
        <v>0</v>
      </c>
      <c r="J146" s="59">
        <f t="shared" ca="1" si="26"/>
        <v>0</v>
      </c>
      <c r="K146" s="59">
        <f t="shared" ca="1" si="26"/>
        <v>0</v>
      </c>
      <c r="L146" s="59">
        <f t="shared" ca="1" si="26"/>
        <v>0</v>
      </c>
      <c r="M146" s="59">
        <f t="shared" ca="1" si="26"/>
        <v>0</v>
      </c>
      <c r="N146" s="59">
        <f t="shared" ca="1" si="26"/>
        <v>0</v>
      </c>
      <c r="O146" s="59">
        <f t="shared" ca="1" si="26"/>
        <v>0</v>
      </c>
      <c r="P146" s="59">
        <f t="shared" ca="1" si="26"/>
        <v>0</v>
      </c>
      <c r="Q146" s="59">
        <f t="shared" ca="1" si="26"/>
        <v>0</v>
      </c>
      <c r="R146" s="59">
        <f t="shared" ca="1" si="26"/>
        <v>0</v>
      </c>
      <c r="S146" s="59">
        <f t="shared" ca="1" si="26"/>
        <v>0</v>
      </c>
      <c r="T146" s="59">
        <f t="shared" ca="1" si="26"/>
        <v>0</v>
      </c>
      <c r="U146" s="59">
        <f t="shared" ca="1" si="26"/>
        <v>0</v>
      </c>
      <c r="V146" s="59">
        <f t="shared" ca="1" si="26"/>
        <v>0</v>
      </c>
      <c r="W146" s="59">
        <f t="shared" ca="1" si="26"/>
        <v>0</v>
      </c>
      <c r="X146" s="59">
        <f t="shared" ca="1" si="26"/>
        <v>0</v>
      </c>
      <c r="Y146" s="59">
        <f t="shared" ca="1" si="26"/>
        <v>0</v>
      </c>
      <c r="Z146" s="59">
        <f t="shared" ref="Z146" ca="1" si="37">Z109-Z108</f>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9" t="s">
        <v>104</v>
      </c>
      <c r="F147" s="59">
        <f t="shared" ca="1" si="27"/>
        <v>0</v>
      </c>
      <c r="G147" s="59">
        <f t="shared" ca="1" si="27"/>
        <v>0</v>
      </c>
      <c r="H147" s="59">
        <f t="shared" ca="1" si="26"/>
        <v>0</v>
      </c>
      <c r="I147" s="59">
        <f t="shared" ca="1" si="26"/>
        <v>0</v>
      </c>
      <c r="J147" s="59">
        <f t="shared" ca="1" si="26"/>
        <v>0</v>
      </c>
      <c r="K147" s="59">
        <f t="shared" ca="1" si="26"/>
        <v>0</v>
      </c>
      <c r="L147" s="59">
        <f t="shared" ca="1" si="26"/>
        <v>0</v>
      </c>
      <c r="M147" s="59">
        <f t="shared" ca="1" si="26"/>
        <v>0</v>
      </c>
      <c r="N147" s="59">
        <f t="shared" ca="1" si="26"/>
        <v>0</v>
      </c>
      <c r="O147" s="59">
        <f t="shared" ca="1" si="26"/>
        <v>0</v>
      </c>
      <c r="P147" s="59">
        <f t="shared" ca="1" si="26"/>
        <v>0</v>
      </c>
      <c r="Q147" s="59">
        <f t="shared" ca="1" si="26"/>
        <v>0</v>
      </c>
      <c r="R147" s="59">
        <f t="shared" ca="1" si="26"/>
        <v>0</v>
      </c>
      <c r="S147" s="59">
        <f t="shared" ca="1" si="26"/>
        <v>0</v>
      </c>
      <c r="T147" s="59">
        <f t="shared" ca="1" si="26"/>
        <v>0</v>
      </c>
      <c r="U147" s="59">
        <f t="shared" ca="1" si="26"/>
        <v>0</v>
      </c>
      <c r="V147" s="59">
        <f t="shared" ca="1" si="26"/>
        <v>0</v>
      </c>
      <c r="W147" s="59">
        <f t="shared" ca="1" si="26"/>
        <v>0</v>
      </c>
      <c r="X147" s="59">
        <f t="shared" ca="1" si="26"/>
        <v>0</v>
      </c>
      <c r="Y147" s="59">
        <f t="shared" ca="1" si="26"/>
        <v>0</v>
      </c>
      <c r="Z147" s="59">
        <f t="shared" ref="Z147" ca="1" si="38">Z110-Z109</f>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9" t="s">
        <v>107</v>
      </c>
      <c r="F148" s="59">
        <f t="shared" ca="1" si="27"/>
        <v>0</v>
      </c>
      <c r="G148" s="59">
        <f t="shared" ca="1" si="27"/>
        <v>0</v>
      </c>
      <c r="H148" s="59">
        <f t="shared" ca="1" si="26"/>
        <v>0</v>
      </c>
      <c r="I148" s="59">
        <f t="shared" ca="1" si="26"/>
        <v>0</v>
      </c>
      <c r="J148" s="59">
        <f t="shared" ca="1" si="26"/>
        <v>0</v>
      </c>
      <c r="K148" s="59">
        <f t="shared" ca="1" si="26"/>
        <v>0</v>
      </c>
      <c r="L148" s="59">
        <f t="shared" ca="1" si="26"/>
        <v>0</v>
      </c>
      <c r="M148" s="59">
        <f t="shared" ca="1" si="26"/>
        <v>0</v>
      </c>
      <c r="N148" s="59">
        <f t="shared" ca="1" si="26"/>
        <v>0</v>
      </c>
      <c r="O148" s="59">
        <f t="shared" ca="1" si="26"/>
        <v>0</v>
      </c>
      <c r="P148" s="59">
        <f t="shared" ca="1" si="26"/>
        <v>0</v>
      </c>
      <c r="Q148" s="59">
        <f t="shared" ca="1" si="26"/>
        <v>0</v>
      </c>
      <c r="R148" s="59">
        <f t="shared" ca="1" si="26"/>
        <v>0</v>
      </c>
      <c r="S148" s="59">
        <f t="shared" ca="1" si="26"/>
        <v>0</v>
      </c>
      <c r="T148" s="59">
        <f t="shared" ca="1" si="26"/>
        <v>0</v>
      </c>
      <c r="U148" s="59">
        <f t="shared" ca="1" si="26"/>
        <v>0</v>
      </c>
      <c r="V148" s="59">
        <f t="shared" ca="1" si="26"/>
        <v>0</v>
      </c>
      <c r="W148" s="59">
        <f t="shared" ca="1" si="26"/>
        <v>0</v>
      </c>
      <c r="X148" s="59">
        <f t="shared" ca="1" si="26"/>
        <v>0</v>
      </c>
      <c r="Y148" s="59">
        <f t="shared" ca="1" si="26"/>
        <v>0</v>
      </c>
      <c r="Z148" s="59">
        <f t="shared" ref="Z148" ca="1" si="39">Z111-Z110</f>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9" t="s">
        <v>110</v>
      </c>
      <c r="F149" s="59">
        <f t="shared" ca="1" si="27"/>
        <v>0</v>
      </c>
      <c r="G149" s="59">
        <f t="shared" ca="1" si="27"/>
        <v>0</v>
      </c>
      <c r="H149" s="59">
        <f t="shared" ca="1" si="26"/>
        <v>0</v>
      </c>
      <c r="I149" s="59">
        <f t="shared" ca="1" si="26"/>
        <v>0</v>
      </c>
      <c r="J149" s="59">
        <f t="shared" ca="1" si="26"/>
        <v>0</v>
      </c>
      <c r="K149" s="59">
        <f t="shared" ca="1" si="26"/>
        <v>0</v>
      </c>
      <c r="L149" s="59">
        <f t="shared" ca="1" si="26"/>
        <v>0</v>
      </c>
      <c r="M149" s="59">
        <f t="shared" ca="1" si="26"/>
        <v>0</v>
      </c>
      <c r="N149" s="59">
        <f t="shared" ca="1" si="26"/>
        <v>0</v>
      </c>
      <c r="O149" s="59">
        <f t="shared" ca="1" si="26"/>
        <v>0</v>
      </c>
      <c r="P149" s="59">
        <f t="shared" ca="1" si="26"/>
        <v>0</v>
      </c>
      <c r="Q149" s="59">
        <f t="shared" ref="Q149:Z152" ca="1" si="40">Q112-Q111</f>
        <v>0</v>
      </c>
      <c r="R149" s="59">
        <f t="shared" ca="1" si="40"/>
        <v>0</v>
      </c>
      <c r="S149" s="59">
        <f t="shared" ca="1" si="40"/>
        <v>0</v>
      </c>
      <c r="T149" s="59">
        <f t="shared" ca="1" si="40"/>
        <v>0</v>
      </c>
      <c r="U149" s="59">
        <f t="shared" ca="1" si="40"/>
        <v>0</v>
      </c>
      <c r="V149" s="59">
        <f t="shared" ca="1" si="40"/>
        <v>0</v>
      </c>
      <c r="W149" s="59">
        <f t="shared" ca="1" si="40"/>
        <v>0</v>
      </c>
      <c r="X149" s="59">
        <f t="shared" ca="1" si="40"/>
        <v>0</v>
      </c>
      <c r="Y149" s="59">
        <f t="shared" ca="1" si="40"/>
        <v>0</v>
      </c>
      <c r="Z149" s="59">
        <f t="shared" ca="1" si="40"/>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9" t="s">
        <v>113</v>
      </c>
      <c r="F150" s="59">
        <f t="shared" ca="1" si="27"/>
        <v>0</v>
      </c>
      <c r="G150" s="59">
        <f t="shared" ca="1" si="27"/>
        <v>0</v>
      </c>
      <c r="H150" s="59">
        <f t="shared" ca="1" si="27"/>
        <v>0</v>
      </c>
      <c r="I150" s="59">
        <f t="shared" ca="1" si="27"/>
        <v>0</v>
      </c>
      <c r="J150" s="59">
        <f t="shared" ca="1" si="27"/>
        <v>0</v>
      </c>
      <c r="K150" s="59">
        <f t="shared" ca="1" si="27"/>
        <v>0</v>
      </c>
      <c r="L150" s="59">
        <f t="shared" ca="1" si="27"/>
        <v>0</v>
      </c>
      <c r="M150" s="59">
        <f t="shared" ca="1" si="27"/>
        <v>0</v>
      </c>
      <c r="N150" s="59">
        <f t="shared" ca="1" si="27"/>
        <v>0</v>
      </c>
      <c r="O150" s="59">
        <f t="shared" ca="1" si="27"/>
        <v>0</v>
      </c>
      <c r="P150" s="59">
        <f t="shared" ca="1" si="27"/>
        <v>0</v>
      </c>
      <c r="Q150" s="59">
        <f t="shared" ca="1" si="27"/>
        <v>0</v>
      </c>
      <c r="R150" s="59">
        <f t="shared" ca="1" si="27"/>
        <v>0</v>
      </c>
      <c r="S150" s="59">
        <f t="shared" ca="1" si="27"/>
        <v>0</v>
      </c>
      <c r="T150" s="59">
        <f t="shared" ca="1" si="27"/>
        <v>0</v>
      </c>
      <c r="U150" s="59">
        <f t="shared" ca="1" si="27"/>
        <v>0</v>
      </c>
      <c r="V150" s="59">
        <f t="shared" ca="1" si="40"/>
        <v>0</v>
      </c>
      <c r="W150" s="59">
        <f t="shared" ca="1" si="40"/>
        <v>0</v>
      </c>
      <c r="X150" s="59">
        <f t="shared" ca="1" si="40"/>
        <v>0</v>
      </c>
      <c r="Y150" s="59">
        <f t="shared" ca="1" si="40"/>
        <v>0</v>
      </c>
      <c r="Z150" s="59">
        <f t="shared" ca="1" si="40"/>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9" t="s">
        <v>116</v>
      </c>
      <c r="F151" s="59">
        <f t="shared" ca="1" si="27"/>
        <v>0</v>
      </c>
      <c r="G151" s="59">
        <f t="shared" ca="1" si="27"/>
        <v>0</v>
      </c>
      <c r="H151" s="59">
        <f t="shared" ca="1" si="27"/>
        <v>0</v>
      </c>
      <c r="I151" s="59">
        <f t="shared" ca="1" si="27"/>
        <v>0</v>
      </c>
      <c r="J151" s="59">
        <f t="shared" ca="1" si="27"/>
        <v>0</v>
      </c>
      <c r="K151" s="59">
        <f t="shared" ca="1" si="27"/>
        <v>0</v>
      </c>
      <c r="L151" s="59">
        <f t="shared" ca="1" si="27"/>
        <v>0</v>
      </c>
      <c r="M151" s="59">
        <f t="shared" ca="1" si="27"/>
        <v>0</v>
      </c>
      <c r="N151" s="59">
        <f t="shared" ca="1" si="27"/>
        <v>0</v>
      </c>
      <c r="O151" s="59">
        <f t="shared" ca="1" si="27"/>
        <v>0</v>
      </c>
      <c r="P151" s="59">
        <f t="shared" ca="1" si="27"/>
        <v>0</v>
      </c>
      <c r="Q151" s="59">
        <f t="shared" ca="1" si="27"/>
        <v>0</v>
      </c>
      <c r="R151" s="59">
        <f t="shared" ca="1" si="27"/>
        <v>0</v>
      </c>
      <c r="S151" s="59">
        <f t="shared" ca="1" si="27"/>
        <v>0</v>
      </c>
      <c r="T151" s="59">
        <f t="shared" ca="1" si="27"/>
        <v>0</v>
      </c>
      <c r="U151" s="59">
        <f t="shared" ca="1" si="27"/>
        <v>0</v>
      </c>
      <c r="V151" s="59">
        <f t="shared" ca="1" si="40"/>
        <v>0</v>
      </c>
      <c r="W151" s="59">
        <f t="shared" ca="1" si="40"/>
        <v>0</v>
      </c>
      <c r="X151" s="59">
        <f t="shared" ca="1" si="40"/>
        <v>0</v>
      </c>
      <c r="Y151" s="59">
        <f t="shared" ca="1" si="40"/>
        <v>0</v>
      </c>
      <c r="Z151" s="59">
        <f t="shared" ca="1" si="40"/>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9" t="s">
        <v>119</v>
      </c>
      <c r="F152" s="59">
        <f t="shared" ca="1" si="27"/>
        <v>0</v>
      </c>
      <c r="G152" s="59">
        <f t="shared" ca="1" si="27"/>
        <v>0</v>
      </c>
      <c r="H152" s="59">
        <f t="shared" ca="1" si="27"/>
        <v>0</v>
      </c>
      <c r="I152" s="59">
        <f t="shared" ca="1" si="27"/>
        <v>0</v>
      </c>
      <c r="J152" s="59">
        <f t="shared" ca="1" si="27"/>
        <v>0</v>
      </c>
      <c r="K152" s="59">
        <f t="shared" ca="1" si="27"/>
        <v>0</v>
      </c>
      <c r="L152" s="59">
        <f t="shared" ca="1" si="27"/>
        <v>0</v>
      </c>
      <c r="M152" s="59">
        <f t="shared" ca="1" si="27"/>
        <v>0</v>
      </c>
      <c r="N152" s="59">
        <f t="shared" ca="1" si="27"/>
        <v>0</v>
      </c>
      <c r="O152" s="59">
        <f t="shared" ca="1" si="27"/>
        <v>0</v>
      </c>
      <c r="P152" s="59">
        <f t="shared" ca="1" si="27"/>
        <v>0</v>
      </c>
      <c r="Q152" s="59">
        <f t="shared" ca="1" si="27"/>
        <v>0</v>
      </c>
      <c r="R152" s="59">
        <f t="shared" ca="1" si="27"/>
        <v>0</v>
      </c>
      <c r="S152" s="59">
        <f t="shared" ca="1" si="27"/>
        <v>0</v>
      </c>
      <c r="T152" s="59">
        <f t="shared" ca="1" si="27"/>
        <v>0</v>
      </c>
      <c r="U152" s="59">
        <f t="shared" ca="1" si="27"/>
        <v>0</v>
      </c>
      <c r="V152" s="59">
        <f t="shared" ca="1" si="40"/>
        <v>0</v>
      </c>
      <c r="W152" s="59">
        <f t="shared" ca="1" si="40"/>
        <v>0</v>
      </c>
      <c r="X152" s="59">
        <f t="shared" ca="1" si="40"/>
        <v>0</v>
      </c>
      <c r="Y152" s="59">
        <f t="shared" ca="1" si="40"/>
        <v>0</v>
      </c>
      <c r="Z152" s="59">
        <f t="shared" ca="1" si="40"/>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9" t="s">
        <v>122</v>
      </c>
      <c r="F153" s="59">
        <f t="shared" ref="F153:Z153" ca="1" si="41">F116-F115</f>
        <v>0</v>
      </c>
      <c r="G153" s="59">
        <f t="shared" ca="1" si="41"/>
        <v>0</v>
      </c>
      <c r="H153" s="59">
        <f t="shared" ca="1" si="41"/>
        <v>0</v>
      </c>
      <c r="I153" s="59">
        <f t="shared" ca="1" si="41"/>
        <v>0</v>
      </c>
      <c r="J153" s="59">
        <f t="shared" ca="1" si="41"/>
        <v>0</v>
      </c>
      <c r="K153" s="59">
        <f t="shared" ca="1" si="41"/>
        <v>0</v>
      </c>
      <c r="L153" s="59">
        <f t="shared" ca="1" si="41"/>
        <v>0</v>
      </c>
      <c r="M153" s="59">
        <f t="shared" ca="1" si="41"/>
        <v>0</v>
      </c>
      <c r="N153" s="59">
        <f t="shared" ca="1" si="41"/>
        <v>0</v>
      </c>
      <c r="O153" s="59">
        <f t="shared" ca="1" si="41"/>
        <v>0</v>
      </c>
      <c r="P153" s="59">
        <f t="shared" ca="1" si="41"/>
        <v>0</v>
      </c>
      <c r="Q153" s="59">
        <f t="shared" ca="1" si="41"/>
        <v>0</v>
      </c>
      <c r="R153" s="59">
        <f t="shared" ca="1" si="41"/>
        <v>0</v>
      </c>
      <c r="S153" s="59">
        <f t="shared" ca="1" si="41"/>
        <v>0</v>
      </c>
      <c r="T153" s="59">
        <f t="shared" ca="1" si="41"/>
        <v>0</v>
      </c>
      <c r="U153" s="59">
        <f t="shared" ca="1" si="41"/>
        <v>0</v>
      </c>
      <c r="V153" s="59">
        <f t="shared" ca="1" si="41"/>
        <v>0</v>
      </c>
      <c r="W153" s="59">
        <f t="shared" ca="1" si="41"/>
        <v>0</v>
      </c>
      <c r="X153" s="59">
        <f t="shared" ca="1" si="41"/>
        <v>0</v>
      </c>
      <c r="Y153" s="59">
        <f t="shared" ca="1" si="41"/>
        <v>0</v>
      </c>
      <c r="Z153" s="59">
        <f t="shared" ca="1" si="41"/>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9" t="s">
        <v>125</v>
      </c>
      <c r="F154" s="59">
        <f t="shared" ref="F154:Z154" ca="1" si="42">F117-F116</f>
        <v>0</v>
      </c>
      <c r="G154" s="59">
        <f t="shared" ca="1" si="42"/>
        <v>0</v>
      </c>
      <c r="H154" s="59">
        <f t="shared" ca="1" si="42"/>
        <v>0</v>
      </c>
      <c r="I154" s="59">
        <f t="shared" ca="1" si="42"/>
        <v>0</v>
      </c>
      <c r="J154" s="59">
        <f t="shared" ca="1" si="42"/>
        <v>0</v>
      </c>
      <c r="K154" s="59">
        <f t="shared" ca="1" si="42"/>
        <v>0</v>
      </c>
      <c r="L154" s="59">
        <f t="shared" ca="1" si="42"/>
        <v>0</v>
      </c>
      <c r="M154" s="59">
        <f t="shared" ca="1" si="42"/>
        <v>0</v>
      </c>
      <c r="N154" s="59">
        <f t="shared" ca="1" si="42"/>
        <v>0</v>
      </c>
      <c r="O154" s="59">
        <f t="shared" ca="1" si="42"/>
        <v>0</v>
      </c>
      <c r="P154" s="59">
        <f t="shared" ca="1" si="42"/>
        <v>0</v>
      </c>
      <c r="Q154" s="59">
        <f t="shared" ca="1" si="42"/>
        <v>0</v>
      </c>
      <c r="R154" s="59">
        <f t="shared" ca="1" si="42"/>
        <v>0</v>
      </c>
      <c r="S154" s="59">
        <f t="shared" ca="1" si="42"/>
        <v>0</v>
      </c>
      <c r="T154" s="59">
        <f t="shared" ca="1" si="42"/>
        <v>0</v>
      </c>
      <c r="U154" s="59">
        <f t="shared" ca="1" si="42"/>
        <v>0</v>
      </c>
      <c r="V154" s="59">
        <f t="shared" ca="1" si="42"/>
        <v>0</v>
      </c>
      <c r="W154" s="59">
        <f t="shared" ca="1" si="42"/>
        <v>0</v>
      </c>
      <c r="X154" s="59">
        <f t="shared" ca="1" si="42"/>
        <v>0</v>
      </c>
      <c r="Y154" s="59">
        <f t="shared" ca="1" si="42"/>
        <v>0</v>
      </c>
      <c r="Z154" s="59">
        <f t="shared" ca="1" si="42"/>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9" t="s">
        <v>128</v>
      </c>
      <c r="F155" s="59">
        <f t="shared" ref="F155:Z155" ca="1" si="43">F118-F117</f>
        <v>0</v>
      </c>
      <c r="G155" s="59">
        <f t="shared" ca="1" si="43"/>
        <v>0</v>
      </c>
      <c r="H155" s="59">
        <f t="shared" ca="1" si="43"/>
        <v>0</v>
      </c>
      <c r="I155" s="59">
        <f t="shared" ca="1" si="43"/>
        <v>0</v>
      </c>
      <c r="J155" s="59">
        <f t="shared" ca="1" si="43"/>
        <v>0</v>
      </c>
      <c r="K155" s="59">
        <f t="shared" ca="1" si="43"/>
        <v>0</v>
      </c>
      <c r="L155" s="59">
        <f t="shared" ca="1" si="43"/>
        <v>0</v>
      </c>
      <c r="M155" s="59">
        <f t="shared" ca="1" si="43"/>
        <v>0</v>
      </c>
      <c r="N155" s="59">
        <f t="shared" ca="1" si="43"/>
        <v>0</v>
      </c>
      <c r="O155" s="59">
        <f t="shared" ca="1" si="43"/>
        <v>0</v>
      </c>
      <c r="P155" s="59">
        <f t="shared" ca="1" si="43"/>
        <v>0</v>
      </c>
      <c r="Q155" s="59">
        <f t="shared" ca="1" si="43"/>
        <v>0</v>
      </c>
      <c r="R155" s="59">
        <f t="shared" ca="1" si="43"/>
        <v>0</v>
      </c>
      <c r="S155" s="59">
        <f t="shared" ca="1" si="43"/>
        <v>0</v>
      </c>
      <c r="T155" s="59">
        <f t="shared" ca="1" si="43"/>
        <v>0</v>
      </c>
      <c r="U155" s="59">
        <f t="shared" ca="1" si="43"/>
        <v>0</v>
      </c>
      <c r="V155" s="59">
        <f t="shared" ca="1" si="43"/>
        <v>0</v>
      </c>
      <c r="W155" s="59">
        <f t="shared" ca="1" si="43"/>
        <v>0</v>
      </c>
      <c r="X155" s="59">
        <f t="shared" ca="1" si="43"/>
        <v>0</v>
      </c>
      <c r="Y155" s="59">
        <f t="shared" ca="1" si="43"/>
        <v>0</v>
      </c>
      <c r="Z155" s="59">
        <f t="shared" ca="1" si="43"/>
        <v>0</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9" t="s">
        <v>534</v>
      </c>
      <c r="F156" s="59">
        <f t="shared" ref="F156:Z156" ca="1" si="44">F119-F118</f>
        <v>0</v>
      </c>
      <c r="G156" s="59">
        <f t="shared" ca="1" si="44"/>
        <v>0</v>
      </c>
      <c r="H156" s="59">
        <f t="shared" ca="1" si="44"/>
        <v>0</v>
      </c>
      <c r="I156" s="59">
        <f t="shared" ca="1" si="44"/>
        <v>0</v>
      </c>
      <c r="J156" s="59">
        <f t="shared" ca="1" si="44"/>
        <v>0</v>
      </c>
      <c r="K156" s="59">
        <f t="shared" ca="1" si="44"/>
        <v>0</v>
      </c>
      <c r="L156" s="59">
        <f t="shared" ca="1" si="44"/>
        <v>0</v>
      </c>
      <c r="M156" s="59">
        <f t="shared" ca="1" si="44"/>
        <v>0</v>
      </c>
      <c r="N156" s="59">
        <f t="shared" ca="1" si="44"/>
        <v>0</v>
      </c>
      <c r="O156" s="59">
        <f t="shared" ca="1" si="44"/>
        <v>0</v>
      </c>
      <c r="P156" s="59">
        <f t="shared" ca="1" si="44"/>
        <v>0</v>
      </c>
      <c r="Q156" s="59">
        <f t="shared" ca="1" si="44"/>
        <v>0</v>
      </c>
      <c r="R156" s="59">
        <f t="shared" ca="1" si="44"/>
        <v>0</v>
      </c>
      <c r="S156" s="59">
        <f t="shared" ca="1" si="44"/>
        <v>0</v>
      </c>
      <c r="T156" s="59">
        <f t="shared" ca="1" si="44"/>
        <v>0</v>
      </c>
      <c r="U156" s="59">
        <f t="shared" ca="1" si="44"/>
        <v>0</v>
      </c>
      <c r="V156" s="59">
        <f t="shared" ca="1" si="44"/>
        <v>0</v>
      </c>
      <c r="W156" s="59">
        <f t="shared" ca="1" si="44"/>
        <v>0</v>
      </c>
      <c r="X156" s="59">
        <f t="shared" ca="1" si="44"/>
        <v>0</v>
      </c>
      <c r="Y156" s="59">
        <f t="shared" ca="1" si="44"/>
        <v>0</v>
      </c>
      <c r="Z156" s="59">
        <f t="shared" ca="1" si="44"/>
        <v>0</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9" t="s">
        <v>536</v>
      </c>
      <c r="F157" s="59">
        <f t="shared" ref="F157:Z157" ca="1" si="45">F120-F119</f>
        <v>0</v>
      </c>
      <c r="G157" s="59">
        <f t="shared" ca="1" si="45"/>
        <v>0</v>
      </c>
      <c r="H157" s="59">
        <f t="shared" ca="1" si="45"/>
        <v>0</v>
      </c>
      <c r="I157" s="59">
        <f t="shared" ca="1" si="45"/>
        <v>0</v>
      </c>
      <c r="J157" s="59">
        <f t="shared" ca="1" si="45"/>
        <v>0</v>
      </c>
      <c r="K157" s="59">
        <f t="shared" ca="1" si="45"/>
        <v>0</v>
      </c>
      <c r="L157" s="59">
        <f t="shared" ca="1" si="45"/>
        <v>0</v>
      </c>
      <c r="M157" s="59">
        <f t="shared" ca="1" si="45"/>
        <v>0</v>
      </c>
      <c r="N157" s="59">
        <f t="shared" ca="1" si="45"/>
        <v>0</v>
      </c>
      <c r="O157" s="59">
        <f t="shared" ca="1" si="45"/>
        <v>0</v>
      </c>
      <c r="P157" s="59">
        <f t="shared" ca="1" si="45"/>
        <v>0</v>
      </c>
      <c r="Q157" s="59">
        <f t="shared" ca="1" si="45"/>
        <v>0</v>
      </c>
      <c r="R157" s="59">
        <f t="shared" ca="1" si="45"/>
        <v>0</v>
      </c>
      <c r="S157" s="59">
        <f t="shared" ca="1" si="45"/>
        <v>0</v>
      </c>
      <c r="T157" s="59">
        <f t="shared" ca="1" si="45"/>
        <v>0</v>
      </c>
      <c r="U157" s="59">
        <f t="shared" ca="1" si="45"/>
        <v>0</v>
      </c>
      <c r="V157" s="59">
        <f t="shared" ca="1" si="45"/>
        <v>0</v>
      </c>
      <c r="W157" s="59">
        <f t="shared" ca="1" si="45"/>
        <v>0</v>
      </c>
      <c r="X157" s="59">
        <f t="shared" ca="1" si="45"/>
        <v>0</v>
      </c>
      <c r="Y157" s="59">
        <f t="shared" ca="1" si="45"/>
        <v>0</v>
      </c>
      <c r="Z157" s="59">
        <f t="shared" ca="1" si="45"/>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9" t="s">
        <v>539</v>
      </c>
      <c r="F158" s="59">
        <f t="shared" ref="F158:Z158" ca="1" si="46">F121-F120</f>
        <v>0</v>
      </c>
      <c r="G158" s="59">
        <f t="shared" ca="1" si="46"/>
        <v>0</v>
      </c>
      <c r="H158" s="59">
        <f t="shared" ca="1" si="46"/>
        <v>0</v>
      </c>
      <c r="I158" s="59">
        <f t="shared" ca="1" si="46"/>
        <v>0</v>
      </c>
      <c r="J158" s="59">
        <f t="shared" ca="1" si="46"/>
        <v>0</v>
      </c>
      <c r="K158" s="59">
        <f t="shared" ca="1" si="46"/>
        <v>0</v>
      </c>
      <c r="L158" s="59">
        <f t="shared" ca="1" si="46"/>
        <v>0</v>
      </c>
      <c r="M158" s="59">
        <f t="shared" ca="1" si="46"/>
        <v>0</v>
      </c>
      <c r="N158" s="59">
        <f t="shared" ca="1" si="46"/>
        <v>0</v>
      </c>
      <c r="O158" s="59">
        <f t="shared" ca="1" si="46"/>
        <v>0</v>
      </c>
      <c r="P158" s="59">
        <f t="shared" ca="1" si="46"/>
        <v>0</v>
      </c>
      <c r="Q158" s="59">
        <f t="shared" ca="1" si="46"/>
        <v>0</v>
      </c>
      <c r="R158" s="59">
        <f t="shared" ca="1" si="46"/>
        <v>0</v>
      </c>
      <c r="S158" s="59">
        <f t="shared" ca="1" si="46"/>
        <v>0</v>
      </c>
      <c r="T158" s="59">
        <f t="shared" ca="1" si="46"/>
        <v>0</v>
      </c>
      <c r="U158" s="59">
        <f t="shared" ca="1" si="46"/>
        <v>0</v>
      </c>
      <c r="V158" s="59">
        <f t="shared" ca="1" si="46"/>
        <v>0</v>
      </c>
      <c r="W158" s="59">
        <f t="shared" ca="1" si="46"/>
        <v>0</v>
      </c>
      <c r="X158" s="59">
        <f t="shared" ca="1" si="46"/>
        <v>0</v>
      </c>
      <c r="Y158" s="59">
        <f t="shared" ca="1" si="46"/>
        <v>0</v>
      </c>
      <c r="Z158" s="59">
        <f t="shared" ca="1" si="46"/>
        <v>0</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9" t="s">
        <v>542</v>
      </c>
      <c r="F159" s="59">
        <f t="shared" ref="F159:Z159" ca="1" si="47">F122-F121</f>
        <v>0</v>
      </c>
      <c r="G159" s="59">
        <f t="shared" ca="1" si="47"/>
        <v>0</v>
      </c>
      <c r="H159" s="59">
        <f t="shared" ca="1" si="47"/>
        <v>0</v>
      </c>
      <c r="I159" s="59">
        <f t="shared" ca="1" si="47"/>
        <v>0</v>
      </c>
      <c r="J159" s="59">
        <f t="shared" ca="1" si="47"/>
        <v>0</v>
      </c>
      <c r="K159" s="59">
        <f t="shared" ca="1" si="47"/>
        <v>0</v>
      </c>
      <c r="L159" s="59">
        <f t="shared" ca="1" si="47"/>
        <v>0</v>
      </c>
      <c r="M159" s="59">
        <f t="shared" ca="1" si="47"/>
        <v>0</v>
      </c>
      <c r="N159" s="59">
        <f t="shared" ca="1" si="47"/>
        <v>0</v>
      </c>
      <c r="O159" s="59">
        <f t="shared" ca="1" si="47"/>
        <v>0</v>
      </c>
      <c r="P159" s="59">
        <f t="shared" ca="1" si="47"/>
        <v>0</v>
      </c>
      <c r="Q159" s="59">
        <f t="shared" ca="1" si="47"/>
        <v>0</v>
      </c>
      <c r="R159" s="59">
        <f t="shared" ca="1" si="47"/>
        <v>0</v>
      </c>
      <c r="S159" s="59">
        <f t="shared" ca="1" si="47"/>
        <v>0</v>
      </c>
      <c r="T159" s="59">
        <f t="shared" ca="1" si="47"/>
        <v>0</v>
      </c>
      <c r="U159" s="59">
        <f t="shared" ca="1" si="47"/>
        <v>0</v>
      </c>
      <c r="V159" s="59">
        <f t="shared" ca="1" si="47"/>
        <v>0</v>
      </c>
      <c r="W159" s="59">
        <f t="shared" ca="1" si="47"/>
        <v>0</v>
      </c>
      <c r="X159" s="59">
        <f t="shared" ca="1" si="47"/>
        <v>0</v>
      </c>
      <c r="Y159" s="59">
        <f t="shared" ca="1" si="47"/>
        <v>0</v>
      </c>
      <c r="Z159" s="59">
        <f t="shared" ca="1" si="47"/>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9" t="s">
        <v>545</v>
      </c>
      <c r="F160" s="59">
        <f t="shared" ref="F160:Z160" ca="1" si="48">F123-F122</f>
        <v>0</v>
      </c>
      <c r="G160" s="59">
        <f t="shared" ca="1" si="48"/>
        <v>0</v>
      </c>
      <c r="H160" s="59">
        <f t="shared" ca="1" si="48"/>
        <v>0</v>
      </c>
      <c r="I160" s="59">
        <f t="shared" ca="1" si="48"/>
        <v>0</v>
      </c>
      <c r="J160" s="59">
        <f t="shared" ca="1" si="48"/>
        <v>0</v>
      </c>
      <c r="K160" s="59">
        <f t="shared" ca="1" si="48"/>
        <v>0</v>
      </c>
      <c r="L160" s="59">
        <f t="shared" ca="1" si="48"/>
        <v>0</v>
      </c>
      <c r="M160" s="59">
        <f t="shared" ca="1" si="48"/>
        <v>0</v>
      </c>
      <c r="N160" s="59">
        <f t="shared" ca="1" si="48"/>
        <v>0</v>
      </c>
      <c r="O160" s="59">
        <f t="shared" ca="1" si="48"/>
        <v>0</v>
      </c>
      <c r="P160" s="59">
        <f t="shared" ca="1" si="48"/>
        <v>0</v>
      </c>
      <c r="Q160" s="59">
        <f t="shared" ca="1" si="48"/>
        <v>0</v>
      </c>
      <c r="R160" s="59">
        <f t="shared" ca="1" si="48"/>
        <v>0</v>
      </c>
      <c r="S160" s="59">
        <f t="shared" ca="1" si="48"/>
        <v>0</v>
      </c>
      <c r="T160" s="59">
        <f t="shared" ca="1" si="48"/>
        <v>0</v>
      </c>
      <c r="U160" s="59">
        <f t="shared" ca="1" si="48"/>
        <v>0</v>
      </c>
      <c r="V160" s="59">
        <f t="shared" ca="1" si="48"/>
        <v>0</v>
      </c>
      <c r="W160" s="59">
        <f t="shared" ca="1" si="48"/>
        <v>0</v>
      </c>
      <c r="X160" s="59">
        <f t="shared" ca="1" si="48"/>
        <v>0</v>
      </c>
      <c r="Y160" s="59">
        <f t="shared" ca="1" si="48"/>
        <v>0</v>
      </c>
      <c r="Z160" s="59">
        <f t="shared" ca="1" si="48"/>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9" t="s">
        <v>548</v>
      </c>
      <c r="F161" s="59">
        <f t="shared" ref="F161:Z161" ca="1" si="49">F124-F123</f>
        <v>0</v>
      </c>
      <c r="G161" s="59">
        <f t="shared" ca="1" si="49"/>
        <v>0</v>
      </c>
      <c r="H161" s="59">
        <f t="shared" ca="1" si="49"/>
        <v>0</v>
      </c>
      <c r="I161" s="59">
        <f t="shared" ca="1" si="49"/>
        <v>0</v>
      </c>
      <c r="J161" s="59">
        <f t="shared" ca="1" si="49"/>
        <v>0</v>
      </c>
      <c r="K161" s="59">
        <f t="shared" ca="1" si="49"/>
        <v>0</v>
      </c>
      <c r="L161" s="59">
        <f t="shared" ca="1" si="49"/>
        <v>0</v>
      </c>
      <c r="M161" s="59">
        <f t="shared" ca="1" si="49"/>
        <v>0</v>
      </c>
      <c r="N161" s="59">
        <f t="shared" ca="1" si="49"/>
        <v>0</v>
      </c>
      <c r="O161" s="59">
        <f t="shared" ca="1" si="49"/>
        <v>0</v>
      </c>
      <c r="P161" s="59">
        <f t="shared" ca="1" si="49"/>
        <v>0</v>
      </c>
      <c r="Q161" s="59">
        <f t="shared" ca="1" si="49"/>
        <v>0</v>
      </c>
      <c r="R161" s="59">
        <f t="shared" ca="1" si="49"/>
        <v>0</v>
      </c>
      <c r="S161" s="59">
        <f t="shared" ca="1" si="49"/>
        <v>0</v>
      </c>
      <c r="T161" s="59">
        <f t="shared" ca="1" si="49"/>
        <v>0</v>
      </c>
      <c r="U161" s="59">
        <f t="shared" ca="1" si="49"/>
        <v>0</v>
      </c>
      <c r="V161" s="59">
        <f t="shared" ca="1" si="49"/>
        <v>0</v>
      </c>
      <c r="W161" s="59">
        <f t="shared" ca="1" si="49"/>
        <v>0</v>
      </c>
      <c r="X161" s="59">
        <f t="shared" ca="1" si="49"/>
        <v>0</v>
      </c>
      <c r="Y161" s="59">
        <f t="shared" ca="1" si="49"/>
        <v>0</v>
      </c>
      <c r="Z161" s="59">
        <f t="shared" ca="1" si="49"/>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9" t="s">
        <v>551</v>
      </c>
      <c r="F162" s="59">
        <f t="shared" ref="F162:Z162" ca="1" si="50">F125-F124</f>
        <v>0</v>
      </c>
      <c r="G162" s="59">
        <f t="shared" ca="1" si="50"/>
        <v>0</v>
      </c>
      <c r="H162" s="59">
        <f t="shared" ca="1" si="50"/>
        <v>0</v>
      </c>
      <c r="I162" s="59">
        <f t="shared" ca="1" si="50"/>
        <v>0</v>
      </c>
      <c r="J162" s="59">
        <f t="shared" ca="1" si="50"/>
        <v>0</v>
      </c>
      <c r="K162" s="59">
        <f t="shared" ca="1" si="50"/>
        <v>0</v>
      </c>
      <c r="L162" s="59">
        <f t="shared" ca="1" si="50"/>
        <v>0</v>
      </c>
      <c r="M162" s="59">
        <f t="shared" ca="1" si="50"/>
        <v>0</v>
      </c>
      <c r="N162" s="59">
        <f t="shared" ca="1" si="50"/>
        <v>0</v>
      </c>
      <c r="O162" s="59">
        <f t="shared" ca="1" si="50"/>
        <v>0</v>
      </c>
      <c r="P162" s="59">
        <f t="shared" ca="1" si="50"/>
        <v>0</v>
      </c>
      <c r="Q162" s="59">
        <f t="shared" ca="1" si="50"/>
        <v>0</v>
      </c>
      <c r="R162" s="59">
        <f t="shared" ca="1" si="50"/>
        <v>0</v>
      </c>
      <c r="S162" s="59">
        <f t="shared" ca="1" si="50"/>
        <v>0</v>
      </c>
      <c r="T162" s="59">
        <f t="shared" ca="1" si="50"/>
        <v>0</v>
      </c>
      <c r="U162" s="59">
        <f t="shared" ca="1" si="50"/>
        <v>0</v>
      </c>
      <c r="V162" s="59">
        <f t="shared" ca="1" si="50"/>
        <v>0</v>
      </c>
      <c r="W162" s="59">
        <f t="shared" ca="1" si="50"/>
        <v>0</v>
      </c>
      <c r="X162" s="59">
        <f t="shared" ca="1" si="50"/>
        <v>0</v>
      </c>
      <c r="Y162" s="59">
        <f t="shared" ca="1" si="50"/>
        <v>0</v>
      </c>
      <c r="Z162" s="59">
        <f t="shared" ca="1" si="50"/>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9" t="s">
        <v>554</v>
      </c>
      <c r="F163" s="59">
        <f t="shared" ref="F163:Z163" ca="1" si="51">F126-F125</f>
        <v>0</v>
      </c>
      <c r="G163" s="59">
        <f t="shared" ca="1" si="51"/>
        <v>0</v>
      </c>
      <c r="H163" s="59">
        <f t="shared" ca="1" si="51"/>
        <v>0</v>
      </c>
      <c r="I163" s="59">
        <f t="shared" ca="1" si="51"/>
        <v>0</v>
      </c>
      <c r="J163" s="59">
        <f t="shared" ca="1" si="51"/>
        <v>0</v>
      </c>
      <c r="K163" s="59">
        <f t="shared" ca="1" si="51"/>
        <v>0</v>
      </c>
      <c r="L163" s="59">
        <f t="shared" ca="1" si="51"/>
        <v>0</v>
      </c>
      <c r="M163" s="59">
        <f t="shared" ca="1" si="51"/>
        <v>0</v>
      </c>
      <c r="N163" s="59">
        <f t="shared" ca="1" si="51"/>
        <v>0</v>
      </c>
      <c r="O163" s="59">
        <f t="shared" ca="1" si="51"/>
        <v>0</v>
      </c>
      <c r="P163" s="59">
        <f t="shared" ca="1" si="51"/>
        <v>0</v>
      </c>
      <c r="Q163" s="59">
        <f t="shared" ca="1" si="51"/>
        <v>0</v>
      </c>
      <c r="R163" s="59">
        <f t="shared" ca="1" si="51"/>
        <v>0</v>
      </c>
      <c r="S163" s="59">
        <f t="shared" ca="1" si="51"/>
        <v>0</v>
      </c>
      <c r="T163" s="59">
        <f t="shared" ca="1" si="51"/>
        <v>0</v>
      </c>
      <c r="U163" s="59">
        <f t="shared" ca="1" si="51"/>
        <v>0</v>
      </c>
      <c r="V163" s="59">
        <f t="shared" ca="1" si="51"/>
        <v>0</v>
      </c>
      <c r="W163" s="59">
        <f t="shared" ca="1" si="51"/>
        <v>0</v>
      </c>
      <c r="X163" s="59">
        <f t="shared" ca="1" si="51"/>
        <v>0</v>
      </c>
      <c r="Y163" s="59">
        <f t="shared" ca="1" si="51"/>
        <v>0</v>
      </c>
      <c r="Z163" s="59">
        <f t="shared" ca="1" si="51"/>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9" t="s">
        <v>557</v>
      </c>
      <c r="F164" s="59">
        <f t="shared" ref="F164:Z164" ca="1" si="52">F127-F126</f>
        <v>0</v>
      </c>
      <c r="G164" s="59">
        <f t="shared" ca="1" si="52"/>
        <v>0</v>
      </c>
      <c r="H164" s="59">
        <f t="shared" ca="1" si="52"/>
        <v>0</v>
      </c>
      <c r="I164" s="59">
        <f t="shared" ca="1" si="52"/>
        <v>0</v>
      </c>
      <c r="J164" s="59">
        <f t="shared" ca="1" si="52"/>
        <v>0</v>
      </c>
      <c r="K164" s="59">
        <f t="shared" ca="1" si="52"/>
        <v>0</v>
      </c>
      <c r="L164" s="59">
        <f t="shared" ca="1" si="52"/>
        <v>0</v>
      </c>
      <c r="M164" s="59">
        <f t="shared" ca="1" si="52"/>
        <v>0</v>
      </c>
      <c r="N164" s="59">
        <f t="shared" ca="1" si="52"/>
        <v>0</v>
      </c>
      <c r="O164" s="59">
        <f t="shared" ca="1" si="52"/>
        <v>0</v>
      </c>
      <c r="P164" s="59">
        <f t="shared" ca="1" si="52"/>
        <v>0</v>
      </c>
      <c r="Q164" s="59">
        <f t="shared" ca="1" si="52"/>
        <v>0</v>
      </c>
      <c r="R164" s="59">
        <f t="shared" ca="1" si="52"/>
        <v>0</v>
      </c>
      <c r="S164" s="59">
        <f t="shared" ca="1" si="52"/>
        <v>0</v>
      </c>
      <c r="T164" s="59">
        <f t="shared" ca="1" si="52"/>
        <v>0</v>
      </c>
      <c r="U164" s="59">
        <f t="shared" ca="1" si="52"/>
        <v>0</v>
      </c>
      <c r="V164" s="59">
        <f t="shared" ca="1" si="52"/>
        <v>0</v>
      </c>
      <c r="W164" s="59">
        <f t="shared" ca="1" si="52"/>
        <v>0</v>
      </c>
      <c r="X164" s="59">
        <f t="shared" ca="1" si="52"/>
        <v>0</v>
      </c>
      <c r="Y164" s="59">
        <f t="shared" ca="1" si="52"/>
        <v>0</v>
      </c>
      <c r="Z164" s="59">
        <f t="shared" ca="1" si="52"/>
        <v>0</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9" t="s">
        <v>560</v>
      </c>
      <c r="F165" s="59">
        <f t="shared" ref="F165:Z165" ca="1" si="53">F128-F127</f>
        <v>0</v>
      </c>
      <c r="G165" s="59">
        <f t="shared" ca="1" si="53"/>
        <v>0</v>
      </c>
      <c r="H165" s="59">
        <f t="shared" ca="1" si="53"/>
        <v>0</v>
      </c>
      <c r="I165" s="59">
        <f t="shared" ca="1" si="53"/>
        <v>0</v>
      </c>
      <c r="J165" s="59">
        <f t="shared" ca="1" si="53"/>
        <v>0</v>
      </c>
      <c r="K165" s="59">
        <f t="shared" ca="1" si="53"/>
        <v>0</v>
      </c>
      <c r="L165" s="59">
        <f t="shared" ca="1" si="53"/>
        <v>0</v>
      </c>
      <c r="M165" s="59">
        <f t="shared" ca="1" si="53"/>
        <v>0</v>
      </c>
      <c r="N165" s="59">
        <f t="shared" ca="1" si="53"/>
        <v>0</v>
      </c>
      <c r="O165" s="59">
        <f t="shared" ca="1" si="53"/>
        <v>0</v>
      </c>
      <c r="P165" s="59">
        <f t="shared" ca="1" si="53"/>
        <v>0</v>
      </c>
      <c r="Q165" s="59">
        <f t="shared" ca="1" si="53"/>
        <v>0</v>
      </c>
      <c r="R165" s="59">
        <f t="shared" ca="1" si="53"/>
        <v>0</v>
      </c>
      <c r="S165" s="59">
        <f t="shared" ca="1" si="53"/>
        <v>0</v>
      </c>
      <c r="T165" s="59">
        <f t="shared" ca="1" si="53"/>
        <v>0</v>
      </c>
      <c r="U165" s="59">
        <f t="shared" ca="1" si="53"/>
        <v>0</v>
      </c>
      <c r="V165" s="59">
        <f t="shared" ca="1" si="53"/>
        <v>0</v>
      </c>
      <c r="W165" s="59">
        <f t="shared" ca="1" si="53"/>
        <v>0</v>
      </c>
      <c r="X165" s="59">
        <f t="shared" ca="1" si="53"/>
        <v>0</v>
      </c>
      <c r="Y165" s="59">
        <f t="shared" ca="1" si="53"/>
        <v>0</v>
      </c>
      <c r="Z165" s="59">
        <f t="shared" ca="1" si="53"/>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9" t="s">
        <v>563</v>
      </c>
      <c r="F166" s="59">
        <f t="shared" ref="F166:Y166" ca="1" si="54">F129-F118</f>
        <v>0</v>
      </c>
      <c r="G166" s="59">
        <f t="shared" ca="1" si="54"/>
        <v>0</v>
      </c>
      <c r="H166" s="59">
        <f t="shared" ca="1" si="54"/>
        <v>0</v>
      </c>
      <c r="I166" s="59">
        <f t="shared" ca="1" si="54"/>
        <v>0</v>
      </c>
      <c r="J166" s="59">
        <f t="shared" ca="1" si="54"/>
        <v>0</v>
      </c>
      <c r="K166" s="59">
        <f t="shared" ca="1" si="54"/>
        <v>0</v>
      </c>
      <c r="L166" s="59">
        <f t="shared" ca="1" si="54"/>
        <v>0</v>
      </c>
      <c r="M166" s="59">
        <f t="shared" ca="1" si="54"/>
        <v>0</v>
      </c>
      <c r="N166" s="59">
        <f t="shared" ca="1" si="54"/>
        <v>0</v>
      </c>
      <c r="O166" s="59">
        <f t="shared" ca="1" si="54"/>
        <v>0</v>
      </c>
      <c r="P166" s="59">
        <f t="shared" ca="1" si="54"/>
        <v>0</v>
      </c>
      <c r="Q166" s="59">
        <f t="shared" ca="1" si="54"/>
        <v>0</v>
      </c>
      <c r="R166" s="59">
        <f t="shared" ca="1" si="54"/>
        <v>0</v>
      </c>
      <c r="S166" s="59">
        <f t="shared" ca="1" si="54"/>
        <v>0</v>
      </c>
      <c r="T166" s="59">
        <f t="shared" ca="1" si="54"/>
        <v>0</v>
      </c>
      <c r="U166" s="59">
        <f t="shared" ca="1" si="54"/>
        <v>0</v>
      </c>
      <c r="V166" s="59">
        <f t="shared" ca="1" si="54"/>
        <v>0</v>
      </c>
      <c r="W166" s="59">
        <f t="shared" ca="1" si="54"/>
        <v>0</v>
      </c>
      <c r="X166" s="59">
        <f t="shared" ca="1" si="54"/>
        <v>0</v>
      </c>
      <c r="Y166" s="59">
        <f t="shared" ca="1" si="54"/>
        <v>0</v>
      </c>
      <c r="Z166" s="59">
        <f ca="1">Z129-Z128</f>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F167" s="59"/>
      <c r="G167" s="59"/>
      <c r="H167" s="59"/>
      <c r="I167" s="59"/>
      <c r="J167" s="59"/>
      <c r="K167" s="59"/>
      <c r="L167" s="59"/>
      <c r="M167" s="59"/>
      <c r="N167" s="59"/>
      <c r="O167" s="59"/>
      <c r="P167" s="59"/>
      <c r="Q167" s="59"/>
      <c r="R167" s="59"/>
      <c r="S167" s="59"/>
      <c r="T167" s="59"/>
      <c r="U167" s="59"/>
      <c r="V167" s="59"/>
      <c r="W167" s="59"/>
      <c r="X167" s="59"/>
      <c r="Y167" s="59"/>
      <c r="Z167" s="59"/>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ht="15">
      <c r="E168" s="73" t="s">
        <v>135</v>
      </c>
      <c r="F168" s="74">
        <f t="shared" ref="F168:Y168" ca="1" si="55">SUM(F135:F166)</f>
        <v>0.62708156893977041</v>
      </c>
      <c r="G168" s="74">
        <f t="shared" ca="1" si="55"/>
        <v>0.90690924255901051</v>
      </c>
      <c r="H168" s="74">
        <f t="shared" ca="1" si="55"/>
        <v>1.0838631694246614</v>
      </c>
      <c r="I168" s="74">
        <f t="shared" ca="1" si="55"/>
        <v>1.188829787577693</v>
      </c>
      <c r="J168" s="74">
        <f t="shared" ca="1" si="55"/>
        <v>1.250549693095782</v>
      </c>
      <c r="K168" s="74">
        <f t="shared" ca="1" si="55"/>
        <v>1.3524142067876697</v>
      </c>
      <c r="L168" s="74">
        <f t="shared" ca="1" si="55"/>
        <v>1.3417748541043641</v>
      </c>
      <c r="M168" s="74">
        <f t="shared" ca="1" si="55"/>
        <v>1.3230229272273248</v>
      </c>
      <c r="N168" s="74">
        <f t="shared" ca="1" si="55"/>
        <v>1.3027711411524339</v>
      </c>
      <c r="O168" s="74">
        <f t="shared" ca="1" si="55"/>
        <v>1.2822014973414844</v>
      </c>
      <c r="P168" s="74">
        <f t="shared" ca="1" si="55"/>
        <v>1.2617031676150703</v>
      </c>
      <c r="Q168" s="74">
        <f t="shared" ca="1" si="55"/>
        <v>1.2429526303198004</v>
      </c>
      <c r="R168" s="74">
        <f t="shared" ca="1" si="55"/>
        <v>1.2258192492407181</v>
      </c>
      <c r="S168" s="74">
        <f t="shared" ca="1" si="55"/>
        <v>1.2088263048692345</v>
      </c>
      <c r="T168" s="74">
        <f t="shared" ca="1" si="55"/>
        <v>1.1932362111475807</v>
      </c>
      <c r="U168" s="74">
        <f t="shared" ca="1" si="55"/>
        <v>1.1772539301730123</v>
      </c>
      <c r="V168" s="74">
        <f t="shared" ca="1" si="55"/>
        <v>1.1607348081600781</v>
      </c>
      <c r="W168" s="74">
        <f t="shared" ca="1" si="55"/>
        <v>1.1439681292792143</v>
      </c>
      <c r="X168" s="74">
        <f t="shared" ca="1" si="55"/>
        <v>1.1284303779986746</v>
      </c>
      <c r="Y168" s="74">
        <f t="shared" ca="1" si="55"/>
        <v>1.1134992574502798</v>
      </c>
      <c r="Z168" s="74"/>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ht="15">
      <c r="E169" s="73" t="s">
        <v>136</v>
      </c>
      <c r="F169" s="74">
        <f ca="1">F168</f>
        <v>0.62708156893977041</v>
      </c>
      <c r="G169" s="74">
        <f t="shared" ref="G169:Y169" ca="1" si="56">F169+G168</f>
        <v>1.5339908114987808</v>
      </c>
      <c r="H169" s="74">
        <f t="shared" ca="1" si="56"/>
        <v>2.6178539809234422</v>
      </c>
      <c r="I169" s="74">
        <f t="shared" ca="1" si="56"/>
        <v>3.8066837685011352</v>
      </c>
      <c r="J169" s="74">
        <f t="shared" ca="1" si="56"/>
        <v>5.0572334615969172</v>
      </c>
      <c r="K169" s="74">
        <f t="shared" ca="1" si="56"/>
        <v>6.4096476683845864</v>
      </c>
      <c r="L169" s="74">
        <f t="shared" ca="1" si="56"/>
        <v>7.7514225224889506</v>
      </c>
      <c r="M169" s="74">
        <f t="shared" ca="1" si="56"/>
        <v>9.0744454497162756</v>
      </c>
      <c r="N169" s="74">
        <f t="shared" ca="1" si="56"/>
        <v>10.377216590868709</v>
      </c>
      <c r="O169" s="74">
        <f t="shared" ca="1" si="56"/>
        <v>11.659418088210193</v>
      </c>
      <c r="P169" s="74">
        <f t="shared" ca="1" si="56"/>
        <v>12.921121255825264</v>
      </c>
      <c r="Q169" s="74">
        <f t="shared" ca="1" si="56"/>
        <v>14.164073886145065</v>
      </c>
      <c r="R169" s="74">
        <f t="shared" ca="1" si="56"/>
        <v>15.389893135385783</v>
      </c>
      <c r="S169" s="74">
        <f t="shared" ca="1" si="56"/>
        <v>16.598719440255017</v>
      </c>
      <c r="T169" s="74">
        <f t="shared" ca="1" si="56"/>
        <v>17.791955651402599</v>
      </c>
      <c r="U169" s="74">
        <f t="shared" ca="1" si="56"/>
        <v>18.969209581575612</v>
      </c>
      <c r="V169" s="74">
        <f t="shared" ca="1" si="56"/>
        <v>20.129944389735691</v>
      </c>
      <c r="W169" s="74">
        <f t="shared" ca="1" si="56"/>
        <v>21.273912519014907</v>
      </c>
      <c r="X169" s="74">
        <f t="shared" ca="1" si="56"/>
        <v>22.402342897013583</v>
      </c>
      <c r="Y169" s="74">
        <f t="shared" ca="1" si="56"/>
        <v>23.515842154463861</v>
      </c>
      <c r="Z169" s="74">
        <f ca="1">SUM(Z135:Z166)</f>
        <v>6.0780585034919685</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customFormat="1"/>
    <row r="173" spans="4:79" customFormat="1"/>
    <row r="174" spans="4:79" customFormat="1"/>
    <row r="175" spans="4:79" customFormat="1"/>
    <row r="176" spans="4:79" customFormat="1"/>
    <row r="177" customFormat="1"/>
    <row r="178" customFormat="1"/>
    <row r="179" customFormat="1"/>
  </sheetData>
  <mergeCells count="1">
    <mergeCell ref="B1:S6"/>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sheetPr codeName="Sheet8"/>
  <dimension ref="A1:CC183"/>
  <sheetViews>
    <sheetView tabSelected="1" workbookViewId="0">
      <selection activeCell="F14" sqref="F14"/>
    </sheetView>
  </sheetViews>
  <sheetFormatPr defaultRowHeight="12.75"/>
  <cols>
    <col min="1" max="1" width="35" style="9" customWidth="1"/>
    <col min="2" max="2" width="30.140625" style="9" customWidth="1"/>
    <col min="3" max="3" width="17.140625" style="9" customWidth="1"/>
    <col min="4" max="4" width="28.85546875" style="9" customWidth="1"/>
    <col min="5" max="5" width="22.42578125" style="9" customWidth="1"/>
    <col min="6" max="6" width="11.28515625" style="9" customWidth="1"/>
    <col min="7" max="25" width="9.140625" style="9"/>
    <col min="26" max="26" width="11.5703125" style="9" bestFit="1" customWidth="1"/>
    <col min="27"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50" t="s">
        <v>53</v>
      </c>
      <c r="B1" s="421" t="s">
        <v>306</v>
      </c>
      <c r="C1" s="421"/>
      <c r="D1" s="421"/>
      <c r="E1" s="421"/>
      <c r="F1" s="421"/>
      <c r="G1" s="421"/>
      <c r="H1" s="421"/>
      <c r="I1" s="421"/>
      <c r="J1" s="421"/>
      <c r="K1" s="421"/>
      <c r="L1" s="421"/>
      <c r="M1" s="421"/>
      <c r="N1" s="421"/>
      <c r="O1" s="421"/>
      <c r="P1" s="421"/>
      <c r="Q1" s="421"/>
      <c r="R1" s="421"/>
      <c r="S1" s="421"/>
    </row>
    <row r="2" spans="1:68">
      <c r="A2" s="51" t="s">
        <v>149</v>
      </c>
      <c r="B2" s="421"/>
      <c r="C2" s="421"/>
      <c r="D2" s="421"/>
      <c r="E2" s="421"/>
      <c r="F2" s="421"/>
      <c r="G2" s="421"/>
      <c r="H2" s="421"/>
      <c r="I2" s="421"/>
      <c r="J2" s="421"/>
      <c r="K2" s="421"/>
      <c r="L2" s="421"/>
      <c r="M2" s="421"/>
      <c r="N2" s="421"/>
      <c r="O2" s="421"/>
      <c r="P2" s="421"/>
      <c r="Q2" s="421"/>
      <c r="R2" s="421"/>
      <c r="S2" s="421"/>
    </row>
    <row r="3" spans="1:68">
      <c r="B3" s="421"/>
      <c r="C3" s="421"/>
      <c r="D3" s="421"/>
      <c r="E3" s="421"/>
      <c r="F3" s="421"/>
      <c r="G3" s="421"/>
      <c r="H3" s="421"/>
      <c r="I3" s="421"/>
      <c r="J3" s="421"/>
      <c r="K3" s="421"/>
      <c r="L3" s="421"/>
      <c r="M3" s="421"/>
      <c r="N3" s="421"/>
      <c r="O3" s="421"/>
      <c r="P3" s="421"/>
      <c r="Q3" s="421"/>
      <c r="R3" s="421"/>
      <c r="S3" s="421"/>
    </row>
    <row r="4" spans="1:68">
      <c r="B4" s="421"/>
      <c r="C4" s="421"/>
      <c r="D4" s="421"/>
      <c r="E4" s="421"/>
      <c r="F4" s="421"/>
      <c r="G4" s="421"/>
      <c r="H4" s="421"/>
      <c r="I4" s="421"/>
      <c r="J4" s="421"/>
      <c r="K4" s="421"/>
      <c r="L4" s="421"/>
      <c r="M4" s="421"/>
      <c r="N4" s="421"/>
      <c r="O4" s="421"/>
      <c r="P4" s="421"/>
      <c r="Q4" s="421"/>
      <c r="R4" s="421"/>
      <c r="S4" s="421"/>
    </row>
    <row r="5" spans="1:68">
      <c r="B5" s="421"/>
      <c r="C5" s="421"/>
      <c r="D5" s="421"/>
      <c r="E5" s="421"/>
      <c r="F5" s="421"/>
      <c r="G5" s="421"/>
      <c r="H5" s="421"/>
      <c r="I5" s="421"/>
      <c r="J5" s="421"/>
      <c r="K5" s="421"/>
      <c r="L5" s="421"/>
      <c r="M5" s="421"/>
      <c r="N5" s="421"/>
      <c r="O5" s="421"/>
      <c r="P5" s="421"/>
      <c r="Q5" s="421"/>
      <c r="R5" s="421"/>
      <c r="S5" s="421"/>
    </row>
    <row r="6" spans="1:68">
      <c r="B6" s="421"/>
      <c r="C6" s="421"/>
      <c r="D6" s="421"/>
      <c r="E6" s="421"/>
      <c r="F6" s="421"/>
      <c r="G6" s="421"/>
      <c r="H6" s="421"/>
      <c r="I6" s="421"/>
      <c r="J6" s="421"/>
      <c r="K6" s="421"/>
      <c r="L6" s="421"/>
      <c r="M6" s="421"/>
      <c r="N6" s="421"/>
      <c r="O6" s="421"/>
      <c r="P6" s="421"/>
      <c r="Q6" s="421"/>
      <c r="R6" s="421"/>
      <c r="S6" s="421"/>
    </row>
    <row r="7" spans="1:68">
      <c r="A7" s="406"/>
      <c r="B7" s="406" t="s">
        <v>47</v>
      </c>
      <c r="C7" s="61" t="s">
        <v>305</v>
      </c>
      <c r="D7" s="61" t="s">
        <v>339</v>
      </c>
    </row>
    <row r="8" spans="1:68">
      <c r="A8" s="406" t="s">
        <v>580</v>
      </c>
      <c r="B8" s="406" t="s">
        <v>54</v>
      </c>
      <c r="C8" s="61" t="str">
        <f>[2]MLIST!$B$44</f>
        <v>Computer</v>
      </c>
      <c r="D8" s="61" t="str">
        <f>[1]!switch_ForecastState</f>
        <v>Region</v>
      </c>
    </row>
    <row r="9" spans="1:68">
      <c r="A9" s="406" t="str">
        <f>INDEX([2]ACHIEV!$A$19:$B$100,MATCH(CONCATENATE($C$8," - ",$C$7),[2]ACHIEV!$B$19:$B$100,0),1)</f>
        <v>Electronics</v>
      </c>
      <c r="B9" s="407" t="s">
        <v>55</v>
      </c>
      <c r="C9" s="61">
        <f>[2]FILES!$H$4</f>
        <v>2035</v>
      </c>
      <c r="D9" s="61" t="str">
        <f>[1]!switch_ForecastScenario</f>
        <v>Base</v>
      </c>
    </row>
    <row r="10" spans="1:68">
      <c r="A10" s="406"/>
      <c r="B10" s="406" t="s">
        <v>606</v>
      </c>
      <c r="C10" s="420">
        <f ca="1">MIN(SUM(F94:Y94),Z94)</f>
        <v>27.548133739474505</v>
      </c>
      <c r="D10" s="62"/>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3" t="str">
        <f>CONCATENATE("# OF EXISTING HOMES FOR MEASURE -",$C$8)</f>
        <v># OF EXISTING HOMES FOR MEASURE -Computer</v>
      </c>
      <c r="C11" s="9" t="s">
        <v>146</v>
      </c>
      <c r="F11" s="66">
        <v>2016</v>
      </c>
      <c r="G11" s="67">
        <v>2017</v>
      </c>
      <c r="H11" s="67">
        <v>2018</v>
      </c>
      <c r="I11" s="66">
        <v>2019</v>
      </c>
      <c r="J11" s="67">
        <v>2020</v>
      </c>
      <c r="K11" s="67">
        <v>2021</v>
      </c>
      <c r="L11" s="66">
        <v>2022</v>
      </c>
      <c r="M11" s="67">
        <v>2023</v>
      </c>
      <c r="N11" s="67">
        <v>2024</v>
      </c>
      <c r="O11" s="66">
        <v>2025</v>
      </c>
      <c r="P11" s="67">
        <v>2026</v>
      </c>
      <c r="Q11" s="67">
        <v>2027</v>
      </c>
      <c r="R11" s="66">
        <v>2028</v>
      </c>
      <c r="S11" s="67">
        <v>2029</v>
      </c>
      <c r="T11" s="67">
        <v>2030</v>
      </c>
      <c r="U11" s="66">
        <v>2031</v>
      </c>
      <c r="V11" s="67">
        <v>2032</v>
      </c>
      <c r="W11" s="67">
        <v>2033</v>
      </c>
      <c r="X11" s="66">
        <v>2034</v>
      </c>
      <c r="Y11" s="67">
        <v>2035</v>
      </c>
      <c r="Z11" s="67"/>
      <c r="AA11" s="52"/>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F12" s="69" t="str">
        <f>CONCATENATE("HOMES_",F11)</f>
        <v>HOMES_2016</v>
      </c>
      <c r="G12" s="70" t="str">
        <f t="shared" ref="G12:Y12" si="0">CONCATENATE("HOMES_",G11)</f>
        <v>HOMES_2017</v>
      </c>
      <c r="H12" s="70" t="str">
        <f t="shared" si="0"/>
        <v>HOMES_2018</v>
      </c>
      <c r="I12" s="70" t="str">
        <f t="shared" si="0"/>
        <v>HOMES_2019</v>
      </c>
      <c r="J12" s="70" t="str">
        <f t="shared" si="0"/>
        <v>HOMES_2020</v>
      </c>
      <c r="K12" s="70" t="str">
        <f t="shared" si="0"/>
        <v>HOMES_2021</v>
      </c>
      <c r="L12" s="70" t="str">
        <f t="shared" si="0"/>
        <v>HOMES_2022</v>
      </c>
      <c r="M12" s="70" t="str">
        <f t="shared" si="0"/>
        <v>HOMES_2023</v>
      </c>
      <c r="N12" s="70" t="str">
        <f t="shared" si="0"/>
        <v>HOMES_2024</v>
      </c>
      <c r="O12" s="70" t="str">
        <f t="shared" si="0"/>
        <v>HOMES_2025</v>
      </c>
      <c r="P12" s="70" t="str">
        <f t="shared" si="0"/>
        <v>HOMES_2026</v>
      </c>
      <c r="Q12" s="70" t="str">
        <f t="shared" si="0"/>
        <v>HOMES_2027</v>
      </c>
      <c r="R12" s="70" t="str">
        <f t="shared" si="0"/>
        <v>HOMES_2028</v>
      </c>
      <c r="S12" s="70" t="str">
        <f t="shared" si="0"/>
        <v>HOMES_2029</v>
      </c>
      <c r="T12" s="70" t="str">
        <f t="shared" si="0"/>
        <v>HOMES_2030</v>
      </c>
      <c r="U12" s="70" t="str">
        <f t="shared" si="0"/>
        <v>HOMES_2031</v>
      </c>
      <c r="V12" s="70" t="str">
        <f t="shared" si="0"/>
        <v>HOMES_2032</v>
      </c>
      <c r="W12" s="70" t="str">
        <f t="shared" si="0"/>
        <v>HOMES_2033</v>
      </c>
      <c r="X12" s="70" t="str">
        <f t="shared" si="0"/>
        <v>HOMES_2034</v>
      </c>
      <c r="Y12" s="70" t="str">
        <f t="shared" si="0"/>
        <v>HOMES_2035</v>
      </c>
      <c r="Z12" s="71"/>
      <c r="AA12" s="50"/>
    </row>
    <row r="13" spans="1:68">
      <c r="C13" s="9" t="s">
        <v>48</v>
      </c>
      <c r="F13" s="42">
        <f ca="1">INDEX([1]!tbl_Forecast,MATCH($D$8&amp;$C13&amp;$D$7,[1]!rng_ForecastRowLookup,0),MATCH(F$11,[1]!rng_ForecastColumnLookup,0))</f>
        <v>4203528.2719999999</v>
      </c>
      <c r="G13" s="42">
        <f ca="1">INDEX([1]!tbl_Forecast,MATCH($D$8&amp;$C13&amp;$D$7,[1]!rng_ForecastRowLookup,0),MATCH(G$11,[1]!rng_ForecastColumnLookup,0))</f>
        <v>4193982.9785983553</v>
      </c>
      <c r="H13" s="42">
        <f ca="1">INDEX([1]!tbl_Forecast,MATCH($D$8&amp;$C13&amp;$D$7,[1]!rng_ForecastRowLookup,0),MATCH(H$11,[1]!rng_ForecastColumnLookup,0))</f>
        <v>4184459.3604704877</v>
      </c>
      <c r="I13" s="42">
        <f ca="1">INDEX([1]!tbl_Forecast,MATCH($D$8&amp;$C13&amp;$D$7,[1]!rng_ForecastRowLookup,0),MATCH(I$11,[1]!rng_ForecastColumnLookup,0))</f>
        <v>4174957.36839659</v>
      </c>
      <c r="J13" s="42">
        <f ca="1">INDEX([1]!tbl_Forecast,MATCH($D$8&amp;$C13&amp;$D$7,[1]!rng_ForecastRowLookup,0),MATCH(J$11,[1]!rng_ForecastColumnLookup,0))</f>
        <v>4165476.9532686244</v>
      </c>
      <c r="K13" s="42">
        <f ca="1">INDEX([1]!tbl_Forecast,MATCH($D$8&amp;$C13&amp;$D$7,[1]!rng_ForecastRowLookup,0),MATCH(K$11,[1]!rng_ForecastColumnLookup,0))</f>
        <v>4156018.0660900641</v>
      </c>
      <c r="L13" s="42">
        <f ca="1">INDEX([1]!tbl_Forecast,MATCH($D$8&amp;$C13&amp;$D$7,[1]!rng_ForecastRowLookup,0),MATCH(L$11,[1]!rng_ForecastColumnLookup,0))</f>
        <v>4146580.6579756448</v>
      </c>
      <c r="M13" s="42">
        <f ca="1">INDEX([1]!tbl_Forecast,MATCH($D$8&amp;$C13&amp;$D$7,[1]!rng_ForecastRowLookup,0),MATCH(M$11,[1]!rng_ForecastColumnLookup,0))</f>
        <v>4137164.6801511091</v>
      </c>
      <c r="N13" s="42">
        <f ca="1">INDEX([1]!tbl_Forecast,MATCH($D$8&amp;$C13&amp;$D$7,[1]!rng_ForecastRowLookup,0),MATCH(N$11,[1]!rng_ForecastColumnLookup,0))</f>
        <v>4127770.0839529554</v>
      </c>
      <c r="O13" s="42">
        <f ca="1">INDEX([1]!tbl_Forecast,MATCH($D$8&amp;$C13&amp;$D$7,[1]!rng_ForecastRowLookup,0),MATCH(O$11,[1]!rng_ForecastColumnLookup,0))</f>
        <v>4118396.8208281873</v>
      </c>
      <c r="P13" s="42">
        <f ca="1">INDEX([1]!tbl_Forecast,MATCH($D$8&amp;$C13&amp;$D$7,[1]!rng_ForecastRowLookup,0),MATCH(P$11,[1]!rng_ForecastColumnLookup,0))</f>
        <v>4109044.8423340586</v>
      </c>
      <c r="Q13" s="42">
        <f ca="1">INDEX([1]!tbl_Forecast,MATCH($D$8&amp;$C13&amp;$D$7,[1]!rng_ForecastRowLookup,0),MATCH(Q$11,[1]!rng_ForecastColumnLookup,0))</f>
        <v>4099714.1001378288</v>
      </c>
      <c r="R13" s="42">
        <f ca="1">INDEX([1]!tbl_Forecast,MATCH($D$8&amp;$C13&amp;$D$7,[1]!rng_ForecastRowLookup,0),MATCH(R$11,[1]!rng_ForecastColumnLookup,0))</f>
        <v>4090404.5460165106</v>
      </c>
      <c r="S13" s="42">
        <f ca="1">INDEX([1]!tbl_Forecast,MATCH($D$8&amp;$C13&amp;$D$7,[1]!rng_ForecastRowLookup,0),MATCH(S$11,[1]!rng_ForecastColumnLookup,0))</f>
        <v>4081116.1318566194</v>
      </c>
      <c r="T13" s="42">
        <f ca="1">INDEX([1]!tbl_Forecast,MATCH($D$8&amp;$C13&amp;$D$7,[1]!rng_ForecastRowLookup,0),MATCH(T$11,[1]!rng_ForecastColumnLookup,0))</f>
        <v>4071848.8096539262</v>
      </c>
      <c r="U13" s="42">
        <f ca="1">INDEX([1]!tbl_Forecast,MATCH($D$8&amp;$C13&amp;$D$7,[1]!rng_ForecastRowLookup,0),MATCH(U$11,[1]!rng_ForecastColumnLookup,0))</f>
        <v>4062602.5315132081</v>
      </c>
      <c r="V13" s="42">
        <f ca="1">INDEX([1]!tbl_Forecast,MATCH($D$8&amp;$C13&amp;$D$7,[1]!rng_ForecastRowLookup,0),MATCH(V$11,[1]!rng_ForecastColumnLookup,0))</f>
        <v>4053377.2496480034</v>
      </c>
      <c r="W13" s="42">
        <f ca="1">INDEX([1]!tbl_Forecast,MATCH($D$8&amp;$C13&amp;$D$7,[1]!rng_ForecastRowLookup,0),MATCH(W$11,[1]!rng_ForecastColumnLookup,0))</f>
        <v>4044172.9163803621</v>
      </c>
      <c r="X13" s="42">
        <f ca="1">INDEX([1]!tbl_Forecast,MATCH($D$8&amp;$C13&amp;$D$7,[1]!rng_ForecastRowLookup,0),MATCH(X$11,[1]!rng_ForecastColumnLookup,0))</f>
        <v>4034989.4841406001</v>
      </c>
      <c r="Y13" s="42">
        <f ca="1">INDEX([1]!tbl_Forecast,MATCH($D$8&amp;$C13&amp;$D$7,[1]!rng_ForecastRowLookup,0),MATCH(Y$11,[1]!rng_ForecastColumnLookup,0))</f>
        <v>4025826.9054670548</v>
      </c>
      <c r="Z13" s="42"/>
      <c r="AB13" s="54"/>
    </row>
    <row r="14" spans="1:68">
      <c r="C14" s="9" t="s">
        <v>49</v>
      </c>
      <c r="F14" s="42">
        <f ca="1">INDEX([1]!tbl_Forecast,MATCH($D$8&amp;$C14&amp;$D$7,[1]!rng_ForecastRowLookup,0),MATCH(F$11,[1]!rng_ForecastColumnLookup,0))</f>
        <v>926243.25609262148</v>
      </c>
      <c r="G14" s="42">
        <f ca="1">INDEX([1]!tbl_Forecast,MATCH($D$8&amp;$C14&amp;$D$7,[1]!rng_ForecastRowLookup,0),MATCH(G$11,[1]!rng_ForecastColumnLookup,0))</f>
        <v>924139.92640956037</v>
      </c>
      <c r="H14" s="42">
        <f ca="1">INDEX([1]!tbl_Forecast,MATCH($D$8&amp;$C14&amp;$D$7,[1]!rng_ForecastRowLookup,0),MATCH(H$11,[1]!rng_ForecastColumnLookup,0))</f>
        <v>922041.3730050053</v>
      </c>
      <c r="I14" s="42">
        <f ca="1">INDEX([1]!tbl_Forecast,MATCH($D$8&amp;$C14&amp;$D$7,[1]!rng_ForecastRowLookup,0),MATCH(I$11,[1]!rng_ForecastColumnLookup,0))</f>
        <v>919947.58503289847</v>
      </c>
      <c r="J14" s="42">
        <f ca="1">INDEX([1]!tbl_Forecast,MATCH($D$8&amp;$C14&amp;$D$7,[1]!rng_ForecastRowLookup,0),MATCH(J$11,[1]!rng_ForecastColumnLookup,0))</f>
        <v>917858.55167181045</v>
      </c>
      <c r="K14" s="42">
        <f ca="1">INDEX([1]!tbl_Forecast,MATCH($D$8&amp;$C14&amp;$D$7,[1]!rng_ForecastRowLookup,0),MATCH(K$11,[1]!rng_ForecastColumnLookup,0))</f>
        <v>915774.26212488639</v>
      </c>
      <c r="L14" s="42">
        <f ca="1">INDEX([1]!tbl_Forecast,MATCH($D$8&amp;$C14&amp;$D$7,[1]!rng_ForecastRowLookup,0),MATCH(L$11,[1]!rng_ForecastColumnLookup,0))</f>
        <v>913694.70561978838</v>
      </c>
      <c r="M14" s="42">
        <f ca="1">INDEX([1]!tbl_Forecast,MATCH($D$8&amp;$C14&amp;$D$7,[1]!rng_ForecastRowLookup,0),MATCH(M$11,[1]!rng_ForecastColumnLookup,0))</f>
        <v>911619.87140864041</v>
      </c>
      <c r="N14" s="42">
        <f ca="1">INDEX([1]!tbl_Forecast,MATCH($D$8&amp;$C14&amp;$D$7,[1]!rng_ForecastRowLookup,0),MATCH(N$11,[1]!rng_ForecastColumnLookup,0))</f>
        <v>909549.74876797362</v>
      </c>
      <c r="O14" s="42">
        <f ca="1">INDEX([1]!tbl_Forecast,MATCH($D$8&amp;$C14&amp;$D$7,[1]!rng_ForecastRowLookup,0),MATCH(O$11,[1]!rng_ForecastColumnLookup,0))</f>
        <v>907484.32699866977</v>
      </c>
      <c r="P14" s="42">
        <f ca="1">INDEX([1]!tbl_Forecast,MATCH($D$8&amp;$C14&amp;$D$7,[1]!rng_ForecastRowLookup,0),MATCH(P$11,[1]!rng_ForecastColumnLookup,0))</f>
        <v>905423.59542590659</v>
      </c>
      <c r="Q14" s="42">
        <f ca="1">INDEX([1]!tbl_Forecast,MATCH($D$8&amp;$C14&amp;$D$7,[1]!rng_ForecastRowLookup,0),MATCH(Q$11,[1]!rng_ForecastColumnLookup,0))</f>
        <v>903367.54339910217</v>
      </c>
      <c r="R14" s="42">
        <f ca="1">INDEX([1]!tbl_Forecast,MATCH($D$8&amp;$C14&amp;$D$7,[1]!rng_ForecastRowLookup,0),MATCH(R$11,[1]!rng_ForecastColumnLookup,0))</f>
        <v>901316.16029185988</v>
      </c>
      <c r="S14" s="42">
        <f ca="1">INDEX([1]!tbl_Forecast,MATCH($D$8&amp;$C14&amp;$D$7,[1]!rng_ForecastRowLookup,0),MATCH(S$11,[1]!rng_ForecastColumnLookup,0))</f>
        <v>899269.43550191447</v>
      </c>
      <c r="T14" s="42">
        <f ca="1">INDEX([1]!tbl_Forecast,MATCH($D$8&amp;$C14&amp;$D$7,[1]!rng_ForecastRowLookup,0),MATCH(T$11,[1]!rng_ForecastColumnLookup,0))</f>
        <v>897227.35845107585</v>
      </c>
      <c r="U14" s="42">
        <f ca="1">INDEX([1]!tbl_Forecast,MATCH($D$8&amp;$C14&amp;$D$7,[1]!rng_ForecastRowLookup,0),MATCH(U$11,[1]!rng_ForecastColumnLookup,0))</f>
        <v>895189.9185851753</v>
      </c>
      <c r="V14" s="42">
        <f ca="1">INDEX([1]!tbl_Forecast,MATCH($D$8&amp;$C14&amp;$D$7,[1]!rng_ForecastRowLookup,0),MATCH(V$11,[1]!rng_ForecastColumnLookup,0))</f>
        <v>893157.10537401051</v>
      </c>
      <c r="W14" s="42">
        <f ca="1">INDEX([1]!tbl_Forecast,MATCH($D$8&amp;$C14&amp;$D$7,[1]!rng_ForecastRowLookup,0),MATCH(W$11,[1]!rng_ForecastColumnLookup,0))</f>
        <v>891128.90831129183</v>
      </c>
      <c r="X14" s="42">
        <f ca="1">INDEX([1]!tbl_Forecast,MATCH($D$8&amp;$C14&amp;$D$7,[1]!rng_ForecastRowLookup,0),MATCH(X$11,[1]!rng_ForecastColumnLookup,0))</f>
        <v>889105.31691458682</v>
      </c>
      <c r="Y14" s="42">
        <f ca="1">INDEX([1]!tbl_Forecast,MATCH($D$8&amp;$C14&amp;$D$7,[1]!rng_ForecastRowLookup,0),MATCH(Y$11,[1]!rng_ForecastColumnLookup,0))</f>
        <v>887086.32072526717</v>
      </c>
      <c r="Z14" s="42"/>
      <c r="AB14" s="54"/>
    </row>
    <row r="15" spans="1:68">
      <c r="C15" s="9" t="s">
        <v>50</v>
      </c>
      <c r="F15" s="42">
        <f ca="1">INDEX([1]!tbl_Forecast,MATCH($D$8&amp;$C15&amp;$D$7,[1]!rng_ForecastRowLookup,0),MATCH(F$11,[1]!rng_ForecastColumnLookup,0))</f>
        <v>211180.07985625503</v>
      </c>
      <c r="G15" s="42">
        <f ca="1">INDEX([1]!tbl_Forecast,MATCH($D$8&amp;$C15&amp;$D$7,[1]!rng_ForecastRowLookup,0),MATCH(G$11,[1]!rng_ForecastColumnLookup,0))</f>
        <v>210700.52836963299</v>
      </c>
      <c r="H15" s="42">
        <f ca="1">INDEX([1]!tbl_Forecast,MATCH($D$8&amp;$C15&amp;$D$7,[1]!rng_ForecastRowLookup,0),MATCH(H$11,[1]!rng_ForecastColumnLookup,0))</f>
        <v>210222.06585706791</v>
      </c>
      <c r="I15" s="42">
        <f ca="1">INDEX([1]!tbl_Forecast,MATCH($D$8&amp;$C15&amp;$D$7,[1]!rng_ForecastRowLookup,0),MATCH(I$11,[1]!rng_ForecastColumnLookup,0))</f>
        <v>209744.68984569819</v>
      </c>
      <c r="J15" s="42">
        <f ca="1">INDEX([1]!tbl_Forecast,MATCH($D$8&amp;$C15&amp;$D$7,[1]!rng_ForecastRowLookup,0),MATCH(J$11,[1]!rng_ForecastColumnLookup,0))</f>
        <v>209268.39786827751</v>
      </c>
      <c r="K15" s="42">
        <f ca="1">INDEX([1]!tbl_Forecast,MATCH($D$8&amp;$C15&amp;$D$7,[1]!rng_ForecastRowLookup,0),MATCH(K$11,[1]!rng_ForecastColumnLookup,0))</f>
        <v>208793.18746316229</v>
      </c>
      <c r="L15" s="42">
        <f ca="1">INDEX([1]!tbl_Forecast,MATCH($D$8&amp;$C15&amp;$D$7,[1]!rng_ForecastRowLookup,0),MATCH(L$11,[1]!rng_ForecastColumnLookup,0))</f>
        <v>208319.05617429892</v>
      </c>
      <c r="M15" s="42">
        <f ca="1">INDEX([1]!tbl_Forecast,MATCH($D$8&amp;$C15&amp;$D$7,[1]!rng_ForecastRowLookup,0),MATCH(M$11,[1]!rng_ForecastColumnLookup,0))</f>
        <v>207846.00155121088</v>
      </c>
      <c r="N15" s="42">
        <f ca="1">INDEX([1]!tbl_Forecast,MATCH($D$8&amp;$C15&amp;$D$7,[1]!rng_ForecastRowLookup,0),MATCH(N$11,[1]!rng_ForecastColumnLookup,0))</f>
        <v>207374.0211489865</v>
      </c>
      <c r="O15" s="42">
        <f ca="1">INDEX([1]!tbl_Forecast,MATCH($D$8&amp;$C15&amp;$D$7,[1]!rng_ForecastRowLookup,0),MATCH(O$11,[1]!rng_ForecastColumnLookup,0))</f>
        <v>206903.11252826577</v>
      </c>
      <c r="P15" s="42">
        <f ca="1">INDEX([1]!tbl_Forecast,MATCH($D$8&amp;$C15&amp;$D$7,[1]!rng_ForecastRowLookup,0),MATCH(P$11,[1]!rng_ForecastColumnLookup,0))</f>
        <v>206433.27325522827</v>
      </c>
      <c r="Q15" s="42">
        <f ca="1">INDEX([1]!tbl_Forecast,MATCH($D$8&amp;$C15&amp;$D$7,[1]!rng_ForecastRowLookup,0),MATCH(Q$11,[1]!rng_ForecastColumnLookup,0))</f>
        <v>205964.50090158021</v>
      </c>
      <c r="R15" s="42">
        <f ca="1">INDEX([1]!tbl_Forecast,MATCH($D$8&amp;$C15&amp;$D$7,[1]!rng_ForecastRowLookup,0),MATCH(R$11,[1]!rng_ForecastColumnLookup,0))</f>
        <v>205496.79304454199</v>
      </c>
      <c r="S15" s="42">
        <f ca="1">INDEX([1]!tbl_Forecast,MATCH($D$8&amp;$C15&amp;$D$7,[1]!rng_ForecastRowLookup,0),MATCH(S$11,[1]!rng_ForecastColumnLookup,0))</f>
        <v>205030.14726683579</v>
      </c>
      <c r="T15" s="42">
        <f ca="1">INDEX([1]!tbl_Forecast,MATCH($D$8&amp;$C15&amp;$D$7,[1]!rng_ForecastRowLookup,0),MATCH(T$11,[1]!rng_ForecastColumnLookup,0))</f>
        <v>204564.56115667295</v>
      </c>
      <c r="U15" s="42">
        <f ca="1">INDEX([1]!tbl_Forecast,MATCH($D$8&amp;$C15&amp;$D$7,[1]!rng_ForecastRowLookup,0),MATCH(U$11,[1]!rng_ForecastColumnLookup,0))</f>
        <v>204100.03230774152</v>
      </c>
      <c r="V15" s="42">
        <f ca="1">INDEX([1]!tbl_Forecast,MATCH($D$8&amp;$C15&amp;$D$7,[1]!rng_ForecastRowLookup,0),MATCH(V$11,[1]!rng_ForecastColumnLookup,0))</f>
        <v>203636.55831919383</v>
      </c>
      <c r="W15" s="42">
        <f ca="1">INDEX([1]!tbl_Forecast,MATCH($D$8&amp;$C15&amp;$D$7,[1]!rng_ForecastRowLookup,0),MATCH(W$11,[1]!rng_ForecastColumnLookup,0))</f>
        <v>203174.13679563423</v>
      </c>
      <c r="X15" s="42">
        <f ca="1">INDEX([1]!tbl_Forecast,MATCH($D$8&amp;$C15&amp;$D$7,[1]!rng_ForecastRowLookup,0),MATCH(X$11,[1]!rng_ForecastColumnLookup,0))</f>
        <v>202712.76534710638</v>
      </c>
      <c r="Y15" s="42">
        <f ca="1">INDEX([1]!tbl_Forecast,MATCH($D$8&amp;$C15&amp;$D$7,[1]!rng_ForecastRowLookup,0),MATCH(Y$11,[1]!rng_ForecastColumnLookup,0))</f>
        <v>202252.44158908122</v>
      </c>
      <c r="Z15" s="42"/>
      <c r="AB15" s="54"/>
    </row>
    <row r="16" spans="1:68">
      <c r="C16" s="9" t="s">
        <v>51</v>
      </c>
      <c r="F16" s="42">
        <f ca="1">INDEX([1]!tbl_Forecast,MATCH($D$8&amp;$C16&amp;$D$7,[1]!rng_ForecastRowLookup,0),MATCH(F$11,[1]!rng_ForecastColumnLookup,0))</f>
        <v>572006.3278356482</v>
      </c>
      <c r="G16" s="42">
        <f ca="1">INDEX([1]!tbl_Forecast,MATCH($D$8&amp;$C16&amp;$D$7,[1]!rng_ForecastRowLookup,0),MATCH(G$11,[1]!rng_ForecastColumnLookup,0))</f>
        <v>565893.30394507048</v>
      </c>
      <c r="H16" s="42">
        <f ca="1">INDEX([1]!tbl_Forecast,MATCH($D$8&amp;$C16&amp;$D$7,[1]!rng_ForecastRowLookup,0),MATCH(H$11,[1]!rng_ForecastColumnLookup,0))</f>
        <v>559845.60985814757</v>
      </c>
      <c r="I16" s="42">
        <f ca="1">INDEX([1]!tbl_Forecast,MATCH($D$8&amp;$C16&amp;$D$7,[1]!rng_ForecastRowLookup,0),MATCH(I$11,[1]!rng_ForecastColumnLookup,0))</f>
        <v>553862.54739615123</v>
      </c>
      <c r="J16" s="42">
        <f ca="1">INDEX([1]!tbl_Forecast,MATCH($D$8&amp;$C16&amp;$D$7,[1]!rng_ForecastRowLookup,0),MATCH(J$11,[1]!rng_ForecastColumnLookup,0))</f>
        <v>547943.42584177968</v>
      </c>
      <c r="K16" s="42">
        <f ca="1">INDEX([1]!tbl_Forecast,MATCH($D$8&amp;$C16&amp;$D$7,[1]!rng_ForecastRowLookup,0),MATCH(K$11,[1]!rng_ForecastColumnLookup,0))</f>
        <v>542087.56185941794</v>
      </c>
      <c r="L16" s="42">
        <f ca="1">INDEX([1]!tbl_Forecast,MATCH($D$8&amp;$C16&amp;$D$7,[1]!rng_ForecastRowLookup,0),MATCH(L$11,[1]!rng_ForecastColumnLookup,0))</f>
        <v>536294.27941624937</v>
      </c>
      <c r="M16" s="42">
        <f ca="1">INDEX([1]!tbl_Forecast,MATCH($D$8&amp;$C16&amp;$D$7,[1]!rng_ForecastRowLookup,0),MATCH(M$11,[1]!rng_ForecastColumnLookup,0))</f>
        <v>530562.90970421082</v>
      </c>
      <c r="N16" s="42">
        <f ca="1">INDEX([1]!tbl_Forecast,MATCH($D$8&amp;$C16&amp;$D$7,[1]!rng_ForecastRowLookup,0),MATCH(N$11,[1]!rng_ForecastColumnLookup,0))</f>
        <v>524892.79106278194</v>
      </c>
      <c r="O16" s="42">
        <f ca="1">INDEX([1]!tbl_Forecast,MATCH($D$8&amp;$C16&amp;$D$7,[1]!rng_ForecastRowLookup,0),MATCH(O$11,[1]!rng_ForecastColumnLookup,0))</f>
        <v>519283.26890259917</v>
      </c>
      <c r="P16" s="42">
        <f ca="1">INDEX([1]!tbl_Forecast,MATCH($D$8&amp;$C16&amp;$D$7,[1]!rng_ForecastRowLookup,0),MATCH(P$11,[1]!rng_ForecastColumnLookup,0))</f>
        <v>513733.69562988722</v>
      </c>
      <c r="Q16" s="42">
        <f ca="1">INDEX([1]!tbl_Forecast,MATCH($D$8&amp;$C16&amp;$D$7,[1]!rng_ForecastRowLookup,0),MATCH(Q$11,[1]!rng_ForecastColumnLookup,0))</f>
        <v>508243.4305716962</v>
      </c>
      <c r="R16" s="42">
        <f ca="1">INDEX([1]!tbl_Forecast,MATCH($D$8&amp;$C16&amp;$D$7,[1]!rng_ForecastRowLookup,0),MATCH(R$11,[1]!rng_ForecastColumnLookup,0))</f>
        <v>502811.8399019395</v>
      </c>
      <c r="S16" s="42">
        <f ca="1">INDEX([1]!tbl_Forecast,MATCH($D$8&amp;$C16&amp;$D$7,[1]!rng_ForecastRowLookup,0),MATCH(S$11,[1]!rng_ForecastColumnLookup,0))</f>
        <v>497438.2965682213</v>
      </c>
      <c r="T16" s="42">
        <f ca="1">INDEX([1]!tbl_Forecast,MATCH($D$8&amp;$C16&amp;$D$7,[1]!rng_ForecastRowLookup,0),MATCH(T$11,[1]!rng_ForecastColumnLookup,0))</f>
        <v>492122.18021944637</v>
      </c>
      <c r="U16" s="42">
        <f ca="1">INDEX([1]!tbl_Forecast,MATCH($D$8&amp;$C16&amp;$D$7,[1]!rng_ForecastRowLookup,0),MATCH(U$11,[1]!rng_ForecastColumnLookup,0))</f>
        <v>486862.87713420321</v>
      </c>
      <c r="V16" s="42">
        <f ca="1">INDEX([1]!tbl_Forecast,MATCH($D$8&amp;$C16&amp;$D$7,[1]!rng_ForecastRowLookup,0),MATCH(V$11,[1]!rng_ForecastColumnLookup,0))</f>
        <v>481659.78014991269</v>
      </c>
      <c r="W16" s="42">
        <f ca="1">INDEX([1]!tbl_Forecast,MATCH($D$8&amp;$C16&amp;$D$7,[1]!rng_ForecastRowLookup,0),MATCH(W$11,[1]!rng_ForecastColumnLookup,0))</f>
        <v>476512.28859273402</v>
      </c>
      <c r="X16" s="42">
        <f ca="1">INDEX([1]!tbl_Forecast,MATCH($D$8&amp;$C16&amp;$D$7,[1]!rng_ForecastRowLookup,0),MATCH(X$11,[1]!rng_ForecastColumnLookup,0))</f>
        <v>471419.80820821953</v>
      </c>
      <c r="Y16" s="42">
        <f ca="1">INDEX([1]!tbl_Forecast,MATCH($D$8&amp;$C16&amp;$D$7,[1]!rng_ForecastRowLookup,0),MATCH(Y$11,[1]!rng_ForecastColumnLookup,0))</f>
        <v>466381.75109271082</v>
      </c>
      <c r="Z16" s="42"/>
      <c r="AB16" s="54"/>
    </row>
    <row r="17" spans="1:69">
      <c r="F17" s="42"/>
      <c r="G17" s="42"/>
      <c r="H17" s="42"/>
      <c r="I17" s="42"/>
      <c r="J17" s="42"/>
      <c r="K17" s="42"/>
      <c r="L17" s="42"/>
      <c r="M17" s="42"/>
      <c r="N17" s="42"/>
      <c r="O17" s="42"/>
      <c r="P17" s="42"/>
      <c r="Q17" s="42"/>
      <c r="R17" s="42"/>
      <c r="S17" s="42"/>
      <c r="T17" s="42"/>
      <c r="U17" s="42"/>
      <c r="V17" s="42"/>
      <c r="W17" s="42"/>
      <c r="X17" s="42"/>
      <c r="Y17" s="42"/>
      <c r="Z17" s="42"/>
    </row>
    <row r="18" spans="1:69">
      <c r="B18" s="9" t="s">
        <v>56</v>
      </c>
      <c r="C18" s="9" t="s">
        <v>57</v>
      </c>
      <c r="F18" s="42">
        <f t="shared" ref="F18:Y18" ca="1" si="1">SUM(F13:F16)</f>
        <v>5912957.9357845243</v>
      </c>
      <c r="G18" s="42">
        <f t="shared" ca="1" si="1"/>
        <v>5894716.7373226183</v>
      </c>
      <c r="H18" s="42">
        <f t="shared" ca="1" si="1"/>
        <v>5876568.4091907088</v>
      </c>
      <c r="I18" s="42">
        <f t="shared" ca="1" si="1"/>
        <v>5858512.1906713378</v>
      </c>
      <c r="J18" s="42">
        <f t="shared" ca="1" si="1"/>
        <v>5840547.3286504922</v>
      </c>
      <c r="K18" s="42">
        <f t="shared" ca="1" si="1"/>
        <v>5822673.077537531</v>
      </c>
      <c r="L18" s="42">
        <f t="shared" ca="1" si="1"/>
        <v>5804888.6991859814</v>
      </c>
      <c r="M18" s="42">
        <f t="shared" ca="1" si="1"/>
        <v>5787193.462815172</v>
      </c>
      <c r="N18" s="42">
        <f t="shared" ca="1" si="1"/>
        <v>5769586.6449326966</v>
      </c>
      <c r="O18" s="42">
        <f t="shared" ca="1" si="1"/>
        <v>5752067.5292577213</v>
      </c>
      <c r="P18" s="42">
        <f t="shared" ca="1" si="1"/>
        <v>5734635.406645081</v>
      </c>
      <c r="Q18" s="42">
        <f t="shared" ca="1" si="1"/>
        <v>5717289.5750102066</v>
      </c>
      <c r="R18" s="42">
        <f t="shared" ca="1" si="1"/>
        <v>5700029.3392548524</v>
      </c>
      <c r="S18" s="42">
        <f t="shared" ca="1" si="1"/>
        <v>5682854.0111935912</v>
      </c>
      <c r="T18" s="42">
        <f t="shared" ca="1" si="1"/>
        <v>5665762.9094811222</v>
      </c>
      <c r="U18" s="42">
        <f t="shared" ca="1" si="1"/>
        <v>5648755.3595403275</v>
      </c>
      <c r="V18" s="42">
        <f t="shared" ca="1" si="1"/>
        <v>5631830.6934911208</v>
      </c>
      <c r="W18" s="42">
        <f t="shared" ca="1" si="1"/>
        <v>5614988.250080023</v>
      </c>
      <c r="X18" s="42">
        <f t="shared" ca="1" si="1"/>
        <v>5598227.3746105134</v>
      </c>
      <c r="Y18" s="42">
        <f t="shared" ca="1" si="1"/>
        <v>5581547.4188741138</v>
      </c>
      <c r="Z18" s="42"/>
      <c r="AB18" s="54"/>
    </row>
    <row r="19" spans="1:69">
      <c r="E19" s="42"/>
      <c r="F19" s="42"/>
      <c r="G19" s="42"/>
      <c r="H19" s="42"/>
      <c r="I19" s="42"/>
      <c r="J19" s="42"/>
      <c r="K19" s="42"/>
      <c r="L19" s="42"/>
      <c r="M19" s="42"/>
      <c r="N19" s="42"/>
      <c r="O19" s="42"/>
      <c r="P19" s="42"/>
      <c r="Q19" s="42"/>
      <c r="R19" s="42"/>
      <c r="S19" s="42"/>
      <c r="T19" s="42"/>
      <c r="U19" s="42"/>
      <c r="V19" s="42"/>
      <c r="W19" s="42"/>
      <c r="X19" s="42"/>
      <c r="Y19" s="42"/>
    </row>
    <row r="20" spans="1:69" ht="15">
      <c r="A20" s="63" t="str">
        <f>CONCATENATE("# OF UNTREATED NEW HOMES FOR MEASURE -",$C$8)</f>
        <v># OF UNTREATED NEW HOMES FOR MEASURE -Computer</v>
      </c>
      <c r="C20" s="9" t="s">
        <v>146</v>
      </c>
      <c r="F20" s="72">
        <v>2016</v>
      </c>
      <c r="G20" s="72">
        <v>2017</v>
      </c>
      <c r="H20" s="72">
        <v>2018</v>
      </c>
      <c r="I20" s="72">
        <v>2019</v>
      </c>
      <c r="J20" s="72">
        <v>2020</v>
      </c>
      <c r="K20" s="72">
        <v>2021</v>
      </c>
      <c r="L20" s="72">
        <v>2022</v>
      </c>
      <c r="M20" s="72">
        <v>2023</v>
      </c>
      <c r="N20" s="72">
        <v>2024</v>
      </c>
      <c r="O20" s="72">
        <v>2025</v>
      </c>
      <c r="P20" s="72">
        <v>2026</v>
      </c>
      <c r="Q20" s="72">
        <v>2027</v>
      </c>
      <c r="R20" s="72">
        <v>2028</v>
      </c>
      <c r="S20" s="72">
        <v>2029</v>
      </c>
      <c r="T20" s="72">
        <v>2030</v>
      </c>
      <c r="U20" s="72">
        <v>2031</v>
      </c>
      <c r="V20" s="72">
        <v>2032</v>
      </c>
      <c r="W20" s="72">
        <v>2033</v>
      </c>
      <c r="X20" s="72">
        <v>2034</v>
      </c>
      <c r="Y20" s="72">
        <v>2035</v>
      </c>
      <c r="Z20" s="68"/>
      <c r="AB20" s="52"/>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1:69" ht="15">
      <c r="A21" s="9" t="s">
        <v>307</v>
      </c>
      <c r="F21" s="401">
        <v>1</v>
      </c>
      <c r="G21" s="401">
        <v>2</v>
      </c>
      <c r="H21" s="401">
        <v>3</v>
      </c>
      <c r="I21" s="401">
        <v>4</v>
      </c>
      <c r="J21" s="401">
        <v>5</v>
      </c>
      <c r="K21" s="401">
        <v>6</v>
      </c>
      <c r="L21" s="401">
        <v>7</v>
      </c>
      <c r="M21" s="401">
        <v>8</v>
      </c>
      <c r="N21" s="401">
        <v>9</v>
      </c>
      <c r="O21" s="401">
        <v>10</v>
      </c>
      <c r="P21" s="401">
        <v>11</v>
      </c>
      <c r="Q21" s="401">
        <v>12</v>
      </c>
      <c r="R21" s="401">
        <v>13</v>
      </c>
      <c r="S21" s="401">
        <v>14</v>
      </c>
      <c r="T21" s="401">
        <v>15</v>
      </c>
      <c r="U21" s="401">
        <v>16</v>
      </c>
      <c r="V21" s="401">
        <v>17</v>
      </c>
      <c r="W21" s="401">
        <v>18</v>
      </c>
      <c r="X21" s="401">
        <v>19</v>
      </c>
      <c r="Y21" s="401">
        <v>20</v>
      </c>
      <c r="Z21" s="402"/>
    </row>
    <row r="22" spans="1:69">
      <c r="C22" s="9" t="s">
        <v>48</v>
      </c>
      <c r="F22" s="60">
        <f>IF(F$21&lt;=1/$C$35,0,INDEX('SC-New (2)'!$E156:$Y156,1,F$21-ROUND(1/$C$35,0)))</f>
        <v>0</v>
      </c>
      <c r="G22" s="60">
        <f>IF(G$21&lt;=1/$C$35,0,INDEX('SC-New (2)'!$E156:$Y156,1,G$21-ROUND(1/$C$35,0)))</f>
        <v>0</v>
      </c>
      <c r="H22" s="60">
        <f>IF(H$21&lt;=1/$C$35,0,INDEX('SC-New (2)'!$E156:$Y156,1,H$21-ROUND(1/$C$35,0)))</f>
        <v>0</v>
      </c>
      <c r="I22" s="60">
        <f>IF(I$21&lt;=1/$C$35,0,INDEX('SC-New (2)'!$E156:$Y156,1,I$21-ROUND(1/$C$35,0)))</f>
        <v>0</v>
      </c>
      <c r="J22" s="60">
        <f ca="1">IF(J$21&lt;=1/$C$35,0,INDEX('SC-New (2)'!$E156:$Y156,1,J$21-ROUND(1/$C$35,0)))</f>
        <v>98889.942677925734</v>
      </c>
      <c r="K22" s="60">
        <f ca="1">IF(K$21&lt;=1/$C$35,0,INDEX('SC-New (2)'!$E156:$Y156,1,K$21-ROUND(1/$C$35,0)))</f>
        <v>81797.315747468529</v>
      </c>
      <c r="L22" s="60">
        <f ca="1">IF(L$21&lt;=1/$C$35,0,INDEX('SC-New (2)'!$E156:$Y156,1,L$21-ROUND(1/$C$35,0)))</f>
        <v>68745.584920655354</v>
      </c>
      <c r="M22" s="60">
        <f ca="1">IF(M$21&lt;=1/$C$35,0,INDEX('SC-New (2)'!$E156:$Y156,1,M$21-ROUND(1/$C$35,0)))</f>
        <v>60415.046406380774</v>
      </c>
      <c r="N22" s="60">
        <f ca="1">IF(N$21&lt;=1/$C$35,0,INDEX('SC-New (2)'!$E156:$Y156,1,N$21-ROUND(1/$C$35,0)))</f>
        <v>54314.362628191215</v>
      </c>
      <c r="O22" s="60">
        <f ca="1">IF(O$21&lt;=1/$C$35,0,INDEX('SC-New (2)'!$E156:$Y156,1,O$21-ROUND(1/$C$35,0)))</f>
        <v>50420.773797307222</v>
      </c>
      <c r="P22" s="60">
        <f ca="1">IF(P$21&lt;=1/$C$35,0,INDEX('SC-New (2)'!$E156:$Y156,1,P$21-ROUND(1/$C$35,0)))</f>
        <v>48579.662156561229</v>
      </c>
      <c r="Q22" s="60">
        <f ca="1">IF(Q$21&lt;=1/$C$35,0,INDEX('SC-New (2)'!$E156:$Y156,1,Q$21-ROUND(1/$C$35,0)))</f>
        <v>48319.731700516699</v>
      </c>
      <c r="R22" s="60">
        <f ca="1">IF(R$21&lt;=1/$C$35,0,INDEX('SC-New (2)'!$E156:$Y156,1,R$21-ROUND(1/$C$35,0)))</f>
        <v>47963.997564310383</v>
      </c>
      <c r="S22" s="60">
        <f ca="1">IF(S$21&lt;=1/$C$35,0,INDEX('SC-New (2)'!$E156:$Y156,1,S$21-ROUND(1/$C$35,0)))</f>
        <v>49027.024637621973</v>
      </c>
      <c r="T22" s="60">
        <f ca="1">IF(T$21&lt;=1/$C$35,0,INDEX('SC-New (2)'!$E156:$Y156,1,T$21-ROUND(1/$C$35,0)))</f>
        <v>49604.189734328058</v>
      </c>
      <c r="U22" s="60">
        <f ca="1">IF(U$21&lt;=1/$C$35,0,INDEX('SC-New (2)'!$E156:$Y156,1,U$21-ROUND(1/$C$35,0)))</f>
        <v>49206.210715463189</v>
      </c>
      <c r="V22" s="60">
        <f ca="1">IF(V$21&lt;=1/$C$35,0,INDEX('SC-New (2)'!$E156:$Y156,1,V$21-ROUND(1/$C$35,0)))</f>
        <v>48137.210909276335</v>
      </c>
      <c r="W22" s="60">
        <f ca="1">IF(W$21&lt;=1/$C$35,0,INDEX('SC-New (2)'!$E156:$Y156,1,W$21-ROUND(1/$C$35,0)))</f>
        <v>48422.371921076716</v>
      </c>
      <c r="X22" s="60">
        <f ca="1">IF(X$21&lt;=1/$C$35,0,INDEX('SC-New (2)'!$E156:$Y156,1,X$21-ROUND(1/$C$35,0)))</f>
        <v>49225.594764916845</v>
      </c>
      <c r="Y22" s="60">
        <f ca="1">IF(Y$21&lt;=1/$C$35,0,INDEX('SC-New (2)'!$E156:$Y156,1,Y$21-ROUND(1/$C$35,0)))</f>
        <v>49308.106440950083</v>
      </c>
      <c r="Z22" s="60"/>
      <c r="AB22" s="54"/>
    </row>
    <row r="23" spans="1:69">
      <c r="C23" s="9" t="s">
        <v>49</v>
      </c>
      <c r="F23" s="60">
        <f>IF(F$21&lt;=1/$C$35,0,INDEX('SC-New (2)'!$E157:$Y157,1,F$21-ROUND(1/$C$35,0)))</f>
        <v>0</v>
      </c>
      <c r="G23" s="60">
        <f>IF(G$21&lt;=1/$C$35,0,INDEX('SC-New (2)'!$E157:$Y157,1,G$21-ROUND(1/$C$35,0)))</f>
        <v>0</v>
      </c>
      <c r="H23" s="60">
        <f>IF(H$21&lt;=1/$C$35,0,INDEX('SC-New (2)'!$E157:$Y157,1,H$21-ROUND(1/$C$35,0)))</f>
        <v>0</v>
      </c>
      <c r="I23" s="60">
        <f>IF(I$21&lt;=1/$C$35,0,INDEX('SC-New (2)'!$E157:$Y157,1,I$21-ROUND(1/$C$35,0)))</f>
        <v>0</v>
      </c>
      <c r="J23" s="60">
        <f ca="1">IF(J$21&lt;=1/$C$35,0,INDEX('SC-New (2)'!$E157:$Y157,1,J$21-ROUND(1/$C$35,0)))</f>
        <v>36725.920321562458</v>
      </c>
      <c r="K23" s="60">
        <f ca="1">IF(K$21&lt;=1/$C$35,0,INDEX('SC-New (2)'!$E157:$Y157,1,K$21-ROUND(1/$C$35,0)))</f>
        <v>31399.384493118079</v>
      </c>
      <c r="L23" s="60">
        <f ca="1">IF(L$21&lt;=1/$C$35,0,INDEX('SC-New (2)'!$E157:$Y157,1,L$21-ROUND(1/$C$35,0)))</f>
        <v>27592.586129867297</v>
      </c>
      <c r="M23" s="60">
        <f ca="1">IF(M$21&lt;=1/$C$35,0,INDEX('SC-New (2)'!$E157:$Y157,1,M$21-ROUND(1/$C$35,0)))</f>
        <v>24266.926969167042</v>
      </c>
      <c r="N23" s="60">
        <f ca="1">IF(N$21&lt;=1/$C$35,0,INDEX('SC-New (2)'!$E157:$Y157,1,N$21-ROUND(1/$C$35,0)))</f>
        <v>21131.78555779604</v>
      </c>
      <c r="O23" s="60">
        <f ca="1">IF(O$21&lt;=1/$C$35,0,INDEX('SC-New (2)'!$E157:$Y157,1,O$21-ROUND(1/$C$35,0)))</f>
        <v>19849.319792844937</v>
      </c>
      <c r="P23" s="60">
        <f ca="1">IF(P$21&lt;=1/$C$35,0,INDEX('SC-New (2)'!$E157:$Y157,1,P$21-ROUND(1/$C$35,0)))</f>
        <v>19493.777031994621</v>
      </c>
      <c r="Q23" s="60">
        <f ca="1">IF(Q$21&lt;=1/$C$35,0,INDEX('SC-New (2)'!$E157:$Y157,1,Q$21-ROUND(1/$C$35,0)))</f>
        <v>19844.917401908999</v>
      </c>
      <c r="R23" s="60">
        <f ca="1">IF(R$21&lt;=1/$C$35,0,INDEX('SC-New (2)'!$E157:$Y157,1,R$21-ROUND(1/$C$35,0)))</f>
        <v>20388.300781185582</v>
      </c>
      <c r="S23" s="60">
        <f ca="1">IF(S$21&lt;=1/$C$35,0,INDEX('SC-New (2)'!$E157:$Y157,1,S$21-ROUND(1/$C$35,0)))</f>
        <v>21032.809846415261</v>
      </c>
      <c r="T23" s="60">
        <f ca="1">IF(T$21&lt;=1/$C$35,0,INDEX('SC-New (2)'!$E157:$Y157,1,T$21-ROUND(1/$C$35,0)))</f>
        <v>21221.062648217769</v>
      </c>
      <c r="U23" s="60">
        <f ca="1">IF(U$21&lt;=1/$C$35,0,INDEX('SC-New (2)'!$E157:$Y157,1,U$21-ROUND(1/$C$35,0)))</f>
        <v>21330.436283865663</v>
      </c>
      <c r="V23" s="60">
        <f ca="1">IF(V$21&lt;=1/$C$35,0,INDEX('SC-New (2)'!$E157:$Y157,1,V$21-ROUND(1/$C$35,0)))</f>
        <v>21469.166005685445</v>
      </c>
      <c r="W23" s="60">
        <f ca="1">IF(W$21&lt;=1/$C$35,0,INDEX('SC-New (2)'!$E157:$Y157,1,W$21-ROUND(1/$C$35,0)))</f>
        <v>21339.128456190541</v>
      </c>
      <c r="X23" s="60">
        <f ca="1">IF(X$21&lt;=1/$C$35,0,INDEX('SC-New (2)'!$E157:$Y157,1,X$21-ROUND(1/$C$35,0)))</f>
        <v>21184.428426275736</v>
      </c>
      <c r="Y23" s="60">
        <f ca="1">IF(Y$21&lt;=1/$C$35,0,INDEX('SC-New (2)'!$E157:$Y157,1,Y$21-ROUND(1/$C$35,0)))</f>
        <v>20874.810359969102</v>
      </c>
      <c r="Z23" s="60"/>
      <c r="AB23" s="54"/>
    </row>
    <row r="24" spans="1:69">
      <c r="C24" s="9" t="s">
        <v>50</v>
      </c>
      <c r="F24" s="60">
        <f>IF(F$21&lt;=1/$C$35,0,INDEX('SC-New (2)'!$E158:$Y158,1,F$21-ROUND(1/$C$35,0)))</f>
        <v>0</v>
      </c>
      <c r="G24" s="60">
        <f>IF(G$21&lt;=1/$C$35,0,INDEX('SC-New (2)'!$E158:$Y158,1,G$21-ROUND(1/$C$35,0)))</f>
        <v>0</v>
      </c>
      <c r="H24" s="60">
        <f>IF(H$21&lt;=1/$C$35,0,INDEX('SC-New (2)'!$E158:$Y158,1,H$21-ROUND(1/$C$35,0)))</f>
        <v>0</v>
      </c>
      <c r="I24" s="60">
        <f>IF(I$21&lt;=1/$C$35,0,INDEX('SC-New (2)'!$E158:$Y158,1,I$21-ROUND(1/$C$35,0)))</f>
        <v>0</v>
      </c>
      <c r="J24" s="60">
        <f ca="1">IF(J$21&lt;=1/$C$35,0,INDEX('SC-New (2)'!$E158:$Y158,1,J$21-ROUND(1/$C$35,0)))</f>
        <v>8244.6548909790672</v>
      </c>
      <c r="K24" s="60">
        <f ca="1">IF(K$21&lt;=1/$C$35,0,INDEX('SC-New (2)'!$E158:$Y158,1,K$21-ROUND(1/$C$35,0)))</f>
        <v>7148.121575637786</v>
      </c>
      <c r="L24" s="60">
        <f ca="1">IF(L$21&lt;=1/$C$35,0,INDEX('SC-New (2)'!$E158:$Y158,1,L$21-ROUND(1/$C$35,0)))</f>
        <v>6376.0401024482135</v>
      </c>
      <c r="M24" s="60">
        <f ca="1">IF(M$21&lt;=1/$C$35,0,INDEX('SC-New (2)'!$E158:$Y158,1,M$21-ROUND(1/$C$35,0)))</f>
        <v>5478.2455020142579</v>
      </c>
      <c r="N24" s="60">
        <f ca="1">IF(N$21&lt;=1/$C$35,0,INDEX('SC-New (2)'!$E158:$Y158,1,N$21-ROUND(1/$C$35,0)))</f>
        <v>4678.088407543416</v>
      </c>
      <c r="O24" s="60">
        <f ca="1">IF(O$21&lt;=1/$C$35,0,INDEX('SC-New (2)'!$E158:$Y158,1,O$21-ROUND(1/$C$35,0)))</f>
        <v>4459.9896853416594</v>
      </c>
      <c r="P24" s="60">
        <f ca="1">IF(P$21&lt;=1/$C$35,0,INDEX('SC-New (2)'!$E158:$Y158,1,P$21-ROUND(1/$C$35,0)))</f>
        <v>4392.959480902955</v>
      </c>
      <c r="Q24" s="60">
        <f ca="1">IF(Q$21&lt;=1/$C$35,0,INDEX('SC-New (2)'!$E158:$Y158,1,Q$21-ROUND(1/$C$35,0)))</f>
        <v>4527.6802789527901</v>
      </c>
      <c r="R24" s="60">
        <f ca="1">IF(R$21&lt;=1/$C$35,0,INDEX('SC-New (2)'!$E158:$Y158,1,R$21-ROUND(1/$C$35,0)))</f>
        <v>4618.9522659357672</v>
      </c>
      <c r="S24" s="60">
        <f ca="1">IF(S$21&lt;=1/$C$35,0,INDEX('SC-New (2)'!$E158:$Y158,1,S$21-ROUND(1/$C$35,0)))</f>
        <v>4764.4667142164999</v>
      </c>
      <c r="T24" s="60">
        <f ca="1">IF(T$21&lt;=1/$C$35,0,INDEX('SC-New (2)'!$E158:$Y158,1,T$21-ROUND(1/$C$35,0)))</f>
        <v>4749.2435342544604</v>
      </c>
      <c r="U24" s="60">
        <f ca="1">IF(U$21&lt;=1/$C$35,0,INDEX('SC-New (2)'!$E158:$Y158,1,U$21-ROUND(1/$C$35,0)))</f>
        <v>4764.4858476388199</v>
      </c>
      <c r="V24" s="60">
        <f ca="1">IF(V$21&lt;=1/$C$35,0,INDEX('SC-New (2)'!$E158:$Y158,1,V$21-ROUND(1/$C$35,0)))</f>
        <v>4754.1056628784772</v>
      </c>
      <c r="W24" s="60">
        <f ca="1">IF(W$21&lt;=1/$C$35,0,INDEX('SC-New (2)'!$E158:$Y158,1,W$21-ROUND(1/$C$35,0)))</f>
        <v>4762.3304211262503</v>
      </c>
      <c r="X24" s="60">
        <f ca="1">IF(X$21&lt;=1/$C$35,0,INDEX('SC-New (2)'!$E158:$Y158,1,X$21-ROUND(1/$C$35,0)))</f>
        <v>4750.3277926769515</v>
      </c>
      <c r="Y24" s="60">
        <f ca="1">IF(Y$21&lt;=1/$C$35,0,INDEX('SC-New (2)'!$E158:$Y158,1,Y$21-ROUND(1/$C$35,0)))</f>
        <v>4677.5849343804512</v>
      </c>
      <c r="Z24" s="60"/>
      <c r="AB24" s="54"/>
    </row>
    <row r="25" spans="1:69">
      <c r="C25" s="9" t="s">
        <v>51</v>
      </c>
      <c r="F25" s="60">
        <f>IF(F$21&lt;=1/$C$35,0,INDEX('SC-New (2)'!$E159:$Y159,1,F$21-ROUND(1/$C$35,0)))</f>
        <v>0</v>
      </c>
      <c r="G25" s="60">
        <f>IF(G$21&lt;=1/$C$35,0,INDEX('SC-New (2)'!$E159:$Y159,1,G$21-ROUND(1/$C$35,0)))</f>
        <v>0</v>
      </c>
      <c r="H25" s="60">
        <f>IF(H$21&lt;=1/$C$35,0,INDEX('SC-New (2)'!$E159:$Y159,1,H$21-ROUND(1/$C$35,0)))</f>
        <v>0</v>
      </c>
      <c r="I25" s="60">
        <f>IF(I$21&lt;=1/$C$35,0,INDEX('SC-New (2)'!$E159:$Y159,1,I$21-ROUND(1/$C$35,0)))</f>
        <v>0</v>
      </c>
      <c r="J25" s="60">
        <f ca="1">IF(J$21&lt;=1/$C$35,0,INDEX('SC-New (2)'!$E159:$Y159,1,J$21-ROUND(1/$C$35,0)))</f>
        <v>2949.3493831934984</v>
      </c>
      <c r="K25" s="60">
        <f ca="1">IF(K$21&lt;=1/$C$35,0,INDEX('SC-New (2)'!$E159:$Y159,1,K$21-ROUND(1/$C$35,0)))</f>
        <v>2567.0666221456158</v>
      </c>
      <c r="L25" s="60">
        <f ca="1">IF(L$21&lt;=1/$C$35,0,INDEX('SC-New (2)'!$E159:$Y159,1,L$21-ROUND(1/$C$35,0)))</f>
        <v>2357.6438443411707</v>
      </c>
      <c r="M25" s="60">
        <f ca="1">IF(M$21&lt;=1/$C$35,0,INDEX('SC-New (2)'!$E159:$Y159,1,M$21-ROUND(1/$C$35,0)))</f>
        <v>2220.7919127981299</v>
      </c>
      <c r="N25" s="60">
        <f ca="1">IF(N$21&lt;=1/$C$35,0,INDEX('SC-New (2)'!$E159:$Y159,1,N$21-ROUND(1/$C$35,0)))</f>
        <v>1989.055374663111</v>
      </c>
      <c r="O25" s="60">
        <f ca="1">IF(O$21&lt;=1/$C$35,0,INDEX('SC-New (2)'!$E159:$Y159,1,O$21-ROUND(1/$C$35,0)))</f>
        <v>1907.3441772403901</v>
      </c>
      <c r="P25" s="60">
        <f ca="1">IF(P$21&lt;=1/$C$35,0,INDEX('SC-New (2)'!$E159:$Y159,1,P$21-ROUND(1/$C$35,0)))</f>
        <v>1896.6250529205524</v>
      </c>
      <c r="Q25" s="60">
        <f ca="1">IF(Q$21&lt;=1/$C$35,0,INDEX('SC-New (2)'!$E159:$Y159,1,Q$21-ROUND(1/$C$35,0)))</f>
        <v>1906.2232124402544</v>
      </c>
      <c r="R25" s="60">
        <f ca="1">IF(R$21&lt;=1/$C$35,0,INDEX('SC-New (2)'!$E159:$Y159,1,R$21-ROUND(1/$C$35,0)))</f>
        <v>1922.4007845975382</v>
      </c>
      <c r="S25" s="60">
        <f ca="1">IF(S$21&lt;=1/$C$35,0,INDEX('SC-New (2)'!$E159:$Y159,1,S$21-ROUND(1/$C$35,0)))</f>
        <v>1931.9154878738641</v>
      </c>
      <c r="T25" s="60">
        <f ca="1">IF(T$21&lt;=1/$C$35,0,INDEX('SC-New (2)'!$E159:$Y159,1,T$21-ROUND(1/$C$35,0)))</f>
        <v>1930.6257112191806</v>
      </c>
      <c r="U25" s="60">
        <f ca="1">IF(U$21&lt;=1/$C$35,0,INDEX('SC-New (2)'!$E159:$Y159,1,U$21-ROUND(1/$C$35,0)))</f>
        <v>1938.0029567423653</v>
      </c>
      <c r="V25" s="60">
        <f ca="1">IF(V$21&lt;=1/$C$35,0,INDEX('SC-New (2)'!$E159:$Y159,1,V$21-ROUND(1/$C$35,0)))</f>
        <v>1950.2606647851492</v>
      </c>
      <c r="W25" s="60">
        <f ca="1">IF(W$21&lt;=1/$C$35,0,INDEX('SC-New (2)'!$E159:$Y159,1,W$21-ROUND(1/$C$35,0)))</f>
        <v>1961.9596536398051</v>
      </c>
      <c r="X25" s="60">
        <f ca="1">IF(X$21&lt;=1/$C$35,0,INDEX('SC-New (2)'!$E159:$Y159,1,X$21-ROUND(1/$C$35,0)))</f>
        <v>1972.2128021612536</v>
      </c>
      <c r="Y25" s="60">
        <f ca="1">IF(Y$21&lt;=1/$C$35,0,INDEX('SC-New (2)'!$E159:$Y159,1,Y$21-ROUND(1/$C$35,0)))</f>
        <v>1983.0051043868425</v>
      </c>
      <c r="Z25" s="60"/>
      <c r="AB25" s="54"/>
    </row>
    <row r="26" spans="1:69">
      <c r="F26" s="42"/>
      <c r="G26" s="42"/>
      <c r="H26" s="42"/>
      <c r="I26" s="42"/>
      <c r="J26" s="42"/>
      <c r="K26" s="42"/>
      <c r="L26" s="42"/>
      <c r="M26" s="42"/>
      <c r="N26" s="42"/>
      <c r="O26" s="42"/>
      <c r="P26" s="42"/>
      <c r="Q26" s="42"/>
      <c r="R26" s="42"/>
      <c r="S26" s="42"/>
      <c r="T26" s="42"/>
      <c r="U26" s="42"/>
      <c r="V26" s="42"/>
      <c r="W26" s="42"/>
      <c r="X26" s="42"/>
      <c r="Y26" s="42"/>
      <c r="Z26" s="42"/>
    </row>
    <row r="27" spans="1:69">
      <c r="B27" s="9" t="s">
        <v>56</v>
      </c>
      <c r="C27" s="9" t="s">
        <v>57</v>
      </c>
      <c r="F27" s="42">
        <f ca="1">F18+SUM(F22:F25)</f>
        <v>5912957.9357845243</v>
      </c>
      <c r="G27" s="42">
        <f t="shared" ref="G27:Y27" ca="1" si="2">G18+SUM(G22:G25)</f>
        <v>5894716.7373226183</v>
      </c>
      <c r="H27" s="42">
        <f t="shared" ca="1" si="2"/>
        <v>5876568.4091907088</v>
      </c>
      <c r="I27" s="42">
        <f t="shared" ca="1" si="2"/>
        <v>5858512.1906713378</v>
      </c>
      <c r="J27" s="42">
        <f t="shared" ca="1" si="2"/>
        <v>5987357.1959241526</v>
      </c>
      <c r="K27" s="42">
        <f t="shared" ca="1" si="2"/>
        <v>5945584.9659759011</v>
      </c>
      <c r="L27" s="42">
        <f t="shared" ca="1" si="2"/>
        <v>5909960.5541832931</v>
      </c>
      <c r="M27" s="42">
        <f t="shared" ca="1" si="2"/>
        <v>5879574.4736055322</v>
      </c>
      <c r="N27" s="42">
        <f t="shared" ca="1" si="2"/>
        <v>5851699.9369008904</v>
      </c>
      <c r="O27" s="42">
        <f t="shared" ca="1" si="2"/>
        <v>5828704.9567104559</v>
      </c>
      <c r="P27" s="42">
        <f t="shared" ca="1" si="2"/>
        <v>5808998.4303674605</v>
      </c>
      <c r="Q27" s="42">
        <f t="shared" ca="1" si="2"/>
        <v>5791888.1276040254</v>
      </c>
      <c r="R27" s="42">
        <f t="shared" ca="1" si="2"/>
        <v>5774922.990650882</v>
      </c>
      <c r="S27" s="42">
        <f t="shared" ca="1" si="2"/>
        <v>5759610.2278797189</v>
      </c>
      <c r="T27" s="42">
        <f t="shared" ca="1" si="2"/>
        <v>5743268.0311091412</v>
      </c>
      <c r="U27" s="42">
        <f t="shared" ca="1" si="2"/>
        <v>5725994.4953440372</v>
      </c>
      <c r="V27" s="42">
        <f t="shared" ca="1" si="2"/>
        <v>5708141.436733746</v>
      </c>
      <c r="W27" s="42">
        <f t="shared" ca="1" si="2"/>
        <v>5691474.0405320562</v>
      </c>
      <c r="X27" s="42">
        <f t="shared" ca="1" si="2"/>
        <v>5675359.9383965442</v>
      </c>
      <c r="Y27" s="42">
        <f t="shared" ca="1" si="2"/>
        <v>5658390.9257137999</v>
      </c>
      <c r="Z27" s="42"/>
      <c r="AB27" s="54"/>
    </row>
    <row r="28" spans="1:69">
      <c r="E28" s="42"/>
      <c r="F28" s="42"/>
      <c r="G28" s="42"/>
      <c r="H28" s="42"/>
      <c r="I28" s="42"/>
      <c r="J28" s="42"/>
      <c r="K28" s="42"/>
      <c r="L28" s="42"/>
      <c r="M28" s="42"/>
      <c r="N28" s="42"/>
      <c r="O28" s="42"/>
      <c r="P28" s="42"/>
      <c r="Q28" s="42"/>
      <c r="R28" s="42"/>
      <c r="S28" s="42"/>
      <c r="T28" s="42"/>
      <c r="U28" s="42"/>
      <c r="V28" s="42"/>
      <c r="W28" s="42"/>
      <c r="X28" s="42"/>
      <c r="Y28" s="42"/>
    </row>
    <row r="29" spans="1:69" ht="15">
      <c r="A29" s="63" t="str">
        <f>CONCATENATE("# HOMES APPLICABLE BY YEAR FOR MEASURE - ",D30)</f>
        <v># HOMES APPLICABLE BY YEAR FOR MEASURE - Computer - NR</v>
      </c>
      <c r="D29" s="9" t="s">
        <v>147</v>
      </c>
      <c r="E29" s="42"/>
      <c r="F29" s="42"/>
      <c r="G29" s="42"/>
      <c r="H29" s="42"/>
      <c r="I29" s="42"/>
      <c r="J29" s="42"/>
      <c r="K29" s="42"/>
      <c r="L29" s="42"/>
      <c r="M29" s="42"/>
      <c r="N29" s="42"/>
      <c r="O29" s="42"/>
      <c r="P29" s="42"/>
      <c r="Q29" s="42"/>
      <c r="R29" s="42"/>
      <c r="S29" s="42"/>
      <c r="T29" s="42"/>
      <c r="U29" s="42"/>
      <c r="V29" s="42"/>
      <c r="W29" s="42"/>
      <c r="X29" s="42"/>
      <c r="Y29" s="42"/>
      <c r="AB29" s="52">
        <v>0.85</v>
      </c>
    </row>
    <row r="30" spans="1:69" ht="15">
      <c r="A30" s="72" t="s">
        <v>58</v>
      </c>
      <c r="B30" s="72" t="s">
        <v>342</v>
      </c>
      <c r="C30" s="72" t="s">
        <v>308</v>
      </c>
      <c r="D30" s="72" t="str">
        <f>CONCATENATE(C8," - ",C7)</f>
        <v>Computer - NR</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Y30" s="9">
        <v>23</v>
      </c>
      <c r="AB30" s="50" t="s">
        <v>59</v>
      </c>
    </row>
    <row r="31" spans="1:69">
      <c r="A31" s="64"/>
      <c r="B31" s="89"/>
      <c r="C31" s="348"/>
      <c r="F31" s="42"/>
      <c r="G31" s="42"/>
      <c r="H31" s="42"/>
      <c r="I31" s="42"/>
      <c r="J31" s="42"/>
      <c r="K31" s="42"/>
      <c r="L31" s="42"/>
      <c r="M31" s="42"/>
      <c r="N31" s="42"/>
      <c r="O31" s="42"/>
      <c r="P31" s="42"/>
      <c r="Q31" s="42"/>
      <c r="R31" s="42"/>
      <c r="S31" s="42"/>
      <c r="T31" s="42"/>
      <c r="U31" s="42"/>
      <c r="V31" s="42"/>
      <c r="W31" s="42"/>
      <c r="X31" s="42"/>
      <c r="Y31" s="42"/>
      <c r="Z31" s="42"/>
      <c r="AB31" s="54"/>
    </row>
    <row r="32" spans="1:69">
      <c r="A32" s="64"/>
      <c r="B32" s="89"/>
      <c r="C32" s="348"/>
      <c r="F32" s="42"/>
      <c r="G32" s="42"/>
      <c r="H32" s="42"/>
      <c r="I32" s="42"/>
      <c r="J32" s="42"/>
      <c r="K32" s="42"/>
      <c r="L32" s="42"/>
      <c r="M32" s="42"/>
      <c r="N32" s="42"/>
      <c r="O32" s="42"/>
      <c r="P32" s="42"/>
      <c r="Q32" s="42"/>
      <c r="R32" s="42"/>
      <c r="S32" s="42"/>
      <c r="T32" s="42"/>
      <c r="U32" s="42"/>
      <c r="V32" s="42"/>
      <c r="W32" s="42"/>
      <c r="X32" s="42"/>
      <c r="Y32" s="42"/>
      <c r="Z32" s="42"/>
      <c r="AB32" s="54"/>
    </row>
    <row r="33" spans="1:28">
      <c r="A33" s="64"/>
      <c r="B33" s="89"/>
      <c r="C33" s="348"/>
      <c r="F33" s="42"/>
      <c r="G33" s="42"/>
      <c r="H33" s="42"/>
      <c r="I33" s="42"/>
      <c r="J33" s="42"/>
      <c r="K33" s="42"/>
      <c r="L33" s="42"/>
      <c r="M33" s="42"/>
      <c r="N33" s="42"/>
      <c r="O33" s="42"/>
      <c r="P33" s="42"/>
      <c r="Q33" s="42"/>
      <c r="R33" s="42"/>
      <c r="S33" s="42"/>
      <c r="T33" s="42"/>
      <c r="U33" s="42"/>
      <c r="V33" s="42"/>
      <c r="W33" s="42"/>
      <c r="X33" s="42"/>
      <c r="Y33" s="42"/>
      <c r="Z33" s="42"/>
      <c r="AB33" s="54"/>
    </row>
    <row r="34" spans="1:28">
      <c r="A34" s="64"/>
      <c r="B34" s="89"/>
      <c r="C34" s="348"/>
      <c r="D34"/>
      <c r="F34" s="42"/>
      <c r="G34" s="42"/>
      <c r="H34" s="42"/>
      <c r="I34" s="42"/>
      <c r="J34" s="42"/>
      <c r="K34" s="42"/>
      <c r="L34" s="42"/>
      <c r="M34" s="42"/>
      <c r="N34" s="42"/>
      <c r="O34" s="42"/>
      <c r="P34" s="42"/>
      <c r="Q34" s="42"/>
      <c r="R34" s="42"/>
      <c r="S34" s="42"/>
      <c r="T34" s="42"/>
      <c r="U34" s="42"/>
      <c r="V34" s="42"/>
      <c r="W34" s="42"/>
      <c r="X34" s="42"/>
      <c r="Y34" s="42"/>
      <c r="Z34" s="42"/>
      <c r="AB34" s="54"/>
    </row>
    <row r="35" spans="1:28">
      <c r="A35" s="64">
        <f>INDEX([2]!ResApplic,MATCH($E35&amp;" - "&amp;$C$7,[2]APPLIC!$B$9:$B$120,0)+1,MATCH($D35,[2]APPLIC!$C$8:$F$8,0)+1)</f>
        <v>0.75</v>
      </c>
      <c r="B35" s="89">
        <f>VLOOKUP($E35,'Units per home'!$A$18:$E$20,MATCH('SC-NR (2)'!$D35,'Units per home'!$B$17:$E$17,0)+1,FALSE)</f>
        <v>0.96428380745963449</v>
      </c>
      <c r="C35" s="348">
        <f>VLOOKUP(CONCATENATE($E35," - ",$C$7),[2]TURN!$B$10:$G$79,6,FALSE)</f>
        <v>0.25</v>
      </c>
      <c r="D35" s="9" t="str">
        <f>C22</f>
        <v>Single Family</v>
      </c>
      <c r="E35" s="9" t="s">
        <v>157</v>
      </c>
      <c r="F35" s="42">
        <f ca="1">$A35*$B35*$C35*VLOOKUP($D35,$C$13:$Z$16,F$30,FALSE)*VLOOKUP($E35,'Units per home'!$A$32:$U$34,F$30-2,FALSE)</f>
        <v>748924.96265060431</v>
      </c>
      <c r="G35" s="42">
        <f ca="1">$A35*$B35*$C35*VLOOKUP($D35,$C$13:$Z$16,G$30,FALSE)*VLOOKUP($E35,'Units per home'!$A$32:$U$34,G$30-2,FALSE)</f>
        <v>740041.91015498759</v>
      </c>
      <c r="H35" s="42">
        <f ca="1">$A35*$B35*$C35*VLOOKUP($D35,$C$13:$Z$16,H$30,FALSE)*VLOOKUP($E35,'Units per home'!$A$32:$U$34,H$30-2,FALSE)</f>
        <v>731195.33880597411</v>
      </c>
      <c r="I35" s="42">
        <f ca="1">$A35*$B35*$C35*VLOOKUP($D35,$C$13:$Z$16,I$30,FALSE)*VLOOKUP($E35,'Units per home'!$A$32:$U$34,I$30-2,FALSE)</f>
        <v>722385.12872714864</v>
      </c>
      <c r="J35" s="42">
        <f ca="1">$A35*$B35*$C35*VLOOKUP($D35,$C$13:$Z$16,J$30,FALSE)*VLOOKUP($E35,'Units per home'!$A$32:$U$34,J$30-2,FALSE)</f>
        <v>713611.16039840912</v>
      </c>
      <c r="K35" s="42">
        <f ca="1">$A35*$B35*$C35*VLOOKUP($D35,$C$13:$Z$16,K$30,FALSE)*VLOOKUP($E35,'Units per home'!$A$32:$U$34,K$30-2,FALSE)</f>
        <v>705574.04757954564</v>
      </c>
      <c r="L35" s="42">
        <f ca="1">$A35*$B35*$C35*VLOOKUP($D35,$C$13:$Z$16,L$30,FALSE)*VLOOKUP($E35,'Units per home'!$A$32:$U$34,L$30-2,FALSE)</f>
        <v>697569.75611305982</v>
      </c>
      <c r="M35" s="42">
        <f ca="1">$A35*$B35*$C35*VLOOKUP($D35,$C$13:$Z$16,M$30,FALSE)*VLOOKUP($E35,'Units per home'!$A$32:$U$34,M$30-2,FALSE)</f>
        <v>689598.17838167702</v>
      </c>
      <c r="N35" s="42">
        <f ca="1">$A35*$B35*$C35*VLOOKUP($D35,$C$13:$Z$16,N$30,FALSE)*VLOOKUP($E35,'Units per home'!$A$32:$U$34,N$30-2,FALSE)</f>
        <v>681659.20708763192</v>
      </c>
      <c r="O35" s="42">
        <f ca="1">$A35*$B35*$C35*VLOOKUP($D35,$C$13:$Z$16,O$30,FALSE)*VLOOKUP($E35,'Units per home'!$A$32:$U$34,O$30-2,FALSE)</f>
        <v>673752.73525177198</v>
      </c>
      <c r="P35" s="42">
        <f ca="1">$A35*$B35*$C35*VLOOKUP($D35,$C$13:$Z$16,P$30,FALSE)*VLOOKUP($E35,'Units per home'!$A$32:$U$34,P$30-2,FALSE)</f>
        <v>665878.65621266351</v>
      </c>
      <c r="Q35" s="42">
        <f ca="1">$A35*$B35*$C35*VLOOKUP($D35,$C$13:$Z$16,Q$30,FALSE)*VLOOKUP($E35,'Units per home'!$A$32:$U$34,Q$30-2,FALSE)</f>
        <v>658036.8636257007</v>
      </c>
      <c r="R35" s="42">
        <f ca="1">$A35*$B35*$C35*VLOOKUP($D35,$C$13:$Z$16,R$30,FALSE)*VLOOKUP($E35,'Units per home'!$A$32:$U$34,R$30-2,FALSE)</f>
        <v>650227.25146221707</v>
      </c>
      <c r="S35" s="42">
        <f ca="1">$A35*$B35*$C35*VLOOKUP($D35,$C$13:$Z$16,S$30,FALSE)*VLOOKUP($E35,'Units per home'!$A$32:$U$34,S$30-2,FALSE)</f>
        <v>642449.71400859836</v>
      </c>
      <c r="T35" s="42">
        <f ca="1">$A35*$B35*$C35*VLOOKUP($D35,$C$13:$Z$16,T$30,FALSE)*VLOOKUP($E35,'Units per home'!$A$32:$U$34,T$30-2,FALSE)</f>
        <v>634704.14586539799</v>
      </c>
      <c r="U35" s="42">
        <f ca="1">$A35*$B35*$C35*VLOOKUP($D35,$C$13:$Z$16,U$30,FALSE)*VLOOKUP($E35,'Units per home'!$A$32:$U$34,U$30-2,FALSE)</f>
        <v>625615.92217771139</v>
      </c>
      <c r="V35" s="42">
        <f ca="1">$A35*$B35*$C35*VLOOKUP($D35,$C$13:$Z$16,V$30,FALSE)*VLOOKUP($E35,'Units per home'!$A$32:$U$34,V$30-2,FALSE)</f>
        <v>616565.70040811179</v>
      </c>
      <c r="W35" s="42">
        <f ca="1">$A35*$B35*$C35*VLOOKUP($D35,$C$13:$Z$16,W$30,FALSE)*VLOOKUP($E35,'Units per home'!$A$32:$U$34,W$30-2,FALSE)</f>
        <v>607553.35483145947</v>
      </c>
      <c r="X35" s="42">
        <f ca="1">$A35*$B35*$C35*VLOOKUP($D35,$C$13:$Z$16,X$30,FALSE)*VLOOKUP($E35,'Units per home'!$A$32:$U$34,X$30-2,FALSE)</f>
        <v>598578.76009764813</v>
      </c>
      <c r="Y35" s="42">
        <f ca="1">$A35*$B35*$C35*VLOOKUP($D35,$C$13:$Z$16,Y$30,FALSE)*VLOOKUP($E35,'Units per home'!$A$32:$U$34,Y$30-2,FALSE)</f>
        <v>597219.51864156371</v>
      </c>
      <c r="Z35" s="42"/>
      <c r="AB35" s="42">
        <f ca="1">$A35*$B35*VLOOKUP($D35,$C$13:$Y$16,$Y$30,FALSE)*VLOOKUP($E35,'Units per home'!$A$32:$U$34,Y$30-2,FALSE)*$AB$29</f>
        <v>2030546.3633813167</v>
      </c>
    </row>
    <row r="36" spans="1:28">
      <c r="A36" s="64">
        <f>INDEX([2]!ResApplic,MATCH($E36&amp;" - "&amp;$C$7,[2]APPLIC!$B$9:$B$120,0)+1,MATCH($D36,[2]APPLIC!$C$8:$F$8,0)+1)</f>
        <v>0.75</v>
      </c>
      <c r="B36" s="89">
        <f>VLOOKUP($E36,'Units per home'!$A$18:$E$20,MATCH('SC-NR (2)'!$D36,'Units per home'!$B$17:$E$17,0)+1,FALSE)</f>
        <v>0.44414870578030757</v>
      </c>
      <c r="C36" s="348">
        <f>VLOOKUP(CONCATENATE($E36," - ",$C$7),[2]TURN!$B$10:$G$79,6,FALSE)</f>
        <v>0.25</v>
      </c>
      <c r="D36" s="9" t="str">
        <f>C23</f>
        <v>Multifamily - Low Rise</v>
      </c>
      <c r="E36" s="9" t="s">
        <v>157</v>
      </c>
      <c r="F36" s="42">
        <f ca="1">$A36*$B36*$C36*VLOOKUP($D36,$C$13:$Z$16,F$30,FALSE)*VLOOKUP($E36,'Units per home'!$A$32:$U$34,F$30-2,FALSE)</f>
        <v>76010.382772567842</v>
      </c>
      <c r="G36" s="42">
        <f ca="1">$A36*$B36*$C36*VLOOKUP($D36,$C$13:$Z$16,G$30,FALSE)*VLOOKUP($E36,'Units per home'!$A$32:$U$34,G$30-2,FALSE)</f>
        <v>75108.815442874999</v>
      </c>
      <c r="H36" s="42">
        <f ca="1">$A36*$B36*$C36*VLOOKUP($D36,$C$13:$Z$16,H$30,FALSE)*VLOOKUP($E36,'Units per home'!$A$32:$U$34,H$30-2,FALSE)</f>
        <v>74210.95074731372</v>
      </c>
      <c r="I36" s="42">
        <f ca="1">$A36*$B36*$C36*VLOOKUP($D36,$C$13:$Z$16,I$30,FALSE)*VLOOKUP($E36,'Units per home'!$A$32:$U$34,I$30-2,FALSE)</f>
        <v>73316.77651890328</v>
      </c>
      <c r="J36" s="42">
        <f ca="1">$A36*$B36*$C36*VLOOKUP($D36,$C$13:$Z$16,J$30,FALSE)*VLOOKUP($E36,'Units per home'!$A$32:$U$34,J$30-2,FALSE)</f>
        <v>72426.280626827778</v>
      </c>
      <c r="K36" s="42">
        <f ca="1">$A36*$B36*$C36*VLOOKUP($D36,$C$13:$Z$16,K$30,FALSE)*VLOOKUP($E36,'Units per home'!$A$32:$U$34,K$30-2,FALSE)</f>
        <v>71610.570208207064</v>
      </c>
      <c r="L36" s="42">
        <f ca="1">$A36*$B36*$C36*VLOOKUP($D36,$C$13:$Z$16,L$30,FALSE)*VLOOKUP($E36,'Units per home'!$A$32:$U$34,L$30-2,FALSE)</f>
        <v>70798.190974741854</v>
      </c>
      <c r="M36" s="42">
        <f ca="1">$A36*$B36*$C36*VLOOKUP($D36,$C$13:$Z$16,M$30,FALSE)*VLOOKUP($E36,'Units per home'!$A$32:$U$34,M$30-2,FALSE)</f>
        <v>69989.132003706356</v>
      </c>
      <c r="N36" s="42">
        <f ca="1">$A36*$B36*$C36*VLOOKUP($D36,$C$13:$Z$16,N$30,FALSE)*VLOOKUP($E36,'Units per home'!$A$32:$U$34,N$30-2,FALSE)</f>
        <v>69183.382404804201</v>
      </c>
      <c r="O36" s="42">
        <f ca="1">$A36*$B36*$C36*VLOOKUP($D36,$C$13:$Z$16,O$30,FALSE)*VLOOKUP($E36,'Units per home'!$A$32:$U$34,O$30-2,FALSE)</f>
        <v>68380.931320077478</v>
      </c>
      <c r="P36" s="42">
        <f ca="1">$A36*$B36*$C36*VLOOKUP($D36,$C$13:$Z$16,P$30,FALSE)*VLOOKUP($E36,'Units per home'!$A$32:$U$34,P$30-2,FALSE)</f>
        <v>67581.767923815991</v>
      </c>
      <c r="Q36" s="42">
        <f ca="1">$A36*$B36*$C36*VLOOKUP($D36,$C$13:$Z$16,Q$30,FALSE)*VLOOKUP($E36,'Units per home'!$A$32:$U$34,Q$30-2,FALSE)</f>
        <v>66785.881422466817</v>
      </c>
      <c r="R36" s="42">
        <f ca="1">$A36*$B36*$C36*VLOOKUP($D36,$C$13:$Z$16,R$30,FALSE)*VLOOKUP($E36,'Units per home'!$A$32:$U$34,R$30-2,FALSE)</f>
        <v>65993.261054544026</v>
      </c>
      <c r="S36" s="42">
        <f ca="1">$A36*$B36*$C36*VLOOKUP($D36,$C$13:$Z$16,S$30,FALSE)*VLOOKUP($E36,'Units per home'!$A$32:$U$34,S$30-2,FALSE)</f>
        <v>65203.896090538874</v>
      </c>
      <c r="T36" s="42">
        <f ca="1">$A36*$B36*$C36*VLOOKUP($D36,$C$13:$Z$16,T$30,FALSE)*VLOOKUP($E36,'Units per home'!$A$32:$U$34,T$30-2,FALSE)</f>
        <v>64417.7758328298</v>
      </c>
      <c r="U36" s="42">
        <f ca="1">$A36*$B36*$C36*VLOOKUP($D36,$C$13:$Z$16,U$30,FALSE)*VLOOKUP($E36,'Units per home'!$A$32:$U$34,U$30-2,FALSE)</f>
        <v>63495.386031635797</v>
      </c>
      <c r="V36" s="42">
        <f ca="1">$A36*$B36*$C36*VLOOKUP($D36,$C$13:$Z$16,V$30,FALSE)*VLOOKUP($E36,'Units per home'!$A$32:$U$34,V$30-2,FALSE)</f>
        <v>62576.853211245456</v>
      </c>
      <c r="W36" s="42">
        <f ca="1">$A36*$B36*$C36*VLOOKUP($D36,$C$13:$Z$16,W$30,FALSE)*VLOOKUP($E36,'Units per home'!$A$32:$U$34,W$30-2,FALSE)</f>
        <v>61662.164611065113</v>
      </c>
      <c r="X36" s="42">
        <f ca="1">$A36*$B36*$C36*VLOOKUP($D36,$C$13:$Z$16,X$30,FALSE)*VLOOKUP($E36,'Units per home'!$A$32:$U$34,X$30-2,FALSE)</f>
        <v>60751.307508566068</v>
      </c>
      <c r="Y36" s="42">
        <f ca="1">$A36*$B36*$C36*VLOOKUP($D36,$C$13:$Z$16,Y$30,FALSE)*VLOOKUP($E36,'Units per home'!$A$32:$U$34,Y$30-2,FALSE)</f>
        <v>60613.352357446682</v>
      </c>
      <c r="Z36" s="42"/>
      <c r="AB36" s="42">
        <f ca="1">$A36*$B36*VLOOKUP($D36,$C$13:$Y$16,$Y$30,FALSE)*VLOOKUP($E36,'Units per home'!$A$32:$U$34,Y$30-2,FALSE)*$AB$29</f>
        <v>206085.3980153187</v>
      </c>
    </row>
    <row r="37" spans="1:28">
      <c r="A37" s="64">
        <f>INDEX([2]!ResApplic,MATCH($E37&amp;" - "&amp;$C$7,[2]APPLIC!$B$9:$B$120,0)+1,MATCH($D37,[2]APPLIC!$C$8:$F$8,0)+1)</f>
        <v>0.75</v>
      </c>
      <c r="B37" s="89">
        <f>VLOOKUP($E37,'Units per home'!$A$18:$E$20,MATCH('SC-NR (2)'!$D37,'Units per home'!$B$17:$E$17,0)+1,FALSE)</f>
        <v>0.44414870578030757</v>
      </c>
      <c r="C37" s="348">
        <f>VLOOKUP(CONCATENATE($E37," - ",$C$7),[2]TURN!$B$10:$G$79,6,FALSE)</f>
        <v>0.25</v>
      </c>
      <c r="D37" s="9" t="str">
        <f>C24</f>
        <v>Multifamily - High Rise</v>
      </c>
      <c r="E37" s="9" t="s">
        <v>157</v>
      </c>
      <c r="F37" s="42">
        <f ca="1">$A37*$B37*$C37*VLOOKUP($D37,$C$13:$Z$16,F$30,FALSE)*VLOOKUP($E37,'Units per home'!$A$32:$U$34,F$30-2,FALSE)</f>
        <v>17330.089691050067</v>
      </c>
      <c r="G37" s="42">
        <f ca="1">$A37*$B37*$C37*VLOOKUP($D37,$C$13:$Z$16,G$30,FALSE)*VLOOKUP($E37,'Units per home'!$A$32:$U$34,G$30-2,FALSE)</f>
        <v>17124.535632299347</v>
      </c>
      <c r="H37" s="42">
        <f ca="1">$A37*$B37*$C37*VLOOKUP($D37,$C$13:$Z$16,H$30,FALSE)*VLOOKUP($E37,'Units per home'!$A$32:$U$34,H$30-2,FALSE)</f>
        <v>16919.825760609034</v>
      </c>
      <c r="I37" s="42">
        <f ca="1">$A37*$B37*$C37*VLOOKUP($D37,$C$13:$Z$16,I$30,FALSE)*VLOOKUP($E37,'Units per home'!$A$32:$U$34,I$30-2,FALSE)</f>
        <v>16715.957301951945</v>
      </c>
      <c r="J37" s="42">
        <f ca="1">$A37*$B37*$C37*VLOOKUP($D37,$C$13:$Z$16,J$30,FALSE)*VLOOKUP($E37,'Units per home'!$A$32:$U$34,J$30-2,FALSE)</f>
        <v>16512.927490546372</v>
      </c>
      <c r="K37" s="42">
        <f ca="1">$A37*$B37*$C37*VLOOKUP($D37,$C$13:$Z$16,K$30,FALSE)*VLOOKUP($E37,'Units per home'!$A$32:$U$34,K$30-2,FALSE)</f>
        <v>16326.948493980615</v>
      </c>
      <c r="L37" s="42">
        <f ca="1">$A37*$B37*$C37*VLOOKUP($D37,$C$13:$Z$16,L$30,FALSE)*VLOOKUP($E37,'Units per home'!$A$32:$U$34,L$30-2,FALSE)</f>
        <v>16141.728995465213</v>
      </c>
      <c r="M37" s="42">
        <f ca="1">$A37*$B37*$C37*VLOOKUP($D37,$C$13:$Z$16,M$30,FALSE)*VLOOKUP($E37,'Units per home'!$A$32:$U$34,M$30-2,FALSE)</f>
        <v>15957.266504658573</v>
      </c>
      <c r="N37" s="42">
        <f ca="1">$A37*$B37*$C37*VLOOKUP($D37,$C$13:$Z$16,N$30,FALSE)*VLOOKUP($E37,'Units per home'!$A$32:$U$34,N$30-2,FALSE)</f>
        <v>15773.558538612899</v>
      </c>
      <c r="O37" s="42">
        <f ca="1">$A37*$B37*$C37*VLOOKUP($D37,$C$13:$Z$16,O$30,FALSE)*VLOOKUP($E37,'Units per home'!$A$32:$U$34,O$30-2,FALSE)</f>
        <v>15590.602621753425</v>
      </c>
      <c r="P37" s="42">
        <f ca="1">$A37*$B37*$C37*VLOOKUP($D37,$C$13:$Z$16,P$30,FALSE)*VLOOKUP($E37,'Units per home'!$A$32:$U$34,P$30-2,FALSE)</f>
        <v>15408.396285857769</v>
      </c>
      <c r="Q37" s="42">
        <f ca="1">$A37*$B37*$C37*VLOOKUP($D37,$C$13:$Z$16,Q$30,FALSE)*VLOOKUP($E37,'Units per home'!$A$32:$U$34,Q$30-2,FALSE)</f>
        <v>15226.937070035281</v>
      </c>
      <c r="R37" s="42">
        <f ca="1">$A37*$B37*$C37*VLOOKUP($D37,$C$13:$Z$16,R$30,FALSE)*VLOOKUP($E37,'Units per home'!$A$32:$U$34,R$30-2,FALSE)</f>
        <v>15046.222520706473</v>
      </c>
      <c r="S37" s="42">
        <f ca="1">$A37*$B37*$C37*VLOOKUP($D37,$C$13:$Z$16,S$30,FALSE)*VLOOKUP($E37,'Units per home'!$A$32:$U$34,S$30-2,FALSE)</f>
        <v>14866.250191582523</v>
      </c>
      <c r="T37" s="42">
        <f ca="1">$A37*$B37*$C37*VLOOKUP($D37,$C$13:$Z$16,T$30,FALSE)*VLOOKUP($E37,'Units per home'!$A$32:$U$34,T$30-2,FALSE)</f>
        <v>14687.017643644791</v>
      </c>
      <c r="U37" s="42">
        <f ca="1">$A37*$B37*$C37*VLOOKUP($D37,$C$13:$Z$16,U$30,FALSE)*VLOOKUP($E37,'Units per home'!$A$32:$U$34,U$30-2,FALSE)</f>
        <v>14476.716137433052</v>
      </c>
      <c r="V37" s="42">
        <f ca="1">$A37*$B37*$C37*VLOOKUP($D37,$C$13:$Z$16,V$30,FALSE)*VLOOKUP($E37,'Units per home'!$A$32:$U$34,V$30-2,FALSE)</f>
        <v>14267.294008759298</v>
      </c>
      <c r="W37" s="42">
        <f ca="1">$A37*$B37*$C37*VLOOKUP($D37,$C$13:$Z$16,W$30,FALSE)*VLOOKUP($E37,'Units per home'!$A$32:$U$34,W$30-2,FALSE)</f>
        <v>14058.74834825478</v>
      </c>
      <c r="X37" s="42">
        <f ca="1">$A37*$B37*$C37*VLOOKUP($D37,$C$13:$Z$16,X$30,FALSE)*VLOOKUP($E37,'Units per home'!$A$32:$U$34,X$30-2,FALSE)</f>
        <v>13851.076255229415</v>
      </c>
      <c r="Y37" s="42">
        <f ca="1">$A37*$B37*$C37*VLOOKUP($D37,$C$13:$Z$16,Y$30,FALSE)*VLOOKUP($E37,'Units per home'!$A$32:$U$34,Y$30-2,FALSE)</f>
        <v>13819.622984570391</v>
      </c>
      <c r="Z37" s="42"/>
      <c r="AB37" s="42">
        <f ca="1">$A37*$B37*VLOOKUP($D37,$C$13:$Y$16,$Y$30,FALSE)*VLOOKUP($E37,'Units per home'!$A$32:$U$34,Y$30-2,FALSE)*$AB$29</f>
        <v>46986.71814753933</v>
      </c>
    </row>
    <row r="38" spans="1:28">
      <c r="A38" s="64">
        <f>INDEX([2]!ResApplic,MATCH($E38&amp;" - "&amp;$C$7,[2]APPLIC!$B$9:$B$120,0)+1,MATCH($D38,[2]APPLIC!$C$8:$F$8,0)+1)</f>
        <v>0.75</v>
      </c>
      <c r="B38" s="89">
        <f>VLOOKUP($E38,'Units per home'!$A$18:$E$20,MATCH('SC-NR (2)'!$D38,'Units per home'!$B$17:$E$17,0)+1,FALSE)</f>
        <v>0.70646803257015534</v>
      </c>
      <c r="C38" s="348">
        <f>VLOOKUP(CONCATENATE($E38," - ",$C$7),[2]TURN!$B$10:$G$79,6,FALSE)</f>
        <v>0.25</v>
      </c>
      <c r="D38" s="9" t="str">
        <f>C25</f>
        <v>Manufactured</v>
      </c>
      <c r="E38" s="9" t="s">
        <v>157</v>
      </c>
      <c r="F38" s="42">
        <f ca="1">$A38*$B38*$C38*VLOOKUP($D38,$C$13:$Z$16,F$30,FALSE)*VLOOKUP($E38,'Units per home'!$A$32:$U$34,F$30-2,FALSE)</f>
        <v>74664.267341661878</v>
      </c>
      <c r="G38" s="42">
        <f ca="1">$A38*$B38*$C38*VLOOKUP($D38,$C$13:$Z$16,G$30,FALSE)*VLOOKUP($E38,'Units per home'!$A$32:$U$34,G$30-2,FALSE)</f>
        <v>73156.319494753552</v>
      </c>
      <c r="H38" s="42">
        <f ca="1">$A38*$B38*$C38*VLOOKUP($D38,$C$13:$Z$16,H$30,FALSE)*VLOOKUP($E38,'Units per home'!$A$32:$U$34,H$30-2,FALSE)</f>
        <v>71672.07495293564</v>
      </c>
      <c r="I38" s="42">
        <f ca="1">$A38*$B38*$C38*VLOOKUP($D38,$C$13:$Z$16,I$30,FALSE)*VLOOKUP($E38,'Units per home'!$A$32:$U$34,I$30-2,FALSE)</f>
        <v>70211.199307663104</v>
      </c>
      <c r="J38" s="42">
        <f ca="1">$A38*$B38*$C38*VLOOKUP($D38,$C$13:$Z$16,J$30,FALSE)*VLOOKUP($E38,'Units per home'!$A$32:$U$34,J$30-2,FALSE)</f>
        <v>68773.362590835779</v>
      </c>
      <c r="K38" s="42">
        <f ca="1">$A38*$B38*$C38*VLOOKUP($D38,$C$13:$Z$16,K$30,FALSE)*VLOOKUP($E38,'Units per home'!$A$32:$U$34,K$30-2,FALSE)</f>
        <v>67425.201798421462</v>
      </c>
      <c r="L38" s="42">
        <f ca="1">$A38*$B38*$C38*VLOOKUP($D38,$C$13:$Z$16,L$30,FALSE)*VLOOKUP($E38,'Units per home'!$A$32:$U$34,L$30-2,FALSE)</f>
        <v>66098.001837044416</v>
      </c>
      <c r="M38" s="42">
        <f ca="1">$A38*$B38*$C38*VLOOKUP($D38,$C$13:$Z$16,M$30,FALSE)*VLOOKUP($E38,'Units per home'!$A$32:$U$34,M$30-2,FALSE)</f>
        <v>64791.468666177891</v>
      </c>
      <c r="N38" s="42">
        <f ca="1">$A38*$B38*$C38*VLOOKUP($D38,$C$13:$Z$16,N$30,FALSE)*VLOOKUP($E38,'Units per home'!$A$32:$U$34,N$30-2,FALSE)</f>
        <v>63505.312136137683</v>
      </c>
      <c r="O38" s="42">
        <f ca="1">$A38*$B38*$C38*VLOOKUP($D38,$C$13:$Z$16,O$30,FALSE)*VLOOKUP($E38,'Units per home'!$A$32:$U$34,O$30-2,FALSE)</f>
        <v>62239.24593850223</v>
      </c>
      <c r="P38" s="42">
        <f ca="1">$A38*$B38*$C38*VLOOKUP($D38,$C$13:$Z$16,P$30,FALSE)*VLOOKUP($E38,'Units per home'!$A$32:$U$34,P$30-2,FALSE)</f>
        <v>60992.987557148102</v>
      </c>
      <c r="Q38" s="42">
        <f ca="1">$A38*$B38*$C38*VLOOKUP($D38,$C$13:$Z$16,Q$30,FALSE)*VLOOKUP($E38,'Units per home'!$A$32:$U$34,Q$30-2,FALSE)</f>
        <v>59766.258219893163</v>
      </c>
      <c r="R38" s="42">
        <f ca="1">$A38*$B38*$C38*VLOOKUP($D38,$C$13:$Z$16,R$30,FALSE)*VLOOKUP($E38,'Units per home'!$A$32:$U$34,R$30-2,FALSE)</f>
        <v>58558.782850740419</v>
      </c>
      <c r="S38" s="42">
        <f ca="1">$A38*$B38*$C38*VLOOKUP($D38,$C$13:$Z$16,S$30,FALSE)*VLOOKUP($E38,'Units per home'!$A$32:$U$34,S$30-2,FALSE)</f>
        <v>57370.290022714835</v>
      </c>
      <c r="T38" s="42">
        <f ca="1">$A38*$B38*$C38*VLOOKUP($D38,$C$13:$Z$16,T$30,FALSE)*VLOOKUP($E38,'Units per home'!$A$32:$U$34,T$30-2,FALSE)</f>
        <v>56200.511911286165</v>
      </c>
      <c r="U38" s="42">
        <f ca="1">$A38*$B38*$C38*VLOOKUP($D38,$C$13:$Z$16,U$30,FALSE)*VLOOKUP($E38,'Units per home'!$A$32:$U$34,U$30-2,FALSE)</f>
        <v>54928.502676626333</v>
      </c>
      <c r="V38" s="42">
        <f ca="1">$A38*$B38*$C38*VLOOKUP($D38,$C$13:$Z$16,V$30,FALSE)*VLOOKUP($E38,'Units per home'!$A$32:$U$34,V$30-2,FALSE)</f>
        <v>53677.262578065951</v>
      </c>
      <c r="W38" s="42">
        <f ca="1">$A38*$B38*$C38*VLOOKUP($D38,$C$13:$Z$16,W$30,FALSE)*VLOOKUP($E38,'Units per home'!$A$32:$U$34,W$30-2,FALSE)</f>
        <v>52446.492974963352</v>
      </c>
      <c r="X38" s="42">
        <f ca="1">$A38*$B38*$C38*VLOOKUP($D38,$C$13:$Z$16,X$30,FALSE)*VLOOKUP($E38,'Units per home'!$A$32:$U$34,X$30-2,FALSE)</f>
        <v>51235.899237735961</v>
      </c>
      <c r="Y38" s="42">
        <f ca="1">$A38*$B38*$C38*VLOOKUP($D38,$C$13:$Z$16,Y$30,FALSE)*VLOOKUP($E38,'Units per home'!$A$32:$U$34,Y$30-2,FALSE)</f>
        <v>50688.341875423852</v>
      </c>
      <c r="Z38" s="42"/>
      <c r="AB38" s="42">
        <f ca="1">$A38*$B38*VLOOKUP($D38,$C$13:$Y$16,$Y$30,FALSE)*VLOOKUP($E38,'Units per home'!$A$32:$U$34,Y$30-2,FALSE)*$AB$29</f>
        <v>172340.3623764411</v>
      </c>
    </row>
    <row r="39" spans="1:28">
      <c r="A39" s="64">
        <f>INDEX([2]!ResApplic,MATCH($E39&amp;" - "&amp;$C$7,[2]APPLIC!$B$9:$B$120,0)+1,MATCH($D39,[2]APPLIC!$C$8:$F$8,0)+1)</f>
        <v>0.26</v>
      </c>
      <c r="B39" s="89">
        <f>VLOOKUP($E39,'Units per home'!$A$18:$E$20,MATCH('SC-NR (2)'!$D39,'Units per home'!$B$17:$E$17,0)+1,FALSE)</f>
        <v>0.68337823408954967</v>
      </c>
      <c r="C39" s="348">
        <f>VLOOKUP(CONCATENATE($E39," - ",$C$7),[2]TURN!$B$10:$G$79,6,FALSE)</f>
        <v>0.25</v>
      </c>
      <c r="D39" s="9" t="str">
        <f>D35</f>
        <v>Single Family</v>
      </c>
      <c r="E39" s="9" t="s">
        <v>158</v>
      </c>
      <c r="F39" s="42">
        <f ca="1">$A39*$B39*$C39*VLOOKUP($D39,$C$13:$Z$16,F$30,FALSE)*VLOOKUP($E39,'Units per home'!$A$32:$U$34,F$30-2,FALSE)</f>
        <v>262400.40946714784</v>
      </c>
      <c r="G39" s="42">
        <f ca="1">$A39*$B39*$C39*VLOOKUP($D39,$C$13:$Z$16,G$30,FALSE)*VLOOKUP($E39,'Units per home'!$A$32:$U$34,G$30-2,FALSE)</f>
        <v>287649.03144515463</v>
      </c>
      <c r="H39" s="42">
        <f ca="1">$A39*$B39*$C39*VLOOKUP($D39,$C$13:$Z$16,H$30,FALSE)*VLOOKUP($E39,'Units per home'!$A$32:$U$34,H$30-2,FALSE)</f>
        <v>312781.63217180036</v>
      </c>
      <c r="I39" s="42">
        <f ca="1">$A39*$B39*$C39*VLOOKUP($D39,$C$13:$Z$16,I$30,FALSE)*VLOOKUP($E39,'Units per home'!$A$32:$U$34,I$30-2,FALSE)</f>
        <v>337798.60837166221</v>
      </c>
      <c r="J39" s="42">
        <f ca="1">$A39*$B39*$C39*VLOOKUP($D39,$C$13:$Z$16,J$30,FALSE)*VLOOKUP($E39,'Units per home'!$A$32:$U$34,J$30-2,FALSE)</f>
        <v>362700.35556582548</v>
      </c>
      <c r="K39" s="42">
        <f ca="1">$A39*$B39*$C39*VLOOKUP($D39,$C$13:$Z$16,K$30,FALSE)*VLOOKUP($E39,'Units per home'!$A$32:$U$34,K$30-2,FALSE)</f>
        <v>362338.21594113921</v>
      </c>
      <c r="L39" s="42">
        <f ca="1">$A39*$B39*$C39*VLOOKUP($D39,$C$13:$Z$16,L$30,FALSE)*VLOOKUP($E39,'Units per home'!$A$32:$U$34,L$30-2,FALSE)</f>
        <v>361975.85075080802</v>
      </c>
      <c r="M39" s="42">
        <f ca="1">$A39*$B39*$C39*VLOOKUP($D39,$C$13:$Z$16,M$30,FALSE)*VLOOKUP($E39,'Units per home'!$A$32:$U$34,M$30-2,FALSE)</f>
        <v>361613.26288660633</v>
      </c>
      <c r="N39" s="42">
        <f ca="1">$A39*$B39*$C39*VLOOKUP($D39,$C$13:$Z$16,N$30,FALSE)*VLOOKUP($E39,'Units per home'!$A$32:$U$34,N$30-2,FALSE)</f>
        <v>361250.45522833877</v>
      </c>
      <c r="O39" s="42">
        <f ca="1">$A39*$B39*$C39*VLOOKUP($D39,$C$13:$Z$16,O$30,FALSE)*VLOOKUP($E39,'Units per home'!$A$32:$U$34,O$30-2,FALSE)</f>
        <v>360887.43064387917</v>
      </c>
      <c r="P39" s="42">
        <f ca="1">$A39*$B39*$C39*VLOOKUP($D39,$C$13:$Z$16,P$30,FALSE)*VLOOKUP($E39,'Units per home'!$A$32:$U$34,P$30-2,FALSE)</f>
        <v>360524.19198921003</v>
      </c>
      <c r="Q39" s="42">
        <f ca="1">$A39*$B39*$C39*VLOOKUP($D39,$C$13:$Z$16,Q$30,FALSE)*VLOOKUP($E39,'Units per home'!$A$32:$U$34,Q$30-2,FALSE)</f>
        <v>360160.74210846191</v>
      </c>
      <c r="R39" s="42">
        <f ca="1">$A39*$B39*$C39*VLOOKUP($D39,$C$13:$Z$16,R$30,FALSE)*VLOOKUP($E39,'Units per home'!$A$32:$U$34,R$30-2,FALSE)</f>
        <v>359797.08383395261</v>
      </c>
      <c r="S39" s="42">
        <f ca="1">$A39*$B39*$C39*VLOOKUP($D39,$C$13:$Z$16,S$30,FALSE)*VLOOKUP($E39,'Units per home'!$A$32:$U$34,S$30-2,FALSE)</f>
        <v>359433.21998622548</v>
      </c>
      <c r="T39" s="42">
        <f ca="1">$A39*$B39*$C39*VLOOKUP($D39,$C$13:$Z$16,T$30,FALSE)*VLOOKUP($E39,'Units per home'!$A$32:$U$34,T$30-2,FALSE)</f>
        <v>359069.15337408916</v>
      </c>
      <c r="U39" s="42">
        <f ca="1">$A39*$B39*$C39*VLOOKUP($D39,$C$13:$Z$16,U$30,FALSE)*VLOOKUP($E39,'Units per home'!$A$32:$U$34,U$30-2,FALSE)</f>
        <v>358749.94051485899</v>
      </c>
      <c r="V39" s="42">
        <f ca="1">$A39*$B39*$C39*VLOOKUP($D39,$C$13:$Z$16,V$30,FALSE)*VLOOKUP($E39,'Units per home'!$A$32:$U$34,V$30-2,FALSE)</f>
        <v>358430.32585949544</v>
      </c>
      <c r="W39" s="42">
        <f ca="1">$A39*$B39*$C39*VLOOKUP($D39,$C$13:$Z$16,W$30,FALSE)*VLOOKUP($E39,'Units per home'!$A$32:$U$34,W$30-2,FALSE)</f>
        <v>358110.31287878525</v>
      </c>
      <c r="X39" s="42">
        <f ca="1">$A39*$B39*$C39*VLOOKUP($D39,$C$13:$Z$16,X$30,FALSE)*VLOOKUP($E39,'Units per home'!$A$32:$U$34,X$30-2,FALSE)</f>
        <v>357789.90502982406</v>
      </c>
      <c r="Y39" s="42">
        <f ca="1">$A39*$B39*$C39*VLOOKUP($D39,$C$13:$Z$16,Y$30,FALSE)*VLOOKUP($E39,'Units per home'!$A$32:$U$34,Y$30-2,FALSE)</f>
        <v>356977.44240350957</v>
      </c>
      <c r="Z39" s="42"/>
      <c r="AB39" s="42">
        <f ca="1">$A39*$B39*VLOOKUP($D39,$C$13:$Y$16,$Y$30,FALSE)*VLOOKUP($E39,'Units per home'!$A$32:$U$34,Y$30-2,FALSE)*$AB$29</f>
        <v>1213723.3041719326</v>
      </c>
    </row>
    <row r="40" spans="1:28">
      <c r="A40" s="64">
        <f>INDEX([2]!ResApplic,MATCH($E40&amp;" - "&amp;$C$7,[2]APPLIC!$B$9:$B$120,0)+1,MATCH($D40,[2]APPLIC!$C$8:$F$8,0)+1)</f>
        <v>0.26</v>
      </c>
      <c r="B40" s="89">
        <f>VLOOKUP($E40,'Units per home'!$A$18:$E$20,MATCH('SC-NR (2)'!$D40,'Units per home'!$B$17:$E$17,0)+1,FALSE)</f>
        <v>0.263107074806817</v>
      </c>
      <c r="C40" s="348">
        <f>VLOOKUP(CONCATENATE($E40," - ",$C$7),[2]TURN!$B$10:$G$79,6,FALSE)</f>
        <v>0.25</v>
      </c>
      <c r="D40" s="9" t="str">
        <f t="shared" ref="D40:D42" si="3">D36</f>
        <v>Multifamily - Low Rise</v>
      </c>
      <c r="E40" s="9" t="s">
        <v>158</v>
      </c>
      <c r="F40" s="42">
        <f ca="1">$A40*$B40*$C40*VLOOKUP($D40,$C$13:$Z$16,F$30,FALSE)*VLOOKUP($E40,'Units per home'!$A$32:$U$34,F$30-2,FALSE)</f>
        <v>22261.118351869416</v>
      </c>
      <c r="G40" s="42">
        <f ca="1">$A40*$B40*$C40*VLOOKUP($D40,$C$13:$Z$16,G$30,FALSE)*VLOOKUP($E40,'Units per home'!$A$32:$U$34,G$30-2,FALSE)</f>
        <v>24403.120831598895</v>
      </c>
      <c r="H40" s="42">
        <f ca="1">$A40*$B40*$C40*VLOOKUP($D40,$C$13:$Z$16,H$30,FALSE)*VLOOKUP($E40,'Units per home'!$A$32:$U$34,H$30-2,FALSE)</f>
        <v>26535.280324580828</v>
      </c>
      <c r="I40" s="42">
        <f ca="1">$A40*$B40*$C40*VLOOKUP($D40,$C$13:$Z$16,I$30,FALSE)*VLOOKUP($E40,'Units per home'!$A$32:$U$34,I$30-2,FALSE)</f>
        <v>28657.630488595492</v>
      </c>
      <c r="J40" s="42">
        <f ca="1">$A40*$B40*$C40*VLOOKUP($D40,$C$13:$Z$16,J$30,FALSE)*VLOOKUP($E40,'Units per home'!$A$32:$U$34,J$30-2,FALSE)</f>
        <v>30770.20487931824</v>
      </c>
      <c r="K40" s="42">
        <f ca="1">$A40*$B40*$C40*VLOOKUP($D40,$C$13:$Z$16,K$30,FALSE)*VLOOKUP($E40,'Units per home'!$A$32:$U$34,K$30-2,FALSE)</f>
        <v>30739.481120025594</v>
      </c>
      <c r="L40" s="42">
        <f ca="1">$A40*$B40*$C40*VLOOKUP($D40,$C$13:$Z$16,L$30,FALSE)*VLOOKUP($E40,'Units per home'!$A$32:$U$34,L$30-2,FALSE)</f>
        <v>30708.738226797788</v>
      </c>
      <c r="M40" s="42">
        <f ca="1">$A40*$B40*$C40*VLOOKUP($D40,$C$13:$Z$16,M$30,FALSE)*VLOOKUP($E40,'Units per home'!$A$32:$U$34,M$30-2,FALSE)</f>
        <v>30677.976444964723</v>
      </c>
      <c r="N40" s="42">
        <f ca="1">$A40*$B40*$C40*VLOOKUP($D40,$C$13:$Z$16,N$30,FALSE)*VLOOKUP($E40,'Units per home'!$A$32:$U$34,N$30-2,FALSE)</f>
        <v>30647.196018840794</v>
      </c>
      <c r="O40" s="42">
        <f ca="1">$A40*$B40*$C40*VLOOKUP($D40,$C$13:$Z$16,O$30,FALSE)*VLOOKUP($E40,'Units per home'!$A$32:$U$34,O$30-2,FALSE)</f>
        <v>30616.397191728189</v>
      </c>
      <c r="P40" s="42">
        <f ca="1">$A40*$B40*$C40*VLOOKUP($D40,$C$13:$Z$16,P$30,FALSE)*VLOOKUP($E40,'Units per home'!$A$32:$U$34,P$30-2,FALSE)</f>
        <v>30585.580205920272</v>
      </c>
      <c r="Q40" s="42">
        <f ca="1">$A40*$B40*$C40*VLOOKUP($D40,$C$13:$Z$16,Q$30,FALSE)*VLOOKUP($E40,'Units per home'!$A$32:$U$34,Q$30-2,FALSE)</f>
        <v>30554.74530270485</v>
      </c>
      <c r="R40" s="42">
        <f ca="1">$A40*$B40*$C40*VLOOKUP($D40,$C$13:$Z$16,R$30,FALSE)*VLOOKUP($E40,'Units per home'!$A$32:$U$34,R$30-2,FALSE)</f>
        <v>30523.892722367553</v>
      </c>
      <c r="S40" s="42">
        <f ca="1">$A40*$B40*$C40*VLOOKUP($D40,$C$13:$Z$16,S$30,FALSE)*VLOOKUP($E40,'Units per home'!$A$32:$U$34,S$30-2,FALSE)</f>
        <v>30493.022704195108</v>
      </c>
      <c r="T40" s="42">
        <f ca="1">$A40*$B40*$C40*VLOOKUP($D40,$C$13:$Z$16,T$30,FALSE)*VLOOKUP($E40,'Units per home'!$A$32:$U$34,T$30-2,FALSE)</f>
        <v>30462.135486478626</v>
      </c>
      <c r="U40" s="42">
        <f ca="1">$A40*$B40*$C40*VLOOKUP($D40,$C$13:$Z$16,U$30,FALSE)*VLOOKUP($E40,'Units per home'!$A$32:$U$34,U$30-2,FALSE)</f>
        <v>30435.053501951668</v>
      </c>
      <c r="V40" s="42">
        <f ca="1">$A40*$B40*$C40*VLOOKUP($D40,$C$13:$Z$16,V$30,FALSE)*VLOOKUP($E40,'Units per home'!$A$32:$U$34,V$30-2,FALSE)</f>
        <v>30407.937432470346</v>
      </c>
      <c r="W40" s="42">
        <f ca="1">$A40*$B40*$C40*VLOOKUP($D40,$C$13:$Z$16,W$30,FALSE)*VLOOKUP($E40,'Units per home'!$A$32:$U$34,W$30-2,FALSE)</f>
        <v>30380.787572487428</v>
      </c>
      <c r="X40" s="42">
        <f ca="1">$A40*$B40*$C40*VLOOKUP($D40,$C$13:$Z$16,X$30,FALSE)*VLOOKUP($E40,'Units per home'!$A$32:$U$34,X$30-2,FALSE)</f>
        <v>30353.604215294148</v>
      </c>
      <c r="Y40" s="42">
        <f ca="1">$A40*$B40*$C40*VLOOKUP($D40,$C$13:$Z$16,Y$30,FALSE)*VLOOKUP($E40,'Units per home'!$A$32:$U$34,Y$30-2,FALSE)</f>
        <v>30284.676710220327</v>
      </c>
      <c r="Z40" s="42"/>
      <c r="AB40" s="42">
        <f ca="1">$A40*$B40*VLOOKUP($D40,$C$13:$Y$16,$Y$30,FALSE)*VLOOKUP($E40,'Units per home'!$A$32:$U$34,Y$30-2,FALSE)*$AB$29</f>
        <v>102967.90081474911</v>
      </c>
    </row>
    <row r="41" spans="1:28">
      <c r="A41" s="64">
        <f>INDEX([2]!ResApplic,MATCH($E41&amp;" - "&amp;$C$7,[2]APPLIC!$B$9:$B$120,0)+1,MATCH($D41,[2]APPLIC!$C$8:$F$8,0)+1)</f>
        <v>0.26</v>
      </c>
      <c r="B41" s="89">
        <f>VLOOKUP($E41,'Units per home'!$A$18:$E$20,MATCH('SC-NR (2)'!$D41,'Units per home'!$B$17:$E$17,0)+1,FALSE)</f>
        <v>0.263107074806817</v>
      </c>
      <c r="C41" s="348">
        <f>VLOOKUP(CONCATENATE($E41," - ",$C$7),[2]TURN!$B$10:$G$79,6,FALSE)</f>
        <v>0.25</v>
      </c>
      <c r="D41" s="9" t="str">
        <f t="shared" si="3"/>
        <v>Multifamily - High Rise</v>
      </c>
      <c r="E41" s="9" t="s">
        <v>158</v>
      </c>
      <c r="F41" s="42">
        <f ca="1">$A41*$B41*$C41*VLOOKUP($D41,$C$13:$Z$16,F$30,FALSE)*VLOOKUP($E41,'Units per home'!$A$32:$U$34,F$30-2,FALSE)</f>
        <v>5075.4536892058422</v>
      </c>
      <c r="G41" s="42">
        <f ca="1">$A41*$B41*$C41*VLOOKUP($D41,$C$13:$Z$16,G$30,FALSE)*VLOOKUP($E41,'Units per home'!$A$32:$U$34,G$30-2,FALSE)</f>
        <v>5563.8224322397291</v>
      </c>
      <c r="H41" s="42">
        <f ca="1">$A41*$B41*$C41*VLOOKUP($D41,$C$13:$Z$16,H$30,FALSE)*VLOOKUP($E41,'Units per home'!$A$32:$U$34,H$30-2,FALSE)</f>
        <v>6049.9470102406203</v>
      </c>
      <c r="I41" s="42">
        <f ca="1">$A41*$B41*$C41*VLOOKUP($D41,$C$13:$Z$16,I$30,FALSE)*VLOOKUP($E41,'Units per home'!$A$32:$U$34,I$30-2,FALSE)</f>
        <v>6533.8350970595047</v>
      </c>
      <c r="J41" s="42">
        <f ca="1">$A41*$B41*$C41*VLOOKUP($D41,$C$13:$Z$16,J$30,FALSE)*VLOOKUP($E41,'Units per home'!$A$32:$U$34,J$30-2,FALSE)</f>
        <v>7015.4943432678238</v>
      </c>
      <c r="K41" s="42">
        <f ca="1">$A41*$B41*$C41*VLOOKUP($D41,$C$13:$Z$16,K$30,FALSE)*VLOOKUP($E41,'Units per home'!$A$32:$U$34,K$30-2,FALSE)</f>
        <v>7008.4894383487026</v>
      </c>
      <c r="L41" s="42">
        <f ca="1">$A41*$B41*$C41*VLOOKUP($D41,$C$13:$Z$16,L$30,FALSE)*VLOOKUP($E41,'Units per home'!$A$32:$U$34,L$30-2,FALSE)</f>
        <v>7001.4801709622398</v>
      </c>
      <c r="M41" s="42">
        <f ca="1">$A41*$B41*$C41*VLOOKUP($D41,$C$13:$Z$16,M$30,FALSE)*VLOOKUP($E41,'Units per home'!$A$32:$U$34,M$30-2,FALSE)</f>
        <v>6994.4665970427568</v>
      </c>
      <c r="N41" s="42">
        <f ca="1">$A41*$B41*$C41*VLOOKUP($D41,$C$13:$Z$16,N$30,FALSE)*VLOOKUP($E41,'Units per home'!$A$32:$U$34,N$30-2,FALSE)</f>
        <v>6987.4487722930462</v>
      </c>
      <c r="O41" s="42">
        <f ca="1">$A41*$B41*$C41*VLOOKUP($D41,$C$13:$Z$16,O$30,FALSE)*VLOOKUP($E41,'Units per home'!$A$32:$U$34,O$30-2,FALSE)</f>
        <v>6980.4267521851134</v>
      </c>
      <c r="P41" s="42">
        <f ca="1">$A41*$B41*$C41*VLOOKUP($D41,$C$13:$Z$16,P$30,FALSE)*VLOOKUP($E41,'Units per home'!$A$32:$U$34,P$30-2,FALSE)</f>
        <v>6973.4005919609626</v>
      </c>
      <c r="Q41" s="42">
        <f ca="1">$A41*$B41*$C41*VLOOKUP($D41,$C$13:$Z$16,Q$30,FALSE)*VLOOKUP($E41,'Units per home'!$A$32:$U$34,Q$30-2,FALSE)</f>
        <v>6966.3703466333336</v>
      </c>
      <c r="R41" s="42">
        <f ca="1">$A41*$B41*$C41*VLOOKUP($D41,$C$13:$Z$16,R$30,FALSE)*VLOOKUP($E41,'Units per home'!$A$32:$U$34,R$30-2,FALSE)</f>
        <v>6959.3360709864737</v>
      </c>
      <c r="S41" s="42">
        <f ca="1">$A41*$B41*$C41*VLOOKUP($D41,$C$13:$Z$16,S$30,FALSE)*VLOOKUP($E41,'Units per home'!$A$32:$U$34,S$30-2,FALSE)</f>
        <v>6952.2978195768774</v>
      </c>
      <c r="T41" s="42">
        <f ca="1">$A41*$B41*$C41*VLOOKUP($D41,$C$13:$Z$16,T$30,FALSE)*VLOOKUP($E41,'Units per home'!$A$32:$U$34,T$30-2,FALSE)</f>
        <v>6945.2556467340537</v>
      </c>
      <c r="U41" s="42">
        <f ca="1">$A41*$B41*$C41*VLOOKUP($D41,$C$13:$Z$16,U$30,FALSE)*VLOOKUP($E41,'Units per home'!$A$32:$U$34,U$30-2,FALSE)</f>
        <v>6939.0810531621728</v>
      </c>
      <c r="V41" s="42">
        <f ca="1">$A41*$B41*$C41*VLOOKUP($D41,$C$13:$Z$16,V$30,FALSE)*VLOOKUP($E41,'Units per home'!$A$32:$U$34,V$30-2,FALSE)</f>
        <v>6932.8986883451671</v>
      </c>
      <c r="W41" s="42">
        <f ca="1">$A41*$B41*$C41*VLOOKUP($D41,$C$13:$Z$16,W$30,FALSE)*VLOOKUP($E41,'Units per home'!$A$32:$U$34,W$30-2,FALSE)</f>
        <v>6926.7086194172007</v>
      </c>
      <c r="X41" s="42">
        <f ca="1">$A41*$B41*$C41*VLOOKUP($D41,$C$13:$Z$16,X$30,FALSE)*VLOOKUP($E41,'Units per home'!$A$32:$U$34,X$30-2,FALSE)</f>
        <v>6920.5109132475973</v>
      </c>
      <c r="Y41" s="42">
        <f ca="1">$A41*$B41*$C41*VLOOKUP($D41,$C$13:$Z$16,Y$30,FALSE)*VLOOKUP($E41,'Units per home'!$A$32:$U$34,Y$30-2,FALSE)</f>
        <v>6904.7956938060133</v>
      </c>
      <c r="Z41" s="42"/>
      <c r="AB41" s="42">
        <f ca="1">$A41*$B41*VLOOKUP($D41,$C$13:$Y$16,$Y$30,FALSE)*VLOOKUP($E41,'Units per home'!$A$32:$U$34,Y$30-2,FALSE)*$AB$29</f>
        <v>23476.305358940444</v>
      </c>
    </row>
    <row r="42" spans="1:28">
      <c r="A42" s="64">
        <f>INDEX([2]!ResApplic,MATCH($E42&amp;" - "&amp;$C$7,[2]APPLIC!$B$9:$B$120,0)+1,MATCH($D42,[2]APPLIC!$C$8:$F$8,0)+1)</f>
        <v>0.26</v>
      </c>
      <c r="B42" s="89">
        <f>VLOOKUP($E42,'Units per home'!$A$18:$E$20,MATCH('SC-NR (2)'!$D42,'Units per home'!$B$17:$E$17,0)+1,FALSE)</f>
        <v>0.41850113503652137</v>
      </c>
      <c r="C42" s="348">
        <f>VLOOKUP(CONCATENATE($E42," - ",$C$7),[2]TURN!$B$10:$G$79,6,FALSE)</f>
        <v>0.25</v>
      </c>
      <c r="D42" s="9" t="str">
        <f t="shared" si="3"/>
        <v>Manufactured</v>
      </c>
      <c r="E42" s="9" t="s">
        <v>158</v>
      </c>
      <c r="F42" s="42">
        <f ca="1">$A42*$B42*$C42*VLOOKUP($D42,$C$13:$Z$16,F$30,FALSE)*VLOOKUP($E42,'Units per home'!$A$32:$U$34,F$30-2,FALSE)</f>
        <v>21866.882277406577</v>
      </c>
      <c r="G42" s="42">
        <f ca="1">$A42*$B42*$C42*VLOOKUP($D42,$C$13:$Z$16,G$30,FALSE)*VLOOKUP($E42,'Units per home'!$A$32:$U$34,G$30-2,FALSE)</f>
        <v>23768.747965188115</v>
      </c>
      <c r="H42" s="42">
        <f ca="1">$A42*$B42*$C42*VLOOKUP($D42,$C$13:$Z$16,H$30,FALSE)*VLOOKUP($E42,'Units per home'!$A$32:$U$34,H$30-2,FALSE)</f>
        <v>25627.465773834701</v>
      </c>
      <c r="I42" s="42">
        <f ca="1">$A42*$B42*$C42*VLOOKUP($D42,$C$13:$Z$16,I$30,FALSE)*VLOOKUP($E42,'Units per home'!$A$32:$U$34,I$30-2,FALSE)</f>
        <v>27443.740729672751</v>
      </c>
      <c r="J42" s="42">
        <f ca="1">$A42*$B42*$C42*VLOOKUP($D42,$C$13:$Z$16,J$30,FALSE)*VLOOKUP($E42,'Units per home'!$A$32:$U$34,J$30-2,FALSE)</f>
        <v>29218.267717806793</v>
      </c>
      <c r="K42" s="42">
        <f ca="1">$A42*$B42*$C42*VLOOKUP($D42,$C$13:$Z$16,K$30,FALSE)*VLOOKUP($E42,'Units per home'!$A$32:$U$34,K$30-2,FALSE)</f>
        <v>28942.874099038476</v>
      </c>
      <c r="L42" s="42">
        <f ca="1">$A42*$B42*$C42*VLOOKUP($D42,$C$13:$Z$16,L$30,FALSE)*VLOOKUP($E42,'Units per home'!$A$32:$U$34,L$30-2,FALSE)</f>
        <v>28670.029668587838</v>
      </c>
      <c r="M42" s="42">
        <f ca="1">$A42*$B42*$C42*VLOOKUP($D42,$C$13:$Z$16,M$30,FALSE)*VLOOKUP($E42,'Units per home'!$A$32:$U$34,M$30-2,FALSE)</f>
        <v>28399.711393340553</v>
      </c>
      <c r="N42" s="42">
        <f ca="1">$A42*$B42*$C42*VLOOKUP($D42,$C$13:$Z$16,N$30,FALSE)*VLOOKUP($E42,'Units per home'!$A$32:$U$34,N$30-2,FALSE)</f>
        <v>28131.896441344412</v>
      </c>
      <c r="O42" s="42">
        <f ca="1">$A42*$B42*$C42*VLOOKUP($D42,$C$13:$Z$16,O$30,FALSE)*VLOOKUP($E42,'Units per home'!$A$32:$U$34,O$30-2,FALSE)</f>
        <v>27866.562180140263</v>
      </c>
      <c r="P42" s="42">
        <f ca="1">$A42*$B42*$C42*VLOOKUP($D42,$C$13:$Z$16,P$30,FALSE)*VLOOKUP($E42,'Units per home'!$A$32:$U$34,P$30-2,FALSE)</f>
        <v>27603.686175105835</v>
      </c>
      <c r="Q42" s="42">
        <f ca="1">$A42*$B42*$C42*VLOOKUP($D42,$C$13:$Z$16,Q$30,FALSE)*VLOOKUP($E42,'Units per home'!$A$32:$U$34,Q$30-2,FALSE)</f>
        <v>27343.246187811943</v>
      </c>
      <c r="R42" s="42">
        <f ca="1">$A42*$B42*$C42*VLOOKUP($D42,$C$13:$Z$16,R$30,FALSE)*VLOOKUP($E42,'Units per home'!$A$32:$U$34,R$30-2,FALSE)</f>
        <v>27085.220174391448</v>
      </c>
      <c r="S42" s="42">
        <f ca="1">$A42*$B42*$C42*VLOOKUP($D42,$C$13:$Z$16,S$30,FALSE)*VLOOKUP($E42,'Units per home'!$A$32:$U$34,S$30-2,FALSE)</f>
        <v>26829.586283920537</v>
      </c>
      <c r="T42" s="42">
        <f ca="1">$A42*$B42*$C42*VLOOKUP($D42,$C$13:$Z$16,T$30,FALSE)*VLOOKUP($E42,'Units per home'!$A$32:$U$34,T$30-2,FALSE)</f>
        <v>26576.322856812447</v>
      </c>
      <c r="U42" s="42">
        <f ca="1">$A42*$B42*$C42*VLOOKUP($D42,$C$13:$Z$16,U$30,FALSE)*VLOOKUP($E42,'Units per home'!$A$32:$U$34,U$30-2,FALSE)</f>
        <v>26328.714922880983</v>
      </c>
      <c r="V42" s="42">
        <f ca="1">$A42*$B42*$C42*VLOOKUP($D42,$C$13:$Z$16,V$30,FALSE)*VLOOKUP($E42,'Units per home'!$A$32:$U$34,V$30-2,FALSE)</f>
        <v>26083.364027751912</v>
      </c>
      <c r="W42" s="42">
        <f ca="1">$A42*$B42*$C42*VLOOKUP($D42,$C$13:$Z$16,W$30,FALSE)*VLOOKUP($E42,'Units per home'!$A$32:$U$34,W$30-2,FALSE)</f>
        <v>25840.250209257021</v>
      </c>
      <c r="X42" s="42">
        <f ca="1">$A42*$B42*$C42*VLOOKUP($D42,$C$13:$Z$16,X$30,FALSE)*VLOOKUP($E42,'Units per home'!$A$32:$U$34,X$30-2,FALSE)</f>
        <v>25599.353674118745</v>
      </c>
      <c r="Y42" s="42">
        <f ca="1">$A42*$B42*$C42*VLOOKUP($D42,$C$13:$Z$16,Y$30,FALSE)*VLOOKUP($E42,'Units per home'!$A$32:$U$34,Y$30-2,FALSE)</f>
        <v>25325.773727572774</v>
      </c>
      <c r="Z42" s="42"/>
      <c r="AB42" s="42">
        <f ca="1">$A42*$B42*VLOOKUP($D42,$C$13:$Y$16,$Y$30,FALSE)*VLOOKUP($E42,'Units per home'!$A$32:$U$34,Y$30-2,FALSE)*$AB$29</f>
        <v>86107.630673747422</v>
      </c>
    </row>
    <row r="43" spans="1:28">
      <c r="F43" s="42"/>
      <c r="G43" s="42"/>
      <c r="H43" s="42"/>
      <c r="I43" s="42"/>
      <c r="J43" s="42"/>
      <c r="K43" s="42"/>
      <c r="L43" s="42"/>
      <c r="M43" s="42"/>
      <c r="N43" s="42"/>
      <c r="O43" s="42"/>
      <c r="P43" s="42"/>
      <c r="Q43" s="42"/>
      <c r="R43" s="42"/>
      <c r="S43" s="42"/>
      <c r="T43" s="42"/>
      <c r="U43" s="42"/>
      <c r="V43" s="42"/>
      <c r="W43" s="42"/>
      <c r="X43" s="42"/>
      <c r="Y43" s="42"/>
      <c r="Z43" s="42"/>
    </row>
    <row r="44" spans="1:28">
      <c r="F44" s="42">
        <f ca="1">SUM(F35:F42)</f>
        <v>1228533.5662415139</v>
      </c>
      <c r="G44" s="42">
        <f t="shared" ref="G44:Y44" ca="1" si="4">SUM(G35:G42)</f>
        <v>1246816.3033990972</v>
      </c>
      <c r="H44" s="42">
        <f t="shared" ca="1" si="4"/>
        <v>1264992.5155472888</v>
      </c>
      <c r="I44" s="42">
        <f t="shared" ca="1" si="4"/>
        <v>1283062.8765426571</v>
      </c>
      <c r="J44" s="42">
        <f t="shared" ca="1" si="4"/>
        <v>1301028.0536128371</v>
      </c>
      <c r="K44" s="42">
        <f t="shared" ca="1" si="4"/>
        <v>1289965.8286787067</v>
      </c>
      <c r="L44" s="42">
        <f t="shared" ca="1" si="4"/>
        <v>1278963.7767374672</v>
      </c>
      <c r="M44" s="42">
        <f t="shared" ca="1" si="4"/>
        <v>1268021.4628781744</v>
      </c>
      <c r="N44" s="42">
        <f t="shared" ca="1" si="4"/>
        <v>1257138.4566280039</v>
      </c>
      <c r="O44" s="42">
        <f t="shared" ca="1" si="4"/>
        <v>1246314.3319000381</v>
      </c>
      <c r="P44" s="42">
        <f t="shared" ca="1" si="4"/>
        <v>1235548.6669416826</v>
      </c>
      <c r="Q44" s="42">
        <f t="shared" ca="1" si="4"/>
        <v>1224841.0442837081</v>
      </c>
      <c r="R44" s="42">
        <f t="shared" ca="1" si="4"/>
        <v>1214191.0506899061</v>
      </c>
      <c r="S44" s="42">
        <f t="shared" ca="1" si="4"/>
        <v>1203598.2771073526</v>
      </c>
      <c r="T44" s="42">
        <f t="shared" ca="1" si="4"/>
        <v>1193062.3186172731</v>
      </c>
      <c r="U44" s="42">
        <f t="shared" ca="1" si="4"/>
        <v>1180969.3170162605</v>
      </c>
      <c r="V44" s="42">
        <f t="shared" ca="1" si="4"/>
        <v>1168941.6362142453</v>
      </c>
      <c r="W44" s="42">
        <f t="shared" ca="1" si="4"/>
        <v>1156978.8200456896</v>
      </c>
      <c r="X44" s="42">
        <f t="shared" ca="1" si="4"/>
        <v>1145080.4169316641</v>
      </c>
      <c r="Y44" s="42">
        <f t="shared" ca="1" si="4"/>
        <v>1141833.5243941131</v>
      </c>
      <c r="Z44" s="42"/>
      <c r="AB44" s="54">
        <f ca="1">SUM(AB35:AB42)</f>
        <v>3882233.982939986</v>
      </c>
    </row>
    <row r="45" spans="1:28">
      <c r="E45" s="42"/>
      <c r="F45" s="42"/>
      <c r="G45" s="42"/>
      <c r="H45" s="42"/>
      <c r="I45" s="42"/>
      <c r="J45" s="42"/>
      <c r="K45" s="42"/>
      <c r="L45" s="42"/>
      <c r="M45" s="42"/>
      <c r="N45" s="42"/>
      <c r="O45" s="42"/>
      <c r="P45" s="42"/>
      <c r="Q45" s="42"/>
      <c r="R45" s="42"/>
      <c r="S45" s="42"/>
      <c r="T45" s="42"/>
      <c r="U45" s="42"/>
      <c r="V45" s="42"/>
      <c r="W45" s="42"/>
      <c r="X45" s="42"/>
      <c r="Y45" s="42"/>
    </row>
    <row r="46" spans="1:28" ht="15">
      <c r="A46" s="63" t="str">
        <f>CONCATENATE("# HOMES APPLICABLE BY YEAR FOR MEASURE - ",D30)</f>
        <v># HOMES APPLICABLE BY YEAR FOR MEASURE - Computer - NR</v>
      </c>
      <c r="D46" s="9" t="s">
        <v>148</v>
      </c>
      <c r="E46" s="42"/>
      <c r="F46" s="42"/>
      <c r="G46" s="42"/>
      <c r="H46" s="42"/>
      <c r="I46" s="42"/>
      <c r="J46" s="42"/>
      <c r="K46" s="42"/>
      <c r="L46" s="42"/>
      <c r="M46" s="42"/>
      <c r="N46" s="42"/>
      <c r="O46" s="42"/>
      <c r="P46" s="42"/>
      <c r="Q46" s="42"/>
      <c r="R46" s="42"/>
      <c r="S46" s="42"/>
      <c r="T46" s="42"/>
      <c r="U46" s="42"/>
      <c r="V46" s="42"/>
      <c r="W46" s="42"/>
      <c r="X46" s="42"/>
      <c r="Y46" s="42"/>
      <c r="AB46" s="52">
        <v>0.85</v>
      </c>
    </row>
    <row r="47" spans="1:28" ht="15">
      <c r="A47" s="72" t="s">
        <v>58</v>
      </c>
      <c r="B47" s="72" t="s">
        <v>145</v>
      </c>
      <c r="C47" s="72" t="s">
        <v>308</v>
      </c>
      <c r="D47" s="72" t="str">
        <f>CONCATENATE(C8," - ","NEW")</f>
        <v>Computer - NEW</v>
      </c>
      <c r="F47" s="9">
        <v>4</v>
      </c>
      <c r="G47" s="9">
        <v>5</v>
      </c>
      <c r="H47" s="9">
        <v>6</v>
      </c>
      <c r="I47" s="9">
        <v>7</v>
      </c>
      <c r="J47" s="9">
        <v>8</v>
      </c>
      <c r="K47" s="9">
        <v>9</v>
      </c>
      <c r="L47" s="9">
        <v>10</v>
      </c>
      <c r="M47" s="9">
        <v>11</v>
      </c>
      <c r="N47" s="9">
        <v>12</v>
      </c>
      <c r="O47" s="9">
        <v>13</v>
      </c>
      <c r="P47" s="9">
        <v>14</v>
      </c>
      <c r="Q47" s="9">
        <v>15</v>
      </c>
      <c r="R47" s="9">
        <v>16</v>
      </c>
      <c r="S47" s="9">
        <v>17</v>
      </c>
      <c r="T47" s="9">
        <v>18</v>
      </c>
      <c r="U47" s="9">
        <v>19</v>
      </c>
      <c r="V47" s="9">
        <v>20</v>
      </c>
      <c r="W47" s="9">
        <v>21</v>
      </c>
      <c r="X47" s="9">
        <v>22</v>
      </c>
      <c r="Y47" s="9">
        <v>23</v>
      </c>
      <c r="AB47" s="50" t="s">
        <v>59</v>
      </c>
    </row>
    <row r="48" spans="1:28">
      <c r="A48" s="64"/>
      <c r="B48" s="89"/>
      <c r="C48" s="348"/>
      <c r="F48" s="42"/>
      <c r="G48" s="42"/>
      <c r="H48" s="42"/>
      <c r="I48" s="42"/>
      <c r="J48" s="42"/>
      <c r="K48" s="42"/>
      <c r="L48" s="42"/>
      <c r="M48" s="42"/>
      <c r="N48" s="42"/>
      <c r="O48" s="42"/>
      <c r="P48" s="42"/>
      <c r="Q48" s="42"/>
      <c r="R48" s="42"/>
      <c r="S48" s="42"/>
      <c r="T48" s="42"/>
      <c r="U48" s="42"/>
      <c r="V48" s="42"/>
      <c r="W48" s="42"/>
      <c r="X48" s="42"/>
      <c r="Y48" s="42"/>
      <c r="Z48" s="42"/>
      <c r="AB48" s="54"/>
    </row>
    <row r="49" spans="1:72">
      <c r="A49" s="64"/>
      <c r="B49" s="89"/>
      <c r="C49" s="348"/>
      <c r="F49" s="42"/>
      <c r="G49" s="42"/>
      <c r="H49" s="42"/>
      <c r="I49" s="42"/>
      <c r="J49" s="42"/>
      <c r="K49" s="42"/>
      <c r="L49" s="42"/>
      <c r="M49" s="42"/>
      <c r="N49" s="42"/>
      <c r="O49" s="42"/>
      <c r="P49" s="42"/>
      <c r="Q49" s="42"/>
      <c r="R49" s="42"/>
      <c r="S49" s="42"/>
      <c r="T49" s="42"/>
      <c r="U49" s="42"/>
      <c r="V49" s="42"/>
      <c r="W49" s="42"/>
      <c r="X49" s="42"/>
      <c r="Y49" s="42"/>
      <c r="Z49" s="42"/>
      <c r="AB49" s="54"/>
    </row>
    <row r="50" spans="1:72">
      <c r="A50" s="64"/>
      <c r="B50" s="89"/>
      <c r="C50" s="348"/>
      <c r="F50" s="42"/>
      <c r="G50" s="42"/>
      <c r="H50" s="42"/>
      <c r="I50" s="42"/>
      <c r="J50" s="42"/>
      <c r="K50" s="42"/>
      <c r="L50" s="42"/>
      <c r="M50" s="42"/>
      <c r="N50" s="42"/>
      <c r="O50" s="42"/>
      <c r="P50" s="42"/>
      <c r="Q50" s="42"/>
      <c r="R50" s="42"/>
      <c r="S50" s="42"/>
      <c r="T50" s="42"/>
      <c r="U50" s="42"/>
      <c r="V50" s="42"/>
      <c r="W50" s="42"/>
      <c r="X50" s="42"/>
      <c r="Y50" s="42"/>
      <c r="Z50" s="42"/>
      <c r="AB50" s="54"/>
    </row>
    <row r="51" spans="1:72">
      <c r="A51" s="64"/>
      <c r="B51" s="89"/>
      <c r="C51" s="348"/>
      <c r="F51" s="42"/>
      <c r="G51" s="42"/>
      <c r="H51" s="42"/>
      <c r="I51" s="42"/>
      <c r="J51" s="42"/>
      <c r="K51" s="42"/>
      <c r="L51" s="42"/>
      <c r="M51" s="42"/>
      <c r="N51" s="42"/>
      <c r="O51" s="42"/>
      <c r="P51" s="42"/>
      <c r="Q51" s="42"/>
      <c r="R51" s="42"/>
      <c r="S51" s="42"/>
      <c r="T51" s="42"/>
      <c r="U51" s="42"/>
      <c r="V51" s="42"/>
      <c r="W51" s="42"/>
      <c r="X51" s="42"/>
      <c r="Y51" s="42"/>
      <c r="Z51" s="42"/>
      <c r="AB51" s="54"/>
    </row>
    <row r="52" spans="1:72">
      <c r="A52" s="64">
        <f>INDEX([2]!ResApplic,MATCH($E52&amp;" - "&amp;'SC-New'!$C$7,[2]APPLIC!$B$9:$B$120,0)+1,MATCH($D52,[2]APPLIC!$C$8:$F$8,0)+1)</f>
        <v>0.75</v>
      </c>
      <c r="B52" s="89">
        <f>VLOOKUP($E52,'Units per home'!$A$18:$E$20,MATCH('SC-NR (2)'!$D52,'Units per home'!$B$17:$E$17,0)+1,FALSE)</f>
        <v>0.96428380745963449</v>
      </c>
      <c r="C52" s="348">
        <f>VLOOKUP(CONCATENATE($E52," - ","NEW"),[2]TURN!$B$10:$G$79,6,FALSE)</f>
        <v>1</v>
      </c>
      <c r="D52" s="9" t="str">
        <f t="shared" ref="D52:D59" si="5">D35</f>
        <v>Single Family</v>
      </c>
      <c r="E52" s="9" t="s">
        <v>157</v>
      </c>
      <c r="F52" s="42">
        <f t="shared" ref="F52:O59" si="6">$A52*$B52*VLOOKUP($D52,$C$22:$Z$25,F$47,FALSE)*$C52</f>
        <v>0</v>
      </c>
      <c r="G52" s="42">
        <f t="shared" si="6"/>
        <v>0</v>
      </c>
      <c r="H52" s="42">
        <f t="shared" si="6"/>
        <v>0</v>
      </c>
      <c r="I52" s="42">
        <f t="shared" si="6"/>
        <v>0</v>
      </c>
      <c r="J52" s="42">
        <f t="shared" ca="1" si="6"/>
        <v>71518.477833701429</v>
      </c>
      <c r="K52" s="42">
        <f t="shared" ca="1" si="6"/>
        <v>59156.870301710158</v>
      </c>
      <c r="L52" s="42">
        <f t="shared" ca="1" si="6"/>
        <v>49717.69077999689</v>
      </c>
      <c r="M52" s="42">
        <f t="shared" ca="1" si="6"/>
        <v>43692.938232446526</v>
      </c>
      <c r="N52" s="42">
        <f t="shared" ca="1" si="6"/>
        <v>39280.845296141633</v>
      </c>
      <c r="O52" s="42">
        <f t="shared" ca="1" si="6"/>
        <v>36464.951799246286</v>
      </c>
      <c r="P52" s="42">
        <f t="shared" ref="P52:Y59" ca="1" si="7">$A52*$B52*VLOOKUP($D52,$C$22:$Z$25,P$47,FALSE)*$C52</f>
        <v>35133.436192073685</v>
      </c>
      <c r="Q52" s="42">
        <f t="shared" ca="1" si="7"/>
        <v>34945.451144701685</v>
      </c>
      <c r="R52" s="42">
        <f t="shared" ca="1" si="7"/>
        <v>34688.17964422339</v>
      </c>
      <c r="S52" s="42">
        <f t="shared" ca="1" si="7"/>
        <v>35456.974489487569</v>
      </c>
      <c r="T52" s="42">
        <f t="shared" ca="1" si="7"/>
        <v>35874.387707225986</v>
      </c>
      <c r="U52" s="42">
        <f t="shared" ca="1" si="7"/>
        <v>35586.564164525931</v>
      </c>
      <c r="V52" s="42">
        <f t="shared" ca="1" si="7"/>
        <v>34813.449762063334</v>
      </c>
      <c r="W52" s="42">
        <f t="shared" ca="1" si="7"/>
        <v>35019.681871711764</v>
      </c>
      <c r="X52" s="42">
        <f t="shared" ca="1" si="7"/>
        <v>35600.5829582843</v>
      </c>
      <c r="Y52" s="42">
        <f t="shared" ca="1" si="7"/>
        <v>35660.256463128208</v>
      </c>
      <c r="Z52" s="42"/>
      <c r="AB52" s="42">
        <f ca="1">$A52*$B52*SUM($F22:$Y22)*VLOOKUP($E52,'Units per home'!$A$32:$U$34,Y$30-2,FALSE)*$AB$29</f>
        <v>455140.92783708306</v>
      </c>
    </row>
    <row r="53" spans="1:72">
      <c r="A53" s="64">
        <f>INDEX([2]!ResApplic,MATCH($E53&amp;" - "&amp;'SC-New'!$C$7,[2]APPLIC!$B$9:$B$120,0)+1,MATCH($D53,[2]APPLIC!$C$8:$F$8,0)+1)</f>
        <v>0.75</v>
      </c>
      <c r="B53" s="89">
        <f>VLOOKUP($E53,'Units per home'!$A$18:$E$20,MATCH('SC-NR (2)'!$D53,'Units per home'!$B$17:$E$17,0)+1,FALSE)</f>
        <v>0.44414870578030757</v>
      </c>
      <c r="C53" s="348">
        <f>VLOOKUP(CONCATENATE($E53," - ","NEW"),[2]TURN!$B$10:$G$79,6,FALSE)</f>
        <v>1</v>
      </c>
      <c r="D53" s="9" t="str">
        <f t="shared" si="5"/>
        <v>Multifamily - Low Rise</v>
      </c>
      <c r="E53" s="9" t="s">
        <v>157</v>
      </c>
      <c r="F53" s="42">
        <f t="shared" si="6"/>
        <v>0</v>
      </c>
      <c r="G53" s="42">
        <f t="shared" si="6"/>
        <v>0</v>
      </c>
      <c r="H53" s="42">
        <f t="shared" si="6"/>
        <v>0</v>
      </c>
      <c r="I53" s="42">
        <f t="shared" si="6"/>
        <v>0</v>
      </c>
      <c r="J53" s="42">
        <f t="shared" ca="1" si="6"/>
        <v>12233.827484559499</v>
      </c>
      <c r="K53" s="42">
        <f t="shared" ca="1" si="6"/>
        <v>10459.496988687491</v>
      </c>
      <c r="L53" s="42">
        <f t="shared" ca="1" si="6"/>
        <v>9191.4085640341691</v>
      </c>
      <c r="M53" s="42">
        <f t="shared" ca="1" si="6"/>
        <v>8083.5931549655879</v>
      </c>
      <c r="N53" s="42">
        <f t="shared" ca="1" si="6"/>
        <v>7039.2414047415796</v>
      </c>
      <c r="O53" s="42">
        <f t="shared" ca="1" si="6"/>
        <v>6612.0372724586414</v>
      </c>
      <c r="P53" s="42">
        <f t="shared" ca="1" si="7"/>
        <v>6493.6018796477229</v>
      </c>
      <c r="Q53" s="42">
        <f t="shared" ca="1" si="7"/>
        <v>6610.5707852812393</v>
      </c>
      <c r="R53" s="42">
        <f t="shared" ca="1" si="7"/>
        <v>6791.5780537674082</v>
      </c>
      <c r="S53" s="42">
        <f t="shared" ca="1" si="7"/>
        <v>7006.2714541564865</v>
      </c>
      <c r="T53" s="42">
        <f t="shared" ca="1" si="7"/>
        <v>7068.9806328665618</v>
      </c>
      <c r="U53" s="42">
        <f t="shared" ca="1" si="7"/>
        <v>7105.4142519061861</v>
      </c>
      <c r="V53" s="42">
        <f t="shared" ca="1" si="7"/>
        <v>7151.6267217058248</v>
      </c>
      <c r="W53" s="42">
        <f t="shared" ca="1" si="7"/>
        <v>7108.3097147225717</v>
      </c>
      <c r="X53" s="42">
        <f t="shared" ca="1" si="7"/>
        <v>7056.777351169445</v>
      </c>
      <c r="Y53" s="42">
        <f t="shared" ca="1" si="7"/>
        <v>6953.6400035922252</v>
      </c>
      <c r="Z53" s="42"/>
      <c r="AB53" s="42">
        <f ca="1">$A53*$B53*SUM($F23:$Y23)*VLOOKUP($E53,'Units per home'!$A$32:$U$34,Y$30-2,FALSE)*$AB$29</f>
        <v>85758.672089502943</v>
      </c>
    </row>
    <row r="54" spans="1:72">
      <c r="A54" s="64">
        <f>INDEX([2]!ResApplic,MATCH($E54&amp;" - "&amp;'SC-New'!$C$7,[2]APPLIC!$B$9:$B$120,0)+1,MATCH($D54,[2]APPLIC!$C$8:$F$8,0)+1)</f>
        <v>0.75</v>
      </c>
      <c r="B54" s="89">
        <f>VLOOKUP($E54,'Units per home'!$A$18:$E$20,MATCH('SC-NR (2)'!$D54,'Units per home'!$B$17:$E$17,0)+1,FALSE)</f>
        <v>0.44414870578030757</v>
      </c>
      <c r="C54" s="348">
        <f>VLOOKUP(CONCATENATE($E54," - ","NEW"),[2]TURN!$B$10:$G$79,6,FALSE)</f>
        <v>1</v>
      </c>
      <c r="D54" s="9" t="str">
        <f t="shared" si="5"/>
        <v>Multifamily - High Rise</v>
      </c>
      <c r="E54" s="9" t="s">
        <v>157</v>
      </c>
      <c r="F54" s="42">
        <f t="shared" si="6"/>
        <v>0</v>
      </c>
      <c r="G54" s="42">
        <f t="shared" si="6"/>
        <v>0</v>
      </c>
      <c r="H54" s="42">
        <f t="shared" si="6"/>
        <v>0</v>
      </c>
      <c r="I54" s="42">
        <f t="shared" si="6"/>
        <v>0</v>
      </c>
      <c r="J54" s="42">
        <f t="shared" ca="1" si="6"/>
        <v>2746.3895995752268</v>
      </c>
      <c r="K54" s="42">
        <f t="shared" ca="1" si="6"/>
        <v>2381.1217099348619</v>
      </c>
      <c r="L54" s="42">
        <f t="shared" ca="1" si="6"/>
        <v>2123.9324696292856</v>
      </c>
      <c r="M54" s="42">
        <f t="shared" ca="1" si="6"/>
        <v>1824.866737249818</v>
      </c>
      <c r="N54" s="42">
        <f t="shared" ca="1" si="6"/>
        <v>1558.3251838022013</v>
      </c>
      <c r="O54" s="42">
        <f t="shared" ca="1" si="6"/>
        <v>1485.6739849035146</v>
      </c>
      <c r="P54" s="42">
        <f t="shared" ca="1" si="7"/>
        <v>1463.3454509912845</v>
      </c>
      <c r="Q54" s="42">
        <f t="shared" ca="1" si="7"/>
        <v>1508.2225020629278</v>
      </c>
      <c r="R54" s="42">
        <f t="shared" ca="1" si="7"/>
        <v>1538.6262532322926</v>
      </c>
      <c r="S54" s="42">
        <f t="shared" ca="1" si="7"/>
        <v>1587.0987936394597</v>
      </c>
      <c r="T54" s="42">
        <f t="shared" ca="1" si="7"/>
        <v>1582.0277768809594</v>
      </c>
      <c r="U54" s="42">
        <f t="shared" ca="1" si="7"/>
        <v>1587.1051672030303</v>
      </c>
      <c r="V54" s="42">
        <f t="shared" ca="1" si="7"/>
        <v>1583.6474079827303</v>
      </c>
      <c r="W54" s="42">
        <f t="shared" ca="1" si="7"/>
        <v>1586.3871697810584</v>
      </c>
      <c r="X54" s="42">
        <f t="shared" ca="1" si="7"/>
        <v>1582.38895586227</v>
      </c>
      <c r="Y54" s="42">
        <f t="shared" ca="1" si="7"/>
        <v>1558.1574710869068</v>
      </c>
      <c r="Z54" s="42"/>
      <c r="AB54" s="42">
        <f ca="1">$A54*$B54*SUM($F24:$Y24)*VLOOKUP($E54,'Units per home'!$A$32:$U$34,Y$30-2,FALSE)*$AB$29</f>
        <v>19316.541461715598</v>
      </c>
    </row>
    <row r="55" spans="1:72">
      <c r="A55" s="64">
        <f>INDEX([2]!ResApplic,MATCH($E55&amp;" - "&amp;'SC-New'!$C$7,[2]APPLIC!$B$9:$B$120,0)+1,MATCH($D55,[2]APPLIC!$C$8:$F$8,0)+1)</f>
        <v>0.75</v>
      </c>
      <c r="B55" s="89">
        <f>VLOOKUP($E55,'Units per home'!$A$18:$E$20,MATCH('SC-NR (2)'!$D55,'Units per home'!$B$17:$E$17,0)+1,FALSE)</f>
        <v>0.70646803257015534</v>
      </c>
      <c r="C55" s="348">
        <f>VLOOKUP(CONCATENATE($E55," - ","NEW"),[2]TURN!$B$10:$G$79,6,FALSE)</f>
        <v>1</v>
      </c>
      <c r="D55" s="9" t="str">
        <f t="shared" si="5"/>
        <v>Manufactured</v>
      </c>
      <c r="E55" s="9" t="s">
        <v>157</v>
      </c>
      <c r="F55" s="42">
        <f t="shared" si="6"/>
        <v>0</v>
      </c>
      <c r="G55" s="42">
        <f t="shared" si="6"/>
        <v>0</v>
      </c>
      <c r="H55" s="42">
        <f t="shared" si="6"/>
        <v>0</v>
      </c>
      <c r="I55" s="42">
        <f t="shared" si="6"/>
        <v>0</v>
      </c>
      <c r="J55" s="42">
        <f t="shared" ca="1" si="6"/>
        <v>1562.7157920800339</v>
      </c>
      <c r="K55" s="42">
        <f t="shared" ca="1" si="6"/>
        <v>1360.1628795177955</v>
      </c>
      <c r="L55" s="42">
        <f t="shared" ca="1" si="6"/>
        <v>1249.2000061596332</v>
      </c>
      <c r="M55" s="42">
        <f t="shared" ca="1" si="6"/>
        <v>1176.6888700366551</v>
      </c>
      <c r="N55" s="42">
        <f t="shared" ca="1" si="6"/>
        <v>1053.9030279085059</v>
      </c>
      <c r="O55" s="42">
        <f t="shared" ca="1" si="6"/>
        <v>1010.6082662468699</v>
      </c>
      <c r="P55" s="42">
        <f t="shared" ca="1" si="7"/>
        <v>1004.928727245037</v>
      </c>
      <c r="Q55" s="42">
        <f t="shared" ca="1" si="7"/>
        <v>1010.0143218991708</v>
      </c>
      <c r="R55" s="42">
        <f t="shared" ca="1" si="7"/>
        <v>1018.5860250794592</v>
      </c>
      <c r="S55" s="42">
        <f t="shared" ca="1" si="7"/>
        <v>1023.6274003575453</v>
      </c>
      <c r="T55" s="42">
        <f t="shared" ca="1" si="7"/>
        <v>1022.9440108757784</v>
      </c>
      <c r="U55" s="42">
        <f t="shared" ca="1" si="7"/>
        <v>1026.8528519736919</v>
      </c>
      <c r="V55" s="42">
        <f t="shared" ca="1" si="7"/>
        <v>1033.3476111372956</v>
      </c>
      <c r="W55" s="42">
        <f t="shared" ca="1" si="7"/>
        <v>1039.5463323667022</v>
      </c>
      <c r="X55" s="42">
        <f t="shared" ca="1" si="7"/>
        <v>1044.9789736144003</v>
      </c>
      <c r="Y55" s="42">
        <f t="shared" ca="1" si="7"/>
        <v>1050.697286004561</v>
      </c>
      <c r="Z55" s="42"/>
      <c r="AB55" s="42">
        <f ca="1">$A55*$B55*SUM($F25:$Y25)*VLOOKUP($E55,'Units per home'!$A$32:$U$34,Y$30-2,FALSE)*$AB$29</f>
        <v>12336.447214259146</v>
      </c>
    </row>
    <row r="56" spans="1:72">
      <c r="A56" s="64">
        <f>INDEX([2]!ResApplic,MATCH($E56&amp;" - "&amp;'SC-New'!$C$7,[2]APPLIC!$B$9:$B$120,0)+1,MATCH($D56,[2]APPLIC!$C$8:$F$8,0)+1)</f>
        <v>0.26</v>
      </c>
      <c r="B56" s="89">
        <f>VLOOKUP($E56,'Units per home'!$A$18:$E$20,MATCH('SC-NR (2)'!$D56,'Units per home'!$B$17:$E$17,0)+1,FALSE)</f>
        <v>0.68337823408954967</v>
      </c>
      <c r="C56" s="348">
        <f>VLOOKUP(CONCATENATE($E56," - ","NEW"),[2]TURN!$B$10:$G$79,6,FALSE)</f>
        <v>1</v>
      </c>
      <c r="D56" s="9" t="str">
        <f t="shared" si="5"/>
        <v>Single Family</v>
      </c>
      <c r="E56" s="9" t="s">
        <v>158</v>
      </c>
      <c r="F56" s="42">
        <f t="shared" si="6"/>
        <v>0</v>
      </c>
      <c r="G56" s="42">
        <f t="shared" si="6"/>
        <v>0</v>
      </c>
      <c r="H56" s="42">
        <f t="shared" si="6"/>
        <v>0</v>
      </c>
      <c r="I56" s="42">
        <f t="shared" si="6"/>
        <v>0</v>
      </c>
      <c r="J56" s="42">
        <f t="shared" ca="1" si="6"/>
        <v>17570.600943078996</v>
      </c>
      <c r="K56" s="42">
        <f t="shared" ca="1" si="6"/>
        <v>14533.611349080293</v>
      </c>
      <c r="L56" s="42">
        <f t="shared" ca="1" si="6"/>
        <v>12214.601470377964</v>
      </c>
      <c r="M56" s="42">
        <f t="shared" ca="1" si="6"/>
        <v>10734.445208663978</v>
      </c>
      <c r="N56" s="42">
        <f t="shared" ca="1" si="6"/>
        <v>9650.4858368237128</v>
      </c>
      <c r="O56" s="42">
        <f t="shared" ca="1" si="6"/>
        <v>8958.6794333484359</v>
      </c>
      <c r="P56" s="42">
        <f t="shared" ca="1" si="7"/>
        <v>8631.5537716766121</v>
      </c>
      <c r="Q56" s="42">
        <f t="shared" ca="1" si="7"/>
        <v>8585.3697595067824</v>
      </c>
      <c r="R56" s="42">
        <f t="shared" ca="1" si="7"/>
        <v>8522.1635083972105</v>
      </c>
      <c r="S56" s="42">
        <f t="shared" ca="1" si="7"/>
        <v>8711.0403950759664</v>
      </c>
      <c r="T56" s="42">
        <f t="shared" ca="1" si="7"/>
        <v>8813.5901318629003</v>
      </c>
      <c r="U56" s="42">
        <f t="shared" ca="1" si="7"/>
        <v>8742.877880092592</v>
      </c>
      <c r="V56" s="42">
        <f t="shared" ca="1" si="7"/>
        <v>8552.9397681461414</v>
      </c>
      <c r="W56" s="42">
        <f t="shared" ca="1" si="7"/>
        <v>8603.6067036017284</v>
      </c>
      <c r="X56" s="42">
        <f t="shared" ca="1" si="7"/>
        <v>8746.3220058387305</v>
      </c>
      <c r="Y56" s="42">
        <f t="shared" ca="1" si="7"/>
        <v>8760.9825435381645</v>
      </c>
      <c r="Z56" s="42"/>
      <c r="AB56" s="42">
        <f ca="1">$A56*$B56*SUM($F22:$Y22)*VLOOKUP($E56,'Units per home'!$A$32:$U$34,Y$30-2,FALSE)*$AB$29</f>
        <v>272052.46861657867</v>
      </c>
    </row>
    <row r="57" spans="1:72">
      <c r="A57" s="64">
        <f>INDEX([2]!ResApplic,MATCH($E57&amp;" - "&amp;'SC-New'!$C$7,[2]APPLIC!$B$9:$B$120,0)+1,MATCH($D57,[2]APPLIC!$C$8:$F$8,0)+1)</f>
        <v>0.26</v>
      </c>
      <c r="B57" s="89">
        <f>VLOOKUP($E57,'Units per home'!$A$18:$E$20,MATCH('SC-NR (2)'!$D57,'Units per home'!$B$17:$E$17,0)+1,FALSE)</f>
        <v>0.263107074806817</v>
      </c>
      <c r="C57" s="348">
        <f>VLOOKUP(CONCATENATE($E57," - ","NEW"),[2]TURN!$B$10:$G$79,6,FALSE)</f>
        <v>1</v>
      </c>
      <c r="D57" s="9" t="str">
        <f t="shared" si="5"/>
        <v>Multifamily - Low Rise</v>
      </c>
      <c r="E57" s="9" t="s">
        <v>158</v>
      </c>
      <c r="F57" s="42">
        <f t="shared" si="6"/>
        <v>0</v>
      </c>
      <c r="G57" s="42">
        <f t="shared" si="6"/>
        <v>0</v>
      </c>
      <c r="H57" s="42">
        <f t="shared" si="6"/>
        <v>0</v>
      </c>
      <c r="I57" s="42">
        <f t="shared" si="6"/>
        <v>0</v>
      </c>
      <c r="J57" s="42">
        <f t="shared" ca="1" si="6"/>
        <v>2512.340861002579</v>
      </c>
      <c r="K57" s="42">
        <f t="shared" ca="1" si="6"/>
        <v>2147.9640532268954</v>
      </c>
      <c r="L57" s="42">
        <f t="shared" ca="1" si="6"/>
        <v>1887.5492019759795</v>
      </c>
      <c r="M57" s="42">
        <f t="shared" ca="1" si="6"/>
        <v>1660.0480440461315</v>
      </c>
      <c r="N57" s="42">
        <f t="shared" ca="1" si="6"/>
        <v>1445.5797937247312</v>
      </c>
      <c r="O57" s="42">
        <f t="shared" ca="1" si="6"/>
        <v>1357.8490815761265</v>
      </c>
      <c r="P57" s="42">
        <f t="shared" ca="1" si="7"/>
        <v>1333.5271694743492</v>
      </c>
      <c r="Q57" s="42">
        <f t="shared" ca="1" si="7"/>
        <v>1357.5479235237858</v>
      </c>
      <c r="R57" s="42">
        <f t="shared" ca="1" si="7"/>
        <v>1394.7196064930131</v>
      </c>
      <c r="S57" s="42">
        <f t="shared" ca="1" si="7"/>
        <v>1438.8090791511679</v>
      </c>
      <c r="T57" s="42">
        <f t="shared" ca="1" si="7"/>
        <v>1451.6870465928437</v>
      </c>
      <c r="U57" s="42">
        <f t="shared" ca="1" si="7"/>
        <v>1459.1690607002827</v>
      </c>
      <c r="V57" s="42">
        <f t="shared" ca="1" si="7"/>
        <v>1468.6592612374418</v>
      </c>
      <c r="W57" s="42">
        <f t="shared" ca="1" si="7"/>
        <v>1459.7636734291527</v>
      </c>
      <c r="X57" s="42">
        <f t="shared" ca="1" si="7"/>
        <v>1449.1809786198658</v>
      </c>
      <c r="Y57" s="42">
        <f t="shared" ca="1" si="7"/>
        <v>1428.0006756492126</v>
      </c>
      <c r="Z57" s="42"/>
      <c r="AB57" s="42">
        <f ca="1">$A57*$B57*SUM($F23:$Y23)*VLOOKUP($E57,'Units per home'!$A$32:$U$34,Y$30-2,FALSE)*$AB$29</f>
        <v>42848.210143739299</v>
      </c>
    </row>
    <row r="58" spans="1:72">
      <c r="A58" s="64">
        <f>INDEX([2]!ResApplic,MATCH($E58&amp;" - "&amp;'SC-New'!$C$7,[2]APPLIC!$B$9:$B$120,0)+1,MATCH($D58,[2]APPLIC!$C$8:$F$8,0)+1)</f>
        <v>0.26</v>
      </c>
      <c r="B58" s="89">
        <f>VLOOKUP($E58,'Units per home'!$A$18:$E$20,MATCH('SC-NR (2)'!$D58,'Units per home'!$B$17:$E$17,0)+1,FALSE)</f>
        <v>0.263107074806817</v>
      </c>
      <c r="C58" s="348">
        <f>VLOOKUP(CONCATENATE($E58," - ","NEW"),[2]TURN!$B$10:$G$79,6,FALSE)</f>
        <v>1</v>
      </c>
      <c r="D58" s="9" t="str">
        <f t="shared" si="5"/>
        <v>Multifamily - High Rise</v>
      </c>
      <c r="E58" s="9" t="s">
        <v>158</v>
      </c>
      <c r="F58" s="42">
        <f t="shared" si="6"/>
        <v>0</v>
      </c>
      <c r="G58" s="42">
        <f t="shared" si="6"/>
        <v>0</v>
      </c>
      <c r="H58" s="42">
        <f t="shared" si="6"/>
        <v>0</v>
      </c>
      <c r="I58" s="42">
        <f t="shared" si="6"/>
        <v>0</v>
      </c>
      <c r="J58" s="42">
        <f t="shared" ca="1" si="6"/>
        <v>563.99902810087701</v>
      </c>
      <c r="K58" s="42">
        <f t="shared" ca="1" si="6"/>
        <v>488.98755311368399</v>
      </c>
      <c r="L58" s="42">
        <f t="shared" ca="1" si="6"/>
        <v>436.17112765358792</v>
      </c>
      <c r="M58" s="42">
        <f t="shared" ca="1" si="6"/>
        <v>374.75493876822929</v>
      </c>
      <c r="N58" s="42">
        <f t="shared" ca="1" si="6"/>
        <v>320.01792071507157</v>
      </c>
      <c r="O58" s="42">
        <f t="shared" ca="1" si="6"/>
        <v>305.0982583424933</v>
      </c>
      <c r="P58" s="42">
        <f t="shared" ca="1" si="7"/>
        <v>300.51286687896499</v>
      </c>
      <c r="Q58" s="42">
        <f t="shared" ca="1" si="7"/>
        <v>309.72882560250332</v>
      </c>
      <c r="R58" s="42">
        <f t="shared" ca="1" si="7"/>
        <v>315.9725450342965</v>
      </c>
      <c r="S58" s="42">
        <f t="shared" ca="1" si="7"/>
        <v>325.9268740499071</v>
      </c>
      <c r="T58" s="42">
        <f t="shared" ca="1" si="7"/>
        <v>324.88548919914888</v>
      </c>
      <c r="U58" s="42">
        <f t="shared" ca="1" si="7"/>
        <v>325.92818292598929</v>
      </c>
      <c r="V58" s="42">
        <f t="shared" ca="1" si="7"/>
        <v>325.21809691344481</v>
      </c>
      <c r="W58" s="42">
        <f t="shared" ca="1" si="7"/>
        <v>325.78073485517166</v>
      </c>
      <c r="X58" s="42">
        <f t="shared" ca="1" si="7"/>
        <v>324.95966097523672</v>
      </c>
      <c r="Y58" s="42">
        <f t="shared" ca="1" si="7"/>
        <v>319.98347920377216</v>
      </c>
      <c r="Z58" s="42"/>
      <c r="AB58" s="42">
        <f ca="1">$A58*$B58*SUM($F24:$Y24)*VLOOKUP($E58,'Units per home'!$A$32:$U$34,Y$30-2,FALSE)*$AB$29</f>
        <v>9651.259839215174</v>
      </c>
    </row>
    <row r="59" spans="1:72">
      <c r="A59" s="64">
        <f>INDEX([2]!ResApplic,MATCH($E59&amp;" - "&amp;'SC-New'!$C$7,[2]APPLIC!$B$9:$B$120,0)+1,MATCH($D59,[2]APPLIC!$C$8:$F$8,0)+1)</f>
        <v>0.26</v>
      </c>
      <c r="B59" s="89">
        <f>VLOOKUP($E59,'Units per home'!$A$18:$E$20,MATCH('SC-NR (2)'!$D59,'Units per home'!$B$17:$E$17,0)+1,FALSE)</f>
        <v>0.41850113503652137</v>
      </c>
      <c r="C59" s="348">
        <f>VLOOKUP(CONCATENATE($E59," - ","NEW"),[2]TURN!$B$10:$G$79,6,FALSE)</f>
        <v>1</v>
      </c>
      <c r="D59" s="9" t="str">
        <f t="shared" si="5"/>
        <v>Manufactured</v>
      </c>
      <c r="E59" s="9" t="s">
        <v>158</v>
      </c>
      <c r="F59" s="42">
        <f t="shared" si="6"/>
        <v>0</v>
      </c>
      <c r="G59" s="42">
        <f t="shared" si="6"/>
        <v>0</v>
      </c>
      <c r="H59" s="42">
        <f t="shared" si="6"/>
        <v>0</v>
      </c>
      <c r="I59" s="42">
        <f t="shared" si="6"/>
        <v>0</v>
      </c>
      <c r="J59" s="42">
        <f t="shared" ca="1" si="6"/>
        <v>320.91957676629323</v>
      </c>
      <c r="K59" s="42">
        <f t="shared" ca="1" si="6"/>
        <v>279.32327672140036</v>
      </c>
      <c r="L59" s="42">
        <f t="shared" ca="1" si="6"/>
        <v>256.53592246584839</v>
      </c>
      <c r="M59" s="42">
        <f t="shared" ca="1" si="6"/>
        <v>241.64502340834562</v>
      </c>
      <c r="N59" s="42">
        <f t="shared" ca="1" si="6"/>
        <v>216.42970230622134</v>
      </c>
      <c r="O59" s="42">
        <f t="shared" ca="1" si="6"/>
        <v>207.53868280090484</v>
      </c>
      <c r="P59" s="42">
        <f t="shared" ca="1" si="7"/>
        <v>206.37233172034794</v>
      </c>
      <c r="Q59" s="42">
        <f t="shared" ca="1" si="7"/>
        <v>207.41671029019471</v>
      </c>
      <c r="R59" s="42">
        <f t="shared" ca="1" si="7"/>
        <v>209.17699669078391</v>
      </c>
      <c r="S59" s="42">
        <f t="shared" ca="1" si="7"/>
        <v>210.21229436216024</v>
      </c>
      <c r="T59" s="42">
        <f t="shared" ca="1" si="7"/>
        <v>210.07195338373879</v>
      </c>
      <c r="U59" s="42">
        <f t="shared" ca="1" si="7"/>
        <v>210.8746736462117</v>
      </c>
      <c r="V59" s="42">
        <f t="shared" ca="1" si="7"/>
        <v>212.20843847571305</v>
      </c>
      <c r="W59" s="42">
        <f t="shared" ca="1" si="7"/>
        <v>213.48140890547089</v>
      </c>
      <c r="X59" s="42">
        <f t="shared" ca="1" si="7"/>
        <v>214.59705702189117</v>
      </c>
      <c r="Y59" s="42">
        <f t="shared" ca="1" si="7"/>
        <v>215.77137061196836</v>
      </c>
      <c r="Z59" s="42"/>
      <c r="AB59" s="42">
        <f ca="1">$A59*$B59*SUM($F25:$Y25)*VLOOKUP($E59,'Units per home'!$A$32:$U$34,Y$30-2,FALSE)*$AB$29</f>
        <v>6163.7461236812278</v>
      </c>
    </row>
    <row r="60" spans="1:72">
      <c r="F60" s="42"/>
      <c r="G60" s="42"/>
      <c r="H60" s="42"/>
      <c r="I60" s="42"/>
      <c r="J60" s="42"/>
      <c r="K60" s="42"/>
      <c r="L60" s="42"/>
      <c r="M60" s="42"/>
      <c r="N60" s="42"/>
      <c r="O60" s="42"/>
      <c r="P60" s="42"/>
      <c r="Q60" s="42"/>
      <c r="R60" s="42"/>
      <c r="S60" s="42"/>
      <c r="T60" s="42"/>
      <c r="U60" s="42"/>
      <c r="V60" s="42"/>
      <c r="W60" s="42"/>
      <c r="X60" s="42"/>
      <c r="Y60" s="42"/>
      <c r="Z60" s="42"/>
    </row>
    <row r="61" spans="1:72">
      <c r="F61" s="42">
        <f>SUM(F48:F59)</f>
        <v>0</v>
      </c>
      <c r="G61" s="42">
        <f t="shared" ref="G61:Y61" si="8">SUM(G48:G59)</f>
        <v>0</v>
      </c>
      <c r="H61" s="42">
        <f t="shared" si="8"/>
        <v>0</v>
      </c>
      <c r="I61" s="42">
        <f t="shared" si="8"/>
        <v>0</v>
      </c>
      <c r="J61" s="42">
        <f t="shared" ca="1" si="8"/>
        <v>109029.27111886494</v>
      </c>
      <c r="K61" s="42">
        <f t="shared" ca="1" si="8"/>
        <v>90807.538111992588</v>
      </c>
      <c r="L61" s="42">
        <f t="shared" ca="1" si="8"/>
        <v>77077.089542293354</v>
      </c>
      <c r="M61" s="42">
        <f t="shared" ca="1" si="8"/>
        <v>67788.980209585265</v>
      </c>
      <c r="N61" s="42">
        <f t="shared" ca="1" si="8"/>
        <v>60564.828166163665</v>
      </c>
      <c r="O61" s="42">
        <f t="shared" ca="1" si="8"/>
        <v>56402.436778923271</v>
      </c>
      <c r="P61" s="42">
        <f t="shared" ca="1" si="8"/>
        <v>54567.278389708001</v>
      </c>
      <c r="Q61" s="42">
        <f t="shared" ca="1" si="8"/>
        <v>54534.321972868296</v>
      </c>
      <c r="R61" s="42">
        <f t="shared" ca="1" si="8"/>
        <v>54479.002632917851</v>
      </c>
      <c r="S61" s="42">
        <f t="shared" ca="1" si="8"/>
        <v>55759.960780280264</v>
      </c>
      <c r="T61" s="42">
        <f t="shared" ca="1" si="8"/>
        <v>56348.574748887921</v>
      </c>
      <c r="U61" s="42">
        <f t="shared" ca="1" si="8"/>
        <v>56044.786232973922</v>
      </c>
      <c r="V61" s="42">
        <f t="shared" ca="1" si="8"/>
        <v>55141.097067661925</v>
      </c>
      <c r="W61" s="42">
        <f t="shared" ca="1" si="8"/>
        <v>55356.557609373616</v>
      </c>
      <c r="X61" s="42">
        <f t="shared" ca="1" si="8"/>
        <v>56019.787941386137</v>
      </c>
      <c r="Y61" s="42">
        <f t="shared" ca="1" si="8"/>
        <v>55947.489292815029</v>
      </c>
      <c r="Z61" s="42"/>
      <c r="AB61" s="54">
        <f ca="1">SUM(AB48:AB59)</f>
        <v>903268.27332577528</v>
      </c>
    </row>
    <row r="63" spans="1:72" ht="15">
      <c r="A63" s="63" t="str">
        <f>CONCATENATE("# UNITS ACHIEVABLE BY YEAR FOR MEASURE - ",D64)</f>
        <v># UNITS ACHIEVABLE BY YEAR FOR MEASURE - Computer - NR</v>
      </c>
      <c r="F63" s="72" t="s">
        <v>60</v>
      </c>
      <c r="G63"/>
    </row>
    <row r="64" spans="1:72" ht="15">
      <c r="D64" s="72" t="str">
        <f>D30</f>
        <v>Computer - NR</v>
      </c>
      <c r="F64" s="76">
        <f>VLOOKUP($D$64,[2]ACHIEV!$B$9:$X$100,MATCH(F$11,$F$11:$Z$11,0)+2,FALSE)</f>
        <v>0.45</v>
      </c>
      <c r="G64" s="76">
        <f>VLOOKUP($D$64,[2]ACHIEV!$B$9:$X$100,MATCH(G$11,$F$11:$Z$11,0)+2,FALSE)</f>
        <v>0.66</v>
      </c>
      <c r="H64" s="76">
        <f>VLOOKUP($D$64,[2]ACHIEV!$B$9:$X$100,MATCH(H$11,$F$11:$Z$11,0)+2,FALSE)</f>
        <v>0.8</v>
      </c>
      <c r="I64" s="76">
        <f>VLOOKUP($D$64,[2]ACHIEV!$B$9:$X$100,MATCH(I$11,$F$11:$Z$11,0)+2,FALSE)</f>
        <v>0.89</v>
      </c>
      <c r="J64" s="76">
        <f>VLOOKUP($D$64,[2]ACHIEV!$B$9:$X$100,MATCH(J$11,$F$11:$Z$11,0)+2,FALSE)</f>
        <v>0.94954036260972652</v>
      </c>
      <c r="K64" s="76">
        <f>VLOOKUP($D$64,[2]ACHIEV!$B$9:$X$100,MATCH(K$11,$F$11:$Z$11,0)+2,FALSE)</f>
        <v>0.97931054391458994</v>
      </c>
      <c r="L64" s="76">
        <f>VLOOKUP($D$64,[2]ACHIEV!$B$9:$X$100,MATCH(L$11,$F$11:$Z$11,0)+2,FALSE)</f>
        <v>0.99254173560564019</v>
      </c>
      <c r="M64" s="76">
        <f>VLOOKUP($D$64,[2]ACHIEV!$B$9:$X$100,MATCH(M$11,$F$11:$Z$11,0)+2,FALSE)</f>
        <v>0.99783421228206048</v>
      </c>
      <c r="N64" s="76">
        <f>VLOOKUP($D$64,[2]ACHIEV!$B$9:$X$100,MATCH(N$11,$F$11:$Z$11,0)+2,FALSE)</f>
        <v>0.99975874925530417</v>
      </c>
      <c r="O64" s="76">
        <f>VLOOKUP($D$64,[2]ACHIEV!$B$9:$X$100,MATCH(O$11,$F$11:$Z$11,0)+2,FALSE)</f>
        <v>1.0004002615797187</v>
      </c>
      <c r="P64" s="76">
        <f>VLOOKUP($D$64,[2]ACHIEV!$B$9:$X$100,MATCH(P$11,$F$11:$Z$11,0)+2,FALSE)</f>
        <v>1.0005976499872309</v>
      </c>
      <c r="Q64" s="76">
        <f>VLOOKUP($D$64,[2]ACHIEV!$B$9:$X$100,MATCH(Q$11,$F$11:$Z$11,0)+2,FALSE)</f>
        <v>1.0006540466750915</v>
      </c>
      <c r="R64" s="76">
        <f>VLOOKUP($D$64,[2]ACHIEV!$B$9:$X$100,MATCH(R$11,$F$11:$Z$11,0)+2,FALSE)</f>
        <v>1.0006690857918545</v>
      </c>
      <c r="S64" s="76">
        <f>VLOOKUP($D$64,[2]ACHIEV!$B$9:$X$100,MATCH(S$11,$F$11:$Z$11,0)+2,FALSE)</f>
        <v>1.000672845571045</v>
      </c>
      <c r="T64" s="76">
        <f>VLOOKUP($D$64,[2]ACHIEV!$B$9:$X$100,MATCH(T$11,$F$11:$Z$11,0)+2,FALSE)</f>
        <v>1.0006737302249724</v>
      </c>
      <c r="U64" s="76">
        <f>VLOOKUP($D$64,[2]ACHIEV!$B$9:$X$100,MATCH(U$11,$F$11:$Z$11,0)+2,FALSE)</f>
        <v>1.0006739268147338</v>
      </c>
      <c r="V64" s="76">
        <f>VLOOKUP($D$64,[2]ACHIEV!$B$9:$X$100,MATCH(V$11,$F$11:$Z$11,0)+2,FALSE)</f>
        <v>1.0006739682020522</v>
      </c>
      <c r="W64" s="76">
        <f>VLOOKUP($D$64,[2]ACHIEV!$B$9:$X$100,MATCH(W$11,$F$11:$Z$11,0)+2,FALSE)</f>
        <v>1.0006739764795158</v>
      </c>
      <c r="X64" s="76">
        <f>VLOOKUP($D$64,[2]ACHIEV!$B$9:$X$100,MATCH(X$11,$F$11:$Z$11,0)+2,FALSE)</f>
        <v>1.0006739780561755</v>
      </c>
      <c r="Y64" s="76">
        <f>VLOOKUP($D$64,[2]ACHIEV!$B$9:$X$100,MATCH(Y$11,$F$11:$Z$11,0)+2,FALSE)</f>
        <v>1.0006739783428409</v>
      </c>
      <c r="Z64" s="76"/>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row>
    <row r="65" spans="1:81">
      <c r="C65" s="9" t="str">
        <f>D65&amp;E65</f>
        <v>Single FamilyENERGY STAR Desktops</v>
      </c>
      <c r="D65" s="9" t="str">
        <f>C13</f>
        <v>Single Family</v>
      </c>
      <c r="E65" s="9" t="s">
        <v>293</v>
      </c>
      <c r="F65" s="42">
        <f ca="1">(F35+F52)*F$64*$AB$29</f>
        <v>286463.79821385618</v>
      </c>
      <c r="G65" s="42">
        <f t="shared" ref="G65:Y71" ca="1" si="9">(G35+G52)*G$64*$AB$29</f>
        <v>415163.51159694802</v>
      </c>
      <c r="H65" s="42">
        <f t="shared" ca="1" si="9"/>
        <v>497212.8303880624</v>
      </c>
      <c r="I65" s="42">
        <f t="shared" ca="1" si="9"/>
        <v>546484.3498820879</v>
      </c>
      <c r="J65" s="42">
        <f t="shared" ca="1" si="9"/>
        <v>633685.43917517737</v>
      </c>
      <c r="K65" s="42">
        <f t="shared" ca="1" si="9"/>
        <v>636572.69346780679</v>
      </c>
      <c r="L65" s="42">
        <f t="shared" ca="1" si="9"/>
        <v>630456.88260521088</v>
      </c>
      <c r="M65" s="42">
        <f t="shared" ca="1" si="9"/>
        <v>621947.5191620735</v>
      </c>
      <c r="N65" s="42">
        <f t="shared" ca="1" si="9"/>
        <v>612651.20630036655</v>
      </c>
      <c r="O65" s="42">
        <f t="shared" ca="1" si="9"/>
        <v>603926.66591872415</v>
      </c>
      <c r="P65" s="42">
        <f t="shared" ca="1" si="9"/>
        <v>596216.39443188976</v>
      </c>
      <c r="Q65" s="42">
        <f t="shared" ca="1" si="9"/>
        <v>589420.22391688393</v>
      </c>
      <c r="R65" s="42">
        <f t="shared" ca="1" si="9"/>
        <v>582567.64354651328</v>
      </c>
      <c r="S65" s="42">
        <f t="shared" ca="1" si="9"/>
        <v>576608.39275937015</v>
      </c>
      <c r="T65" s="42">
        <f t="shared" ca="1" si="9"/>
        <v>570375.77420907305</v>
      </c>
      <c r="U65" s="42">
        <f t="shared" ca="1" si="9"/>
        <v>562400.87516358925</v>
      </c>
      <c r="V65" s="42">
        <f t="shared" ca="1" si="9"/>
        <v>554045.43515413918</v>
      </c>
      <c r="W65" s="42">
        <f t="shared" ca="1" si="9"/>
        <v>546555.19844383816</v>
      </c>
      <c r="X65" s="42">
        <f ca="1">(X35+X52)*X$64*$AB$29</f>
        <v>539415.7511143072</v>
      </c>
      <c r="Y65" s="42">
        <f t="shared" ca="1" si="9"/>
        <v>538310.37401172426</v>
      </c>
      <c r="Z65" s="42"/>
      <c r="AB65" s="42">
        <f ca="1">SUM(F65:Z65)</f>
        <v>11140480.959461641</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81">
      <c r="C66" s="9" t="str">
        <f t="shared" ref="C66:C72" si="10">D66&amp;E66</f>
        <v>Multifamily - Low RiseENERGY STAR Desktops</v>
      </c>
      <c r="D66" s="9" t="str">
        <f>C14</f>
        <v>Multifamily - Low Rise</v>
      </c>
      <c r="E66" s="9" t="s">
        <v>293</v>
      </c>
      <c r="F66" s="42">
        <f t="shared" ref="F66:U71" ca="1" si="11">(F36+F53)*F$64*$AB$29</f>
        <v>29073.971410507198</v>
      </c>
      <c r="G66" s="42">
        <f t="shared" ca="1" si="11"/>
        <v>42136.045463452872</v>
      </c>
      <c r="H66" s="42">
        <f t="shared" ca="1" si="11"/>
        <v>50463.446508173336</v>
      </c>
      <c r="I66" s="42">
        <f t="shared" ca="1" si="11"/>
        <v>55464.14143655033</v>
      </c>
      <c r="J66" s="42">
        <f t="shared" ca="1" si="11"/>
        <v>68329.961291465515</v>
      </c>
      <c r="K66" s="42">
        <f t="shared" ca="1" si="11"/>
        <v>68316.269823843089</v>
      </c>
      <c r="L66" s="42">
        <f t="shared" ca="1" si="11"/>
        <v>67484.063563124335</v>
      </c>
      <c r="M66" s="42">
        <f t="shared" ca="1" si="11"/>
        <v>66218.090778004655</v>
      </c>
      <c r="N66" s="42">
        <f t="shared" ca="1" si="11"/>
        <v>64773.5997880707</v>
      </c>
      <c r="O66" s="42">
        <f t="shared" ca="1" si="11"/>
        <v>63769.537587120838</v>
      </c>
      <c r="P66" s="42">
        <f t="shared" ca="1" si="11"/>
        <v>63001.694805188752</v>
      </c>
      <c r="Q66" s="42">
        <f t="shared" ca="1" si="11"/>
        <v>62427.788376286335</v>
      </c>
      <c r="R66" s="42">
        <f t="shared" ca="1" si="11"/>
        <v>61908.50764851804</v>
      </c>
      <c r="S66" s="42">
        <f t="shared" ca="1" si="11"/>
        <v>61419.94076069539</v>
      </c>
      <c r="T66" s="42">
        <f t="shared" ca="1" si="11"/>
        <v>60804.681366080666</v>
      </c>
      <c r="U66" s="42">
        <f t="shared" ca="1" si="11"/>
        <v>60051.123047595516</v>
      </c>
      <c r="V66" s="42">
        <f t="shared" ca="1" si="9"/>
        <v>59309.153504522998</v>
      </c>
      <c r="W66" s="42">
        <f t="shared" ca="1" si="9"/>
        <v>58494.300406773153</v>
      </c>
      <c r="X66" s="42">
        <f t="shared" ca="1" si="9"/>
        <v>57675.718117817916</v>
      </c>
      <c r="Y66" s="42">
        <f t="shared" ca="1" si="9"/>
        <v>57470.651392993976</v>
      </c>
      <c r="Z66" s="42"/>
      <c r="AB66" s="42">
        <f t="shared" ref="AB66:AB74" ca="1" si="12">SUM(F66:Z66)</f>
        <v>1178592.6870767858</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row>
    <row r="67" spans="1:81">
      <c r="C67" s="9" t="str">
        <f t="shared" si="10"/>
        <v>Multifamily - High RiseENERGY STAR Desktops</v>
      </c>
      <c r="D67" s="9" t="str">
        <f>C15</f>
        <v>Multifamily - High Rise</v>
      </c>
      <c r="E67" s="9" t="s">
        <v>293</v>
      </c>
      <c r="F67" s="42">
        <f t="shared" ca="1" si="11"/>
        <v>6628.7593068266506</v>
      </c>
      <c r="G67" s="42">
        <f t="shared" ca="1" si="9"/>
        <v>9606.8644897199338</v>
      </c>
      <c r="H67" s="42">
        <f t="shared" ca="1" si="9"/>
        <v>11505.481517214144</v>
      </c>
      <c r="I67" s="42">
        <f t="shared" ca="1" si="9"/>
        <v>12645.621698926647</v>
      </c>
      <c r="J67" s="42">
        <f t="shared" ca="1" si="9"/>
        <v>15544.374093364302</v>
      </c>
      <c r="K67" s="42">
        <f t="shared" ca="1" si="9"/>
        <v>15572.85884594048</v>
      </c>
      <c r="L67" s="42">
        <f t="shared" ca="1" si="9"/>
        <v>15410.016632667461</v>
      </c>
      <c r="M67" s="42">
        <f t="shared" ca="1" si="9"/>
        <v>15082.077778714158</v>
      </c>
      <c r="N67" s="42">
        <f t="shared" ca="1" si="9"/>
        <v>14728.547033676072</v>
      </c>
      <c r="O67" s="42">
        <f t="shared" ca="1" si="9"/>
        <v>14520.644846491146</v>
      </c>
      <c r="P67" s="42">
        <f t="shared" ca="1" si="9"/>
        <v>14349.551363120245</v>
      </c>
      <c r="Q67" s="42">
        <f t="shared" ca="1" si="9"/>
        <v>14234.189375437443</v>
      </c>
      <c r="R67" s="42">
        <f t="shared" ca="1" si="9"/>
        <v>14106.553641521445</v>
      </c>
      <c r="S67" s="42">
        <f t="shared" ca="1" si="9"/>
        <v>13994.756615983215</v>
      </c>
      <c r="T67" s="42">
        <f t="shared" ca="1" si="9"/>
        <v>13838.005412933457</v>
      </c>
      <c r="U67" s="42">
        <f t="shared" ca="1" si="9"/>
        <v>13663.450072876312</v>
      </c>
      <c r="V67" s="42">
        <f t="shared" ca="1" si="9"/>
        <v>13482.38078014508</v>
      </c>
      <c r="W67" s="42">
        <f t="shared" ca="1" si="9"/>
        <v>13307.327975684757</v>
      </c>
      <c r="X67" s="42">
        <f t="shared" ca="1" si="9"/>
        <v>13127.286973778502</v>
      </c>
      <c r="Y67" s="42">
        <f t="shared" ca="1" si="9"/>
        <v>13079.923034648566</v>
      </c>
      <c r="Z67" s="42"/>
      <c r="AB67" s="42">
        <f t="shared" ca="1" si="12"/>
        <v>268428.67148967006</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81">
      <c r="C68" s="9" t="str">
        <f t="shared" si="10"/>
        <v>ManufacturedENERGY STAR Desktops</v>
      </c>
      <c r="D68" s="9" t="str">
        <f>C16</f>
        <v>Manufactured</v>
      </c>
      <c r="E68" s="9" t="s">
        <v>293</v>
      </c>
      <c r="F68" s="42">
        <f t="shared" ca="1" si="11"/>
        <v>28559.082258185666</v>
      </c>
      <c r="G68" s="42">
        <f t="shared" ca="1" si="9"/>
        <v>41040.695236556741</v>
      </c>
      <c r="H68" s="42">
        <f t="shared" ca="1" si="9"/>
        <v>48737.010967996241</v>
      </c>
      <c r="I68" s="42">
        <f t="shared" ca="1" si="9"/>
        <v>53114.772276247139</v>
      </c>
      <c r="J68" s="42">
        <f t="shared" ca="1" si="9"/>
        <v>56768.903566421024</v>
      </c>
      <c r="K68" s="42">
        <f t="shared" ca="1" si="9"/>
        <v>57257.897961698691</v>
      </c>
      <c r="L68" s="42">
        <f t="shared" ca="1" si="9"/>
        <v>56818.172314791547</v>
      </c>
      <c r="M68" s="42">
        <f t="shared" ca="1" si="9"/>
        <v>55951.491834220389</v>
      </c>
      <c r="N68" s="42">
        <f t="shared" ca="1" si="9"/>
        <v>54862.094174514248</v>
      </c>
      <c r="O68" s="42">
        <f t="shared" ca="1" si="9"/>
        <v>53783.895087613557</v>
      </c>
      <c r="P68" s="42">
        <f t="shared" ca="1" si="9"/>
        <v>52729.723937528521</v>
      </c>
      <c r="Q68" s="42">
        <f t="shared" ca="1" si="9"/>
        <v>51693.619601656836</v>
      </c>
      <c r="R68" s="42">
        <f t="shared" ca="1" si="9"/>
        <v>50674.646559823152</v>
      </c>
      <c r="S68" s="42">
        <f t="shared" ca="1" si="9"/>
        <v>49668.22638501849</v>
      </c>
      <c r="T68" s="42">
        <f t="shared" ca="1" si="9"/>
        <v>48672.707729894966</v>
      </c>
      <c r="U68" s="42">
        <f t="shared" ca="1" si="9"/>
        <v>47594.105541650904</v>
      </c>
      <c r="V68" s="42">
        <f t="shared" ca="1" si="9"/>
        <v>46535.360890667791</v>
      </c>
      <c r="W68" s="42">
        <f t="shared" ca="1" si="9"/>
        <v>45493.774493834804</v>
      </c>
      <c r="X68" s="42">
        <f t="shared" ca="1" si="9"/>
        <v>44468.69721961904</v>
      </c>
      <c r="Y68" s="42">
        <f t="shared" ca="1" si="9"/>
        <v>44007.823630307226</v>
      </c>
      <c r="Z68" s="42"/>
      <c r="AB68" s="42">
        <f t="shared" ca="1" si="12"/>
        <v>988432.701668247</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81">
      <c r="C69" s="9" t="str">
        <f t="shared" si="10"/>
        <v>Single FamilyENERGY STAR Laptops</v>
      </c>
      <c r="D69" s="9" t="str">
        <f>D65</f>
        <v>Single Family</v>
      </c>
      <c r="E69" s="9" t="s">
        <v>294</v>
      </c>
      <c r="F69" s="42">
        <f t="shared" ca="1" si="11"/>
        <v>100368.15662118404</v>
      </c>
      <c r="G69" s="42">
        <f t="shared" ca="1" si="9"/>
        <v>161371.10664073174</v>
      </c>
      <c r="H69" s="42">
        <f t="shared" ca="1" si="9"/>
        <v>212691.50987682425</v>
      </c>
      <c r="I69" s="42">
        <f t="shared" ca="1" si="9"/>
        <v>255544.64723316248</v>
      </c>
      <c r="J69" s="42">
        <f t="shared" ca="1" si="9"/>
        <v>306920.22864340077</v>
      </c>
      <c r="K69" s="42">
        <f t="shared" ca="1" si="9"/>
        <v>313713.3710442197</v>
      </c>
      <c r="L69" s="42">
        <f t="shared" ca="1" si="9"/>
        <v>315689.69476047397</v>
      </c>
      <c r="M69" s="42">
        <f t="shared" ca="1" si="9"/>
        <v>315810.08970193344</v>
      </c>
      <c r="N69" s="42">
        <f t="shared" ca="1" si="9"/>
        <v>315189.74179638381</v>
      </c>
      <c r="O69" s="42">
        <f t="shared" ca="1" si="9"/>
        <v>314495.02347567497</v>
      </c>
      <c r="P69" s="42">
        <f t="shared" ca="1" si="9"/>
        <v>313969.91593448276</v>
      </c>
      <c r="Q69" s="42">
        <f t="shared" ca="1" si="9"/>
        <v>313639.19568093051</v>
      </c>
      <c r="R69" s="42">
        <f t="shared" ca="1" si="9"/>
        <v>313280.83183997119</v>
      </c>
      <c r="S69" s="42">
        <f t="shared" ca="1" si="9"/>
        <v>313133.16992394393</v>
      </c>
      <c r="T69" s="42">
        <f t="shared" ca="1" si="9"/>
        <v>312911.00764507311</v>
      </c>
      <c r="U69" s="42">
        <f t="shared" ca="1" si="9"/>
        <v>312579.4094105665</v>
      </c>
      <c r="V69" s="42">
        <f t="shared" ca="1" si="9"/>
        <v>312146.01057745592</v>
      </c>
      <c r="W69" s="42">
        <f t="shared" ca="1" si="9"/>
        <v>311916.91471806209</v>
      </c>
      <c r="X69" s="42">
        <f t="shared" ca="1" si="9"/>
        <v>311765.77474805649</v>
      </c>
      <c r="Y69" s="42">
        <f t="shared" ca="1" si="9"/>
        <v>311087.18601591577</v>
      </c>
      <c r="Z69" s="42"/>
      <c r="AB69" s="42">
        <f ca="1">SUM(F69:Z69)</f>
        <v>5738222.986288446</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81">
      <c r="C70" s="9" t="str">
        <f t="shared" si="10"/>
        <v>Multifamily - Low RiseENERGY STAR Laptops</v>
      </c>
      <c r="D70" s="9" t="str">
        <f t="shared" ref="D70:D72" si="13">D66</f>
        <v>Multifamily - Low Rise</v>
      </c>
      <c r="E70" s="9" t="s">
        <v>294</v>
      </c>
      <c r="F70" s="42">
        <f t="shared" ca="1" si="11"/>
        <v>8514.8777695900517</v>
      </c>
      <c r="G70" s="42">
        <f t="shared" ca="1" si="9"/>
        <v>13690.150786526981</v>
      </c>
      <c r="H70" s="42">
        <f t="shared" ca="1" si="9"/>
        <v>18043.990620714965</v>
      </c>
      <c r="I70" s="42">
        <f t="shared" ca="1" si="9"/>
        <v>21679.497464622487</v>
      </c>
      <c r="J70" s="42">
        <f t="shared" ca="1" si="9"/>
        <v>26862.652468213186</v>
      </c>
      <c r="K70" s="42">
        <f t="shared" ca="1" si="9"/>
        <v>27375.968547492281</v>
      </c>
      <c r="L70" s="42">
        <f t="shared" ca="1" si="9"/>
        <v>27500.199344027111</v>
      </c>
      <c r="M70" s="42">
        <f t="shared" ca="1" si="9"/>
        <v>27427.789113837611</v>
      </c>
      <c r="N70" s="42">
        <f t="shared" ca="1" si="9"/>
        <v>27272.278395526177</v>
      </c>
      <c r="O70" s="42">
        <f t="shared" ca="1" si="9"/>
        <v>27188.987685283784</v>
      </c>
      <c r="P70" s="42">
        <f t="shared" ca="1" si="9"/>
        <v>27147.456255083456</v>
      </c>
      <c r="Q70" s="42">
        <f t="shared" ca="1" si="9"/>
        <v>27143.190552181626</v>
      </c>
      <c r="R70" s="42">
        <f t="shared" ca="1" si="9"/>
        <v>27148.973326035692</v>
      </c>
      <c r="S70" s="42">
        <f t="shared" ca="1" si="9"/>
        <v>27160.319428696494</v>
      </c>
      <c r="T70" s="42">
        <f t="shared" ca="1" si="9"/>
        <v>27145.025263920445</v>
      </c>
      <c r="U70" s="42">
        <f t="shared" ca="1" si="9"/>
        <v>27128.359394301209</v>
      </c>
      <c r="V70" s="42">
        <f t="shared" ca="1" si="9"/>
        <v>27113.368430328643</v>
      </c>
      <c r="W70" s="42">
        <f t="shared" ca="1" si="9"/>
        <v>27082.709374268474</v>
      </c>
      <c r="X70" s="42">
        <f t="shared" ca="1" si="9"/>
        <v>27050.586637270979</v>
      </c>
      <c r="Y70" s="42">
        <f t="shared" ca="1" si="9"/>
        <v>26973.943387077947</v>
      </c>
      <c r="Z70" s="42"/>
      <c r="AB70" s="42">
        <f t="shared" ref="AB70:AB72" ca="1" si="14">SUM(F70:Z70)</f>
        <v>496650.32424499956</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81">
      <c r="C71" s="9" t="str">
        <f t="shared" si="10"/>
        <v>Multifamily - High RiseENERGY STAR Laptops</v>
      </c>
      <c r="D71" s="9" t="str">
        <f t="shared" si="13"/>
        <v>Multifamily - High Rise</v>
      </c>
      <c r="E71" s="9" t="s">
        <v>294</v>
      </c>
      <c r="F71" s="42">
        <f t="shared" ca="1" si="11"/>
        <v>1941.3610361212345</v>
      </c>
      <c r="G71" s="42">
        <f t="shared" ca="1" si="9"/>
        <v>3121.3043844864878</v>
      </c>
      <c r="H71" s="42">
        <f t="shared" ca="1" si="9"/>
        <v>4113.9639669636217</v>
      </c>
      <c r="I71" s="42">
        <f t="shared" ca="1" si="9"/>
        <v>4942.8462509255151</v>
      </c>
      <c r="J71" s="42">
        <f t="shared" ca="1" si="9"/>
        <v>6117.4796516103361</v>
      </c>
      <c r="K71" s="42">
        <f t="shared" ca="1" si="9"/>
        <v>6241.0045299217309</v>
      </c>
      <c r="L71" s="42">
        <f t="shared" ca="1" si="9"/>
        <v>6274.8524294440431</v>
      </c>
      <c r="M71" s="42">
        <f t="shared" ca="1" si="9"/>
        <v>6250.2721613702579</v>
      </c>
      <c r="N71" s="42">
        <f t="shared" ca="1" si="9"/>
        <v>6209.848197042601</v>
      </c>
      <c r="O71" s="42">
        <f t="shared" ca="1" si="9"/>
        <v>6195.1749573357902</v>
      </c>
      <c r="P71" s="42">
        <f t="shared" ca="1" si="9"/>
        <v>6186.5216061568635</v>
      </c>
      <c r="Q71" s="42">
        <f t="shared" ca="1" si="9"/>
        <v>6188.7293686010125</v>
      </c>
      <c r="R71" s="42">
        <f t="shared" ca="1" si="9"/>
        <v>6188.1499584000403</v>
      </c>
      <c r="S71" s="42">
        <f t="shared" ca="1" si="9"/>
        <v>6190.6535426454166</v>
      </c>
      <c r="T71" s="42">
        <f t="shared" ca="1" si="9"/>
        <v>6183.783362292852</v>
      </c>
      <c r="U71" s="42">
        <f t="shared" ca="1" si="9"/>
        <v>6179.4195225284029</v>
      </c>
      <c r="V71" s="42">
        <f t="shared" ca="1" si="9"/>
        <v>6173.5572464018587</v>
      </c>
      <c r="W71" s="42">
        <f t="shared" ca="1" si="9"/>
        <v>6168.7707572878262</v>
      </c>
      <c r="X71" s="42">
        <f t="shared" ca="1" si="9"/>
        <v>6162.800783037047</v>
      </c>
      <c r="Y71" s="42">
        <f t="shared" ca="1" si="9"/>
        <v>6145.201240048571</v>
      </c>
      <c r="Z71" s="42"/>
      <c r="AB71" s="42">
        <f t="shared" ca="1" si="14"/>
        <v>113175.69495262152</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81">
      <c r="C72" s="9" t="str">
        <f t="shared" si="10"/>
        <v>ManufacturedENERGY STAR Laptops</v>
      </c>
      <c r="D72" s="9" t="str">
        <f t="shared" si="13"/>
        <v>Manufactured</v>
      </c>
      <c r="E72" s="9" t="s">
        <v>294</v>
      </c>
      <c r="F72" s="42">
        <f ca="1">(F42+F59)*F$64*$AB$29</f>
        <v>8364.0824711080149</v>
      </c>
      <c r="G72" s="42">
        <f t="shared" ref="G72:Y72" ca="1" si="15">(G42+G59)*G$64*$AB$29</f>
        <v>13334.267608470533</v>
      </c>
      <c r="H72" s="42">
        <f t="shared" ca="1" si="15"/>
        <v>17426.676726207595</v>
      </c>
      <c r="I72" s="42">
        <f t="shared" ca="1" si="15"/>
        <v>20761.189861997438</v>
      </c>
      <c r="J72" s="42">
        <f t="shared" ca="1" si="15"/>
        <v>23841.353022652722</v>
      </c>
      <c r="K72" s="42">
        <f t="shared" ca="1" si="15"/>
        <v>24324.96510546967</v>
      </c>
      <c r="L72" s="42">
        <f t="shared" ca="1" si="15"/>
        <v>24404.200074326593</v>
      </c>
      <c r="M72" s="42">
        <f t="shared" ca="1" si="15"/>
        <v>24292.426520976918</v>
      </c>
      <c r="N72" s="42">
        <f t="shared" ca="1" si="15"/>
        <v>24090.264025528955</v>
      </c>
      <c r="O72" s="42">
        <f t="shared" ca="1" si="15"/>
        <v>23872.537169866489</v>
      </c>
      <c r="P72" s="42">
        <f t="shared" ca="1" si="15"/>
        <v>23652.677309747025</v>
      </c>
      <c r="Q72" s="42">
        <f t="shared" ca="1" si="15"/>
        <v>23433.379969932128</v>
      </c>
      <c r="R72" s="42">
        <f t="shared" ca="1" si="15"/>
        <v>23215.760544762645</v>
      </c>
      <c r="S72" s="42">
        <f t="shared" ca="1" si="15"/>
        <v>22999.293358948336</v>
      </c>
      <c r="T72" s="42">
        <f t="shared" ca="1" si="15"/>
        <v>22783.77537189818</v>
      </c>
      <c r="U72" s="42">
        <f t="shared" ca="1" si="15"/>
        <v>22573.854036967074</v>
      </c>
      <c r="V72" s="42">
        <f t="shared" ca="1" si="15"/>
        <v>22366.30061903593</v>
      </c>
      <c r="W72" s="42">
        <f t="shared" ca="1" si="15"/>
        <v>22160.59753740524</v>
      </c>
      <c r="X72" s="42">
        <f t="shared" ca="1" si="15"/>
        <v>21956.646452355129</v>
      </c>
      <c r="Y72" s="42">
        <f t="shared" ca="1" si="15"/>
        <v>21724.94561446007</v>
      </c>
      <c r="Z72" s="42"/>
      <c r="AB72" s="42">
        <f t="shared" ca="1" si="14"/>
        <v>431579.19340211665</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1:81">
      <c r="F73" s="42"/>
      <c r="G73" s="42"/>
      <c r="H73" s="42"/>
      <c r="I73" s="42"/>
      <c r="J73" s="42"/>
      <c r="K73" s="42"/>
      <c r="L73" s="42"/>
      <c r="M73" s="42"/>
      <c r="N73" s="42"/>
      <c r="O73" s="42"/>
      <c r="P73" s="42"/>
      <c r="Q73" s="42"/>
      <c r="R73" s="42"/>
      <c r="S73" s="42"/>
      <c r="T73" s="42"/>
      <c r="U73" s="42"/>
      <c r="V73" s="42"/>
      <c r="W73" s="42"/>
      <c r="X73" s="42"/>
      <c r="Y73" s="42"/>
      <c r="Z73" s="42"/>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row>
    <row r="74" spans="1:81">
      <c r="D74" s="9" t="s">
        <v>61</v>
      </c>
      <c r="F74" s="42">
        <f ca="1">SUM(F65:F68)</f>
        <v>350725.61118937569</v>
      </c>
      <c r="G74" s="42">
        <f t="shared" ref="G74:Y74" ca="1" si="16">SUM(G65:G68)</f>
        <v>507947.11678667756</v>
      </c>
      <c r="H74" s="42">
        <f t="shared" ca="1" si="16"/>
        <v>607918.76938144607</v>
      </c>
      <c r="I74" s="42">
        <f t="shared" ca="1" si="16"/>
        <v>667708.88529381203</v>
      </c>
      <c r="J74" s="42">
        <f t="shared" ca="1" si="16"/>
        <v>774328.67812642828</v>
      </c>
      <c r="K74" s="42">
        <f t="shared" ca="1" si="16"/>
        <v>777719.72009928909</v>
      </c>
      <c r="L74" s="42">
        <f t="shared" ca="1" si="16"/>
        <v>770169.13511579426</v>
      </c>
      <c r="M74" s="42">
        <f t="shared" ca="1" si="16"/>
        <v>759199.1795530126</v>
      </c>
      <c r="N74" s="42">
        <f t="shared" ca="1" si="16"/>
        <v>747015.44729662756</v>
      </c>
      <c r="O74" s="42">
        <f t="shared" ca="1" si="16"/>
        <v>736000.74343994982</v>
      </c>
      <c r="P74" s="42">
        <f t="shared" ca="1" si="16"/>
        <v>726297.36453772732</v>
      </c>
      <c r="Q74" s="42">
        <f t="shared" ca="1" si="16"/>
        <v>717775.82127026445</v>
      </c>
      <c r="R74" s="42">
        <f t="shared" ca="1" si="16"/>
        <v>709257.35139637603</v>
      </c>
      <c r="S74" s="42">
        <f t="shared" ca="1" si="16"/>
        <v>701691.31652106717</v>
      </c>
      <c r="T74" s="42">
        <f t="shared" ca="1" si="16"/>
        <v>693691.16871798213</v>
      </c>
      <c r="U74" s="42">
        <f t="shared" ca="1" si="16"/>
        <v>683709.55382571195</v>
      </c>
      <c r="V74" s="42">
        <f t="shared" ca="1" si="16"/>
        <v>673372.33032947499</v>
      </c>
      <c r="W74" s="42">
        <f t="shared" ca="1" si="16"/>
        <v>663850.60132013087</v>
      </c>
      <c r="X74" s="42">
        <f t="shared" ca="1" si="16"/>
        <v>654687.45342552266</v>
      </c>
      <c r="Y74" s="42">
        <f t="shared" ca="1" si="16"/>
        <v>652868.77206967399</v>
      </c>
      <c r="Z74" s="42"/>
      <c r="AB74" s="42">
        <f t="shared" ca="1" si="12"/>
        <v>13575935.019696346</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row>
    <row r="75" spans="1:81">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row>
    <row r="76" spans="1:81">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row>
    <row r="77" spans="1:81">
      <c r="F77" s="9">
        <v>4</v>
      </c>
      <c r="G77" s="9">
        <v>5</v>
      </c>
      <c r="H77" s="9">
        <v>6</v>
      </c>
      <c r="I77" s="9">
        <v>7</v>
      </c>
      <c r="J77" s="9">
        <v>8</v>
      </c>
      <c r="K77" s="9">
        <v>9</v>
      </c>
      <c r="L77" s="9">
        <v>10</v>
      </c>
      <c r="M77" s="9">
        <v>11</v>
      </c>
      <c r="N77" s="9">
        <v>12</v>
      </c>
      <c r="O77" s="9">
        <v>13</v>
      </c>
      <c r="P77" s="9">
        <v>14</v>
      </c>
      <c r="Q77" s="9">
        <v>15</v>
      </c>
      <c r="R77" s="9">
        <v>16</v>
      </c>
      <c r="S77" s="9">
        <v>17</v>
      </c>
      <c r="T77" s="9">
        <v>18</v>
      </c>
      <c r="U77" s="9">
        <v>19</v>
      </c>
      <c r="V77" s="9">
        <v>20</v>
      </c>
      <c r="W77" s="9">
        <v>21</v>
      </c>
      <c r="X77" s="9">
        <v>22</v>
      </c>
      <c r="Y77" s="9">
        <v>23</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row>
    <row r="78" spans="1:81" ht="15">
      <c r="A78" s="63" t="s">
        <v>62</v>
      </c>
      <c r="D78" s="72" t="str">
        <f>C8</f>
        <v>Computer</v>
      </c>
      <c r="E78" s="72"/>
      <c r="F78" s="9" t="s">
        <v>338</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row>
    <row r="79" spans="1:81" ht="15">
      <c r="A79" s="72" t="s">
        <v>63</v>
      </c>
      <c r="B79" s="72" t="s">
        <v>24</v>
      </c>
      <c r="C79" s="72"/>
      <c r="D79" s="72">
        <v>1</v>
      </c>
      <c r="E79" s="72"/>
      <c r="F79" s="66">
        <f t="shared" ref="F79:Y79" si="17">F11</f>
        <v>2016</v>
      </c>
      <c r="G79" s="67">
        <f t="shared" si="17"/>
        <v>2017</v>
      </c>
      <c r="H79" s="67">
        <f t="shared" si="17"/>
        <v>2018</v>
      </c>
      <c r="I79" s="67">
        <f t="shared" si="17"/>
        <v>2019</v>
      </c>
      <c r="J79" s="67">
        <f t="shared" si="17"/>
        <v>2020</v>
      </c>
      <c r="K79" s="67">
        <f t="shared" si="17"/>
        <v>2021</v>
      </c>
      <c r="L79" s="67">
        <f t="shared" si="17"/>
        <v>2022</v>
      </c>
      <c r="M79" s="67">
        <f t="shared" si="17"/>
        <v>2023</v>
      </c>
      <c r="N79" s="67">
        <f t="shared" si="17"/>
        <v>2024</v>
      </c>
      <c r="O79" s="67">
        <f t="shared" si="17"/>
        <v>2025</v>
      </c>
      <c r="P79" s="67">
        <f t="shared" si="17"/>
        <v>2026</v>
      </c>
      <c r="Q79" s="67">
        <f t="shared" si="17"/>
        <v>2027</v>
      </c>
      <c r="R79" s="67">
        <f t="shared" si="17"/>
        <v>2028</v>
      </c>
      <c r="S79" s="67">
        <f t="shared" si="17"/>
        <v>2029</v>
      </c>
      <c r="T79" s="67">
        <f t="shared" si="17"/>
        <v>2030</v>
      </c>
      <c r="U79" s="67">
        <f t="shared" si="17"/>
        <v>2031</v>
      </c>
      <c r="V79" s="67">
        <f t="shared" si="17"/>
        <v>2032</v>
      </c>
      <c r="W79" s="67">
        <f t="shared" si="17"/>
        <v>2033</v>
      </c>
      <c r="X79" s="67">
        <f t="shared" si="17"/>
        <v>2034</v>
      </c>
      <c r="Y79" s="67">
        <f t="shared" si="17"/>
        <v>2035</v>
      </c>
      <c r="Z79" s="68" t="s">
        <v>59</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row>
    <row r="80" spans="1:81" ht="15">
      <c r="A80" s="72" t="s">
        <v>46</v>
      </c>
      <c r="B80" s="72" t="s">
        <v>64</v>
      </c>
      <c r="C80" s="72"/>
      <c r="D80" s="72" t="s">
        <v>65</v>
      </c>
      <c r="E80" s="72" t="s">
        <v>66</v>
      </c>
      <c r="F80" s="69" t="str">
        <f>CONCATENATE("aMW_",F$11)</f>
        <v>aMW_2016</v>
      </c>
      <c r="G80" s="70" t="str">
        <f t="shared" ref="G80:Y80" si="18">CONCATENATE("aMW_",G$11)</f>
        <v>aMW_2017</v>
      </c>
      <c r="H80" s="70" t="str">
        <f t="shared" si="18"/>
        <v>aMW_2018</v>
      </c>
      <c r="I80" s="70" t="str">
        <f t="shared" si="18"/>
        <v>aMW_2019</v>
      </c>
      <c r="J80" s="70" t="str">
        <f t="shared" si="18"/>
        <v>aMW_2020</v>
      </c>
      <c r="K80" s="70" t="str">
        <f t="shared" si="18"/>
        <v>aMW_2021</v>
      </c>
      <c r="L80" s="70" t="str">
        <f t="shared" si="18"/>
        <v>aMW_2022</v>
      </c>
      <c r="M80" s="70" t="str">
        <f t="shared" si="18"/>
        <v>aMW_2023</v>
      </c>
      <c r="N80" s="70" t="str">
        <f t="shared" si="18"/>
        <v>aMW_2024</v>
      </c>
      <c r="O80" s="70" t="str">
        <f t="shared" si="18"/>
        <v>aMW_2025</v>
      </c>
      <c r="P80" s="70" t="str">
        <f t="shared" si="18"/>
        <v>aMW_2026</v>
      </c>
      <c r="Q80" s="70" t="str">
        <f t="shared" si="18"/>
        <v>aMW_2027</v>
      </c>
      <c r="R80" s="70" t="str">
        <f t="shared" si="18"/>
        <v>aMW_2028</v>
      </c>
      <c r="S80" s="70" t="str">
        <f t="shared" si="18"/>
        <v>aMW_2029</v>
      </c>
      <c r="T80" s="70" t="str">
        <f t="shared" si="18"/>
        <v>aMW_2030</v>
      </c>
      <c r="U80" s="70" t="str">
        <f t="shared" si="18"/>
        <v>aMW_2031</v>
      </c>
      <c r="V80" s="70" t="str">
        <f t="shared" si="18"/>
        <v>aMW_2032</v>
      </c>
      <c r="W80" s="70" t="str">
        <f t="shared" si="18"/>
        <v>aMW_2033</v>
      </c>
      <c r="X80" s="70" t="str">
        <f t="shared" si="18"/>
        <v>aMW_2034</v>
      </c>
      <c r="Y80" s="70" t="str">
        <f t="shared" si="18"/>
        <v>aMW_2035</v>
      </c>
      <c r="Z80" s="71" t="s">
        <v>59</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row>
    <row r="81" spans="1:81">
      <c r="A81" s="77"/>
      <c r="B81" s="77"/>
      <c r="C81" s="77"/>
      <c r="F81" s="55"/>
      <c r="G81" s="55"/>
      <c r="H81" s="55"/>
      <c r="I81" s="55"/>
      <c r="J81" s="55"/>
      <c r="K81" s="55"/>
      <c r="L81" s="55"/>
      <c r="M81" s="55"/>
      <c r="N81" s="55"/>
      <c r="O81" s="36"/>
      <c r="P81" s="36"/>
      <c r="Q81" s="36"/>
      <c r="R81" s="36"/>
      <c r="S81" s="36"/>
      <c r="T81" s="36"/>
      <c r="U81" s="36"/>
      <c r="V81" s="36"/>
      <c r="W81" s="36"/>
      <c r="X81" s="36"/>
      <c r="Y81" s="36"/>
      <c r="Z81" s="36"/>
      <c r="AB81" s="42"/>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row>
    <row r="82" spans="1:81">
      <c r="A82" s="77"/>
      <c r="B82" s="77"/>
      <c r="C82" s="77"/>
      <c r="F82" s="36"/>
      <c r="G82" s="36"/>
      <c r="H82" s="36"/>
      <c r="I82" s="36"/>
      <c r="J82" s="36"/>
      <c r="K82" s="36"/>
      <c r="L82" s="36"/>
      <c r="M82" s="36"/>
      <c r="N82" s="36"/>
      <c r="O82" s="36"/>
      <c r="P82" s="36"/>
      <c r="Q82" s="36"/>
      <c r="R82" s="36"/>
      <c r="S82" s="36"/>
      <c r="T82" s="36"/>
      <c r="U82" s="36"/>
      <c r="V82" s="36"/>
      <c r="W82" s="36"/>
      <c r="X82" s="36"/>
      <c r="Y82" s="36"/>
      <c r="Z82" s="36"/>
      <c r="AB82" s="4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row>
    <row r="83" spans="1:81">
      <c r="A83" s="77"/>
      <c r="B83" s="77"/>
      <c r="C83" s="77"/>
      <c r="F83" s="36"/>
      <c r="G83" s="36"/>
      <c r="H83" s="36"/>
      <c r="I83" s="36"/>
      <c r="J83" s="36"/>
      <c r="K83" s="36"/>
      <c r="L83" s="36"/>
      <c r="M83" s="36"/>
      <c r="N83" s="36"/>
      <c r="O83" s="36"/>
      <c r="P83" s="36"/>
      <c r="Q83" s="36"/>
      <c r="R83" s="36"/>
      <c r="S83" s="36"/>
      <c r="T83" s="36"/>
      <c r="U83" s="36"/>
      <c r="V83" s="36"/>
      <c r="W83" s="36"/>
      <c r="X83" s="36"/>
      <c r="Y83" s="36"/>
      <c r="Z83" s="36"/>
      <c r="AB83" s="42"/>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row>
    <row r="84" spans="1:81">
      <c r="A84" s="77"/>
      <c r="B84" s="77"/>
      <c r="C84" s="77"/>
      <c r="F84" s="36"/>
      <c r="G84" s="36"/>
      <c r="H84" s="36"/>
      <c r="I84" s="36"/>
      <c r="J84" s="36"/>
      <c r="K84" s="36"/>
      <c r="L84" s="36"/>
      <c r="M84" s="36"/>
      <c r="N84" s="36"/>
      <c r="O84" s="36"/>
      <c r="P84" s="36"/>
      <c r="Q84" s="36"/>
      <c r="R84" s="36"/>
      <c r="S84" s="36"/>
      <c r="T84" s="36"/>
      <c r="U84" s="36"/>
      <c r="V84" s="36"/>
      <c r="W84" s="36"/>
      <c r="X84" s="36"/>
      <c r="Y84" s="36"/>
      <c r="Z84" s="36"/>
      <c r="AB84" s="42"/>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row>
    <row r="85" spans="1:81">
      <c r="A85" s="77">
        <f t="shared" ref="A85:A92" si="19">VLOOKUP($E85,MeasureOutput,3,FALSE)</f>
        <v>68.243112182874043</v>
      </c>
      <c r="B85" s="77">
        <f t="shared" ref="B85:B92" si="20">VLOOKUP($E85,MeasureOutput,11,FALSE)</f>
        <v>40.942640426147406</v>
      </c>
      <c r="C85" s="77"/>
      <c r="D85" s="9" t="str">
        <f t="shared" ref="D85:D92" si="21">D52</f>
        <v>Single Family</v>
      </c>
      <c r="E85" s="9" t="s">
        <v>293</v>
      </c>
      <c r="F85" s="55">
        <f ca="1">VLOOKUP($D85&amp;$E85,$C$65:$Z$72,F$77,FALSE)*$D$79*$A85/8760/1000</f>
        <v>2.2316416801187646</v>
      </c>
      <c r="G85" s="55">
        <f t="shared" ref="G85:Y92" ca="1" si="22">VLOOKUP($D85&amp;$E85,$C$65:$Z$72,G$77,FALSE)*$D$79*$A85/8760/1000</f>
        <v>3.2342522940806453</v>
      </c>
      <c r="H85" s="55">
        <f t="shared" ca="1" si="22"/>
        <v>3.8734418907462174</v>
      </c>
      <c r="I85" s="55">
        <f t="shared" ca="1" si="22"/>
        <v>4.2572822825557441</v>
      </c>
      <c r="J85" s="55">
        <f t="shared" ca="1" si="22"/>
        <v>4.9366057664709402</v>
      </c>
      <c r="K85" s="55">
        <f t="shared" ca="1" si="22"/>
        <v>4.9590983713330852</v>
      </c>
      <c r="L85" s="55">
        <f t="shared" ca="1" si="22"/>
        <v>4.9114543111977689</v>
      </c>
      <c r="M85" s="55">
        <f t="shared" ca="1" si="22"/>
        <v>4.8451637353924175</v>
      </c>
      <c r="N85" s="55">
        <f t="shared" ca="1" si="22"/>
        <v>4.7727425799690666</v>
      </c>
      <c r="O85" s="55">
        <f t="shared" ca="1" si="22"/>
        <v>4.7047757091918472</v>
      </c>
      <c r="P85" s="55">
        <f t="shared" ca="1" si="22"/>
        <v>4.6447103071328923</v>
      </c>
      <c r="Q85" s="55">
        <f t="shared" ca="1" si="22"/>
        <v>4.5917660346592069</v>
      </c>
      <c r="R85" s="55">
        <f t="shared" ca="1" si="22"/>
        <v>4.5383823119471778</v>
      </c>
      <c r="S85" s="55">
        <f t="shared" ca="1" si="22"/>
        <v>4.4919579032721906</v>
      </c>
      <c r="T85" s="55">
        <f t="shared" ca="1" si="22"/>
        <v>4.4434038750848632</v>
      </c>
      <c r="U85" s="55">
        <f t="shared" ca="1" si="22"/>
        <v>4.3812769424127129</v>
      </c>
      <c r="V85" s="55">
        <f t="shared" ca="1" si="22"/>
        <v>4.3161854778120068</v>
      </c>
      <c r="W85" s="55">
        <f t="shared" ca="1" si="22"/>
        <v>4.257834214787195</v>
      </c>
      <c r="X85" s="55">
        <f t="shared" ca="1" si="22"/>
        <v>4.2022157096464534</v>
      </c>
      <c r="Y85" s="55">
        <f t="shared" ca="1" si="22"/>
        <v>4.1936044797816194</v>
      </c>
      <c r="Z85" s="36">
        <f ca="1">$A85*$D$79*(AB35+AB52)/8760/1000</f>
        <v>19.364273592027573</v>
      </c>
      <c r="AB85" s="42">
        <f ca="1">SUM(F85:Y85)</f>
        <v>86.787795877592828</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row>
    <row r="86" spans="1:81">
      <c r="A86" s="77">
        <f t="shared" si="19"/>
        <v>68.243112182874043</v>
      </c>
      <c r="B86" s="77">
        <f t="shared" si="20"/>
        <v>40.942640426147406</v>
      </c>
      <c r="C86" s="77"/>
      <c r="D86" s="9" t="str">
        <f t="shared" si="21"/>
        <v>Multifamily - Low Rise</v>
      </c>
      <c r="E86" s="9" t="s">
        <v>293</v>
      </c>
      <c r="F86" s="55">
        <f t="shared" ref="F86:U92" ca="1" si="23">VLOOKUP($D86&amp;$E86,$C$65:$Z$72,F$77,FALSE)*$D$79*$A86/8760/1000</f>
        <v>0.22649523887773007</v>
      </c>
      <c r="G86" s="55">
        <f t="shared" ca="1" si="23"/>
        <v>0.32825283989784193</v>
      </c>
      <c r="H86" s="55">
        <f t="shared" ca="1" si="23"/>
        <v>0.39312587228216173</v>
      </c>
      <c r="I86" s="55">
        <f t="shared" ca="1" si="23"/>
        <v>0.43208283403896086</v>
      </c>
      <c r="J86" s="55">
        <f t="shared" ca="1" si="23"/>
        <v>0.53231155409416919</v>
      </c>
      <c r="K86" s="55">
        <f t="shared" ca="1" si="23"/>
        <v>0.53220489332237642</v>
      </c>
      <c r="L86" s="55">
        <f t="shared" ca="1" si="23"/>
        <v>0.52572174889206591</v>
      </c>
      <c r="M86" s="55">
        <f t="shared" ca="1" si="23"/>
        <v>0.51585942893825443</v>
      </c>
      <c r="N86" s="55">
        <f t="shared" ca="1" si="23"/>
        <v>0.5046063968979333</v>
      </c>
      <c r="O86" s="55">
        <f t="shared" ca="1" si="23"/>
        <v>0.49678444148491896</v>
      </c>
      <c r="P86" s="55">
        <f t="shared" ca="1" si="23"/>
        <v>0.49080270848192792</v>
      </c>
      <c r="Q86" s="55">
        <f t="shared" ca="1" si="23"/>
        <v>0.48633179971365625</v>
      </c>
      <c r="R86" s="55">
        <f t="shared" ca="1" si="23"/>
        <v>0.48228644206987814</v>
      </c>
      <c r="S86" s="55">
        <f t="shared" ca="1" si="23"/>
        <v>0.47848035474858602</v>
      </c>
      <c r="T86" s="55">
        <f t="shared" ca="1" si="23"/>
        <v>0.47368729357412714</v>
      </c>
      <c r="U86" s="55">
        <f t="shared" ca="1" si="23"/>
        <v>0.46781684096399934</v>
      </c>
      <c r="V86" s="55">
        <f t="shared" ca="1" si="22"/>
        <v>0.46203666850233566</v>
      </c>
      <c r="W86" s="55">
        <f t="shared" ca="1" si="22"/>
        <v>0.4556887105842643</v>
      </c>
      <c r="X86" s="55">
        <f t="shared" ca="1" si="22"/>
        <v>0.44931170111210833</v>
      </c>
      <c r="Y86" s="55">
        <f t="shared" ca="1" si="22"/>
        <v>0.44771416783503815</v>
      </c>
      <c r="Z86" s="36">
        <f t="shared" ref="Z86:Z92" ca="1" si="24">$A86*$D$79*(AB36+AB53)/8760/1000</f>
        <v>2.2735556639349204</v>
      </c>
      <c r="AB86" s="42">
        <f t="shared" ref="AB86:AB92" ca="1" si="25">SUM(F86:Y86)</f>
        <v>9.1816019363123331</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row>
    <row r="87" spans="1:81">
      <c r="A87" s="77">
        <f t="shared" si="19"/>
        <v>68.243112182874043</v>
      </c>
      <c r="B87" s="77">
        <f t="shared" si="20"/>
        <v>40.942640426147406</v>
      </c>
      <c r="C87" s="77"/>
      <c r="D87" s="9" t="str">
        <f t="shared" si="21"/>
        <v>Multifamily - High Rise</v>
      </c>
      <c r="E87" s="9" t="s">
        <v>293</v>
      </c>
      <c r="F87" s="55">
        <f t="shared" ca="1" si="23"/>
        <v>5.1640087329799259E-2</v>
      </c>
      <c r="G87" s="55">
        <f t="shared" ca="1" si="22"/>
        <v>7.4840448755436814E-2</v>
      </c>
      <c r="H87" s="55">
        <f t="shared" ca="1" si="22"/>
        <v>8.9631263230277258E-2</v>
      </c>
      <c r="I87" s="55">
        <f t="shared" ca="1" si="22"/>
        <v>9.8513308244524825E-2</v>
      </c>
      <c r="J87" s="55">
        <f t="shared" ca="1" si="22"/>
        <v>0.12109548687968277</v>
      </c>
      <c r="K87" s="55">
        <f t="shared" ca="1" si="22"/>
        <v>0.12131739192141308</v>
      </c>
      <c r="L87" s="55">
        <f t="shared" ca="1" si="22"/>
        <v>0.12004880066245209</v>
      </c>
      <c r="M87" s="55">
        <f t="shared" ca="1" si="22"/>
        <v>0.11749405545703448</v>
      </c>
      <c r="N87" s="55">
        <f t="shared" ca="1" si="22"/>
        <v>0.11473994149656312</v>
      </c>
      <c r="O87" s="55">
        <f t="shared" ca="1" si="22"/>
        <v>0.11312031908981361</v>
      </c>
      <c r="P87" s="55">
        <f t="shared" ca="1" si="22"/>
        <v>0.11178744788211507</v>
      </c>
      <c r="Q87" s="55">
        <f t="shared" ca="1" si="22"/>
        <v>0.11088874228085059</v>
      </c>
      <c r="R87" s="55">
        <f t="shared" ca="1" si="22"/>
        <v>0.10989442039635597</v>
      </c>
      <c r="S87" s="55">
        <f t="shared" ca="1" si="22"/>
        <v>0.10902348695394534</v>
      </c>
      <c r="T87" s="55">
        <f t="shared" ca="1" si="22"/>
        <v>0.10780234655046075</v>
      </c>
      <c r="U87" s="55">
        <f t="shared" ca="1" si="22"/>
        <v>0.10644250640735121</v>
      </c>
      <c r="V87" s="55">
        <f t="shared" ca="1" si="22"/>
        <v>0.10503192055612622</v>
      </c>
      <c r="W87" s="55">
        <f t="shared" ca="1" si="22"/>
        <v>0.10366820501129601</v>
      </c>
      <c r="X87" s="55">
        <f t="shared" ca="1" si="22"/>
        <v>0.1022656298639666</v>
      </c>
      <c r="Y87" s="55">
        <f t="shared" ca="1" si="22"/>
        <v>0.10189665011379913</v>
      </c>
      <c r="Z87" s="36">
        <f t="shared" ca="1" si="24"/>
        <v>0.51652292050280879</v>
      </c>
      <c r="AB87" s="42">
        <f t="shared" ca="1" si="25"/>
        <v>2.0911424590832643</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row>
    <row r="88" spans="1:81">
      <c r="A88" s="77">
        <f t="shared" si="19"/>
        <v>68.243112182874043</v>
      </c>
      <c r="B88" s="77">
        <f t="shared" si="20"/>
        <v>40.942640426147406</v>
      </c>
      <c r="C88" s="77"/>
      <c r="D88" s="9" t="str">
        <f t="shared" si="21"/>
        <v>Manufactured</v>
      </c>
      <c r="E88" s="9" t="s">
        <v>293</v>
      </c>
      <c r="F88" s="55">
        <f t="shared" ca="1" si="23"/>
        <v>0.22248409296635757</v>
      </c>
      <c r="G88" s="55">
        <f t="shared" ca="1" si="22"/>
        <v>0.31971972249902808</v>
      </c>
      <c r="H88" s="55">
        <f t="shared" ca="1" si="22"/>
        <v>0.37967640490261761</v>
      </c>
      <c r="I88" s="55">
        <f t="shared" ca="1" si="22"/>
        <v>0.41378052089220796</v>
      </c>
      <c r="J88" s="55">
        <f t="shared" ca="1" si="22"/>
        <v>0.44224733499794844</v>
      </c>
      <c r="K88" s="55">
        <f t="shared" ca="1" si="22"/>
        <v>0.4460567527346756</v>
      </c>
      <c r="L88" s="55">
        <f t="shared" ca="1" si="22"/>
        <v>0.44263115380184792</v>
      </c>
      <c r="M88" s="55">
        <f t="shared" ca="1" si="22"/>
        <v>0.43587944452532679</v>
      </c>
      <c r="N88" s="55">
        <f t="shared" ca="1" si="22"/>
        <v>0.42739269946789682</v>
      </c>
      <c r="O88" s="55">
        <f t="shared" ca="1" si="22"/>
        <v>0.41899319475981056</v>
      </c>
      <c r="P88" s="55">
        <f t="shared" ca="1" si="22"/>
        <v>0.41078087511880562</v>
      </c>
      <c r="Q88" s="55">
        <f t="shared" ca="1" si="22"/>
        <v>0.40270930155418766</v>
      </c>
      <c r="R88" s="55">
        <f t="shared" ca="1" si="22"/>
        <v>0.39477118607414424</v>
      </c>
      <c r="S88" s="55">
        <f t="shared" ca="1" si="22"/>
        <v>0.38693086131474902</v>
      </c>
      <c r="T88" s="55">
        <f t="shared" ca="1" si="22"/>
        <v>0.37917546276888847</v>
      </c>
      <c r="U88" s="55">
        <f t="shared" ca="1" si="22"/>
        <v>0.37077281777653309</v>
      </c>
      <c r="V88" s="55">
        <f t="shared" ca="1" si="22"/>
        <v>0.36252486914753096</v>
      </c>
      <c r="W88" s="55">
        <f t="shared" ca="1" si="22"/>
        <v>0.35441058863072394</v>
      </c>
      <c r="X88" s="55">
        <f t="shared" ca="1" si="22"/>
        <v>0.34642491929049329</v>
      </c>
      <c r="Y88" s="55">
        <f t="shared" ca="1" si="22"/>
        <v>0.34283457133872047</v>
      </c>
      <c r="Z88" s="36">
        <f t="shared" ca="1" si="24"/>
        <v>1.4386895244832678</v>
      </c>
      <c r="AB88" s="42">
        <f t="shared" ca="1" si="25"/>
        <v>7.7001967745624933</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row>
    <row r="89" spans="1:81">
      <c r="A89" s="77">
        <f t="shared" si="19"/>
        <v>19.719286947809731</v>
      </c>
      <c r="B89" s="77">
        <f t="shared" si="20"/>
        <v>825.16686960542836</v>
      </c>
      <c r="C89" s="77"/>
      <c r="D89" s="9" t="str">
        <f t="shared" si="21"/>
        <v>Single Family</v>
      </c>
      <c r="E89" s="9" t="s">
        <v>294</v>
      </c>
      <c r="F89" s="55">
        <f t="shared" ca="1" si="23"/>
        <v>0.22593475808628277</v>
      </c>
      <c r="G89" s="55">
        <f t="shared" ca="1" si="22"/>
        <v>0.36325606814317279</v>
      </c>
      <c r="H89" s="55">
        <f t="shared" ca="1" si="22"/>
        <v>0.47878138294794581</v>
      </c>
      <c r="I89" s="55">
        <f t="shared" ca="1" si="22"/>
        <v>0.57524637291866931</v>
      </c>
      <c r="J89" s="55">
        <f t="shared" ca="1" si="22"/>
        <v>0.69089589711262456</v>
      </c>
      <c r="K89" s="55">
        <f t="shared" ca="1" si="22"/>
        <v>0.70618766929060184</v>
      </c>
      <c r="L89" s="55">
        <f t="shared" ca="1" si="22"/>
        <v>0.71063649285938946</v>
      </c>
      <c r="M89" s="55">
        <f t="shared" ca="1" si="22"/>
        <v>0.71090750911483525</v>
      </c>
      <c r="N89" s="55">
        <f t="shared" ca="1" si="22"/>
        <v>0.7095110686631223</v>
      </c>
      <c r="O89" s="55">
        <f t="shared" ca="1" si="22"/>
        <v>0.7079472159332183</v>
      </c>
      <c r="P89" s="55">
        <f t="shared" ca="1" si="22"/>
        <v>0.70676516727074945</v>
      </c>
      <c r="Q89" s="55">
        <f t="shared" ca="1" si="22"/>
        <v>0.70602069608590357</v>
      </c>
      <c r="R89" s="55">
        <f t="shared" ca="1" si="22"/>
        <v>0.70521399752293601</v>
      </c>
      <c r="S89" s="55">
        <f t="shared" ca="1" si="22"/>
        <v>0.70488160166752434</v>
      </c>
      <c r="T89" s="55">
        <f t="shared" ca="1" si="22"/>
        <v>0.70438150101386787</v>
      </c>
      <c r="U89" s="55">
        <f t="shared" ca="1" si="22"/>
        <v>0.70363505344107979</v>
      </c>
      <c r="V89" s="55">
        <f t="shared" ca="1" si="22"/>
        <v>0.7026594465971352</v>
      </c>
      <c r="W89" s="55">
        <f t="shared" ca="1" si="22"/>
        <v>0.70214373803663965</v>
      </c>
      <c r="X89" s="55">
        <f t="shared" ca="1" si="22"/>
        <v>0.70180351287250442</v>
      </c>
      <c r="Y89" s="55">
        <f t="shared" ca="1" si="22"/>
        <v>0.70027596881672438</v>
      </c>
      <c r="Z89" s="36">
        <f t="shared" ca="1" si="24"/>
        <v>3.3445706396941111</v>
      </c>
      <c r="AB89" s="42">
        <f t="shared" ca="1" si="25"/>
        <v>12.917085118394924</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row>
    <row r="90" spans="1:81">
      <c r="A90" s="77">
        <f t="shared" si="19"/>
        <v>19.719286947809731</v>
      </c>
      <c r="B90" s="77">
        <f t="shared" si="20"/>
        <v>825.16686960542836</v>
      </c>
      <c r="C90" s="77"/>
      <c r="D90" s="9" t="str">
        <f t="shared" si="21"/>
        <v>Multifamily - Low Rise</v>
      </c>
      <c r="E90" s="9" t="s">
        <v>294</v>
      </c>
      <c r="F90" s="55">
        <f t="shared" ca="1" si="23"/>
        <v>1.9167502062108713E-2</v>
      </c>
      <c r="G90" s="55">
        <f t="shared" ca="1" si="22"/>
        <v>3.0817352935879977E-2</v>
      </c>
      <c r="H90" s="55">
        <f t="shared" ca="1" si="22"/>
        <v>4.0618108302907061E-2</v>
      </c>
      <c r="I90" s="55">
        <f t="shared" ca="1" si="22"/>
        <v>4.8801852898311002E-2</v>
      </c>
      <c r="J90" s="55">
        <f t="shared" ca="1" si="22"/>
        <v>6.0469446598171821E-2</v>
      </c>
      <c r="K90" s="55">
        <f t="shared" ca="1" si="22"/>
        <v>6.1624951970572404E-2</v>
      </c>
      <c r="L90" s="55">
        <f t="shared" ca="1" si="22"/>
        <v>6.1904602966534189E-2</v>
      </c>
      <c r="M90" s="55">
        <f t="shared" ca="1" si="22"/>
        <v>6.1741603182622812E-2</v>
      </c>
      <c r="N90" s="55">
        <f t="shared" ca="1" si="22"/>
        <v>6.1391539201133868E-2</v>
      </c>
      <c r="O90" s="55">
        <f t="shared" ca="1" si="22"/>
        <v>6.1204046802120556E-2</v>
      </c>
      <c r="P90" s="55">
        <f t="shared" ca="1" si="22"/>
        <v>6.1110557054463797E-2</v>
      </c>
      <c r="Q90" s="55">
        <f t="shared" ca="1" si="22"/>
        <v>6.1100954700633286E-2</v>
      </c>
      <c r="R90" s="55">
        <f t="shared" ca="1" si="22"/>
        <v>6.1113972072434956E-2</v>
      </c>
      <c r="S90" s="55">
        <f t="shared" ca="1" si="22"/>
        <v>6.1139512832036273E-2</v>
      </c>
      <c r="T90" s="55">
        <f t="shared" ca="1" si="22"/>
        <v>6.1105084747122361E-2</v>
      </c>
      <c r="U90" s="55">
        <f t="shared" ca="1" si="22"/>
        <v>6.1067568872093067E-2</v>
      </c>
      <c r="V90" s="55">
        <f t="shared" ca="1" si="22"/>
        <v>6.1033823310426484E-2</v>
      </c>
      <c r="W90" s="55">
        <f t="shared" ca="1" si="22"/>
        <v>6.0964807930974502E-2</v>
      </c>
      <c r="X90" s="55">
        <f t="shared" ca="1" si="22"/>
        <v>6.0892497717686525E-2</v>
      </c>
      <c r="Y90" s="55">
        <f t="shared" ca="1" si="22"/>
        <v>6.0719969151114696E-2</v>
      </c>
      <c r="Z90" s="36">
        <f t="shared" ca="1" si="24"/>
        <v>0.32824083716941738</v>
      </c>
      <c r="AB90" s="42">
        <f t="shared" ca="1" si="25"/>
        <v>1.1179897553093483</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row>
    <row r="91" spans="1:81">
      <c r="A91" s="77">
        <f t="shared" si="19"/>
        <v>19.719286947809731</v>
      </c>
      <c r="B91" s="77">
        <f t="shared" si="20"/>
        <v>825.16686960542836</v>
      </c>
      <c r="C91" s="77"/>
      <c r="D91" s="9" t="str">
        <f t="shared" si="21"/>
        <v>Multifamily - High Rise</v>
      </c>
      <c r="E91" s="9" t="s">
        <v>294</v>
      </c>
      <c r="F91" s="55">
        <f t="shared" ca="1" si="23"/>
        <v>4.3701204726680175E-3</v>
      </c>
      <c r="G91" s="55">
        <f t="shared" ca="1" si="22"/>
        <v>7.0262439279846671E-3</v>
      </c>
      <c r="H91" s="55">
        <f t="shared" ca="1" si="22"/>
        <v>9.2607803604458101E-3</v>
      </c>
      <c r="I91" s="55">
        <f t="shared" ca="1" si="22"/>
        <v>1.1126644242112531E-2</v>
      </c>
      <c r="J91" s="55">
        <f t="shared" ca="1" si="22"/>
        <v>1.377081468578668E-2</v>
      </c>
      <c r="K91" s="55">
        <f t="shared" ca="1" si="22"/>
        <v>1.4048876617363813E-2</v>
      </c>
      <c r="L91" s="55">
        <f t="shared" ca="1" si="22"/>
        <v>1.4125070275270333E-2</v>
      </c>
      <c r="M91" s="55">
        <f t="shared" ca="1" si="22"/>
        <v>1.4069738613238247E-2</v>
      </c>
      <c r="N91" s="55">
        <f t="shared" ca="1" si="22"/>
        <v>1.397874183787922E-2</v>
      </c>
      <c r="O91" s="55">
        <f t="shared" ca="1" si="22"/>
        <v>1.3945711492647186E-2</v>
      </c>
      <c r="P91" s="55">
        <f t="shared" ca="1" si="22"/>
        <v>1.3926232278610952E-2</v>
      </c>
      <c r="Q91" s="55">
        <f t="shared" ca="1" si="22"/>
        <v>1.3931202084678162E-2</v>
      </c>
      <c r="R91" s="55">
        <f t="shared" ca="1" si="22"/>
        <v>1.3929897797462013E-2</v>
      </c>
      <c r="S91" s="55">
        <f t="shared" ca="1" si="22"/>
        <v>1.3935533516198612E-2</v>
      </c>
      <c r="T91" s="55">
        <f t="shared" ca="1" si="22"/>
        <v>1.3920068326957125E-2</v>
      </c>
      <c r="U91" s="55">
        <f t="shared" ca="1" si="22"/>
        <v>1.3910245061145545E-2</v>
      </c>
      <c r="V91" s="55">
        <f t="shared" ca="1" si="22"/>
        <v>1.3897048724946159E-2</v>
      </c>
      <c r="W91" s="55">
        <f t="shared" ca="1" si="22"/>
        <v>1.3886274050024679E-2</v>
      </c>
      <c r="X91" s="55">
        <f t="shared" ca="1" si="22"/>
        <v>1.3872835278869183E-2</v>
      </c>
      <c r="Y91" s="55">
        <f t="shared" ca="1" si="22"/>
        <v>1.3833217648921686E-2</v>
      </c>
      <c r="Z91" s="36">
        <f t="shared" ca="1" si="24"/>
        <v>7.4572142011952738E-2</v>
      </c>
      <c r="AB91" s="42">
        <f t="shared" ca="1" si="25"/>
        <v>0.25476529729321062</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row>
    <row r="92" spans="1:81">
      <c r="A92" s="77">
        <f t="shared" si="19"/>
        <v>19.719286947809731</v>
      </c>
      <c r="B92" s="77">
        <f t="shared" si="20"/>
        <v>825.16686960542836</v>
      </c>
      <c r="C92" s="77"/>
      <c r="D92" s="9" t="str">
        <f t="shared" si="21"/>
        <v>Manufactured</v>
      </c>
      <c r="E92" s="9" t="s">
        <v>294</v>
      </c>
      <c r="F92" s="55">
        <f t="shared" ca="1" si="23"/>
        <v>1.8828052774306447E-2</v>
      </c>
      <c r="G92" s="55">
        <f t="shared" ca="1" si="22"/>
        <v>3.0016238494328204E-2</v>
      </c>
      <c r="H92" s="55">
        <f t="shared" ca="1" si="22"/>
        <v>3.922849759255765E-2</v>
      </c>
      <c r="I92" s="55">
        <f t="shared" ca="1" si="22"/>
        <v>4.6734687245055452E-2</v>
      </c>
      <c r="J92" s="55">
        <f t="shared" ca="1" si="22"/>
        <v>5.3668319803392685E-2</v>
      </c>
      <c r="K92" s="55">
        <f t="shared" ca="1" si="22"/>
        <v>5.4756959692946944E-2</v>
      </c>
      <c r="L92" s="55">
        <f t="shared" ca="1" si="22"/>
        <v>5.4935322374133073E-2</v>
      </c>
      <c r="M92" s="55">
        <f t="shared" ca="1" si="22"/>
        <v>5.4683713381932321E-2</v>
      </c>
      <c r="N92" s="55">
        <f t="shared" ca="1" si="22"/>
        <v>5.4228633443824593E-2</v>
      </c>
      <c r="O92" s="55">
        <f t="shared" ca="1" si="22"/>
        <v>5.3738517194617683E-2</v>
      </c>
      <c r="P92" s="55">
        <f t="shared" ca="1" si="22"/>
        <v>5.3243599424069629E-2</v>
      </c>
      <c r="Q92" s="55">
        <f t="shared" ca="1" si="22"/>
        <v>5.2749947920564907E-2</v>
      </c>
      <c r="R92" s="55">
        <f t="shared" ca="1" si="22"/>
        <v>5.2260073503860062E-2</v>
      </c>
      <c r="S92" s="55">
        <f t="shared" ca="1" si="22"/>
        <v>5.1772792847255361E-2</v>
      </c>
      <c r="T92" s="55">
        <f t="shared" ca="1" si="22"/>
        <v>5.1287648894166739E-2</v>
      </c>
      <c r="U92" s="55">
        <f t="shared" ca="1" si="22"/>
        <v>5.0815103341658313E-2</v>
      </c>
      <c r="V92" s="55">
        <f t="shared" ca="1" si="22"/>
        <v>5.0347888112756159E-2</v>
      </c>
      <c r="W92" s="55">
        <f t="shared" ca="1" si="22"/>
        <v>4.9884838102171189E-2</v>
      </c>
      <c r="X92" s="55">
        <f t="shared" ca="1" si="22"/>
        <v>4.9425731941278465E-2</v>
      </c>
      <c r="Y92" s="55">
        <f t="shared" ca="1" si="22"/>
        <v>4.8904159417477021E-2</v>
      </c>
      <c r="Z92" s="36">
        <f t="shared" ca="1" si="24"/>
        <v>0.20770841965045303</v>
      </c>
      <c r="AB92" s="42">
        <f t="shared" ca="1" si="25"/>
        <v>0.97151072550235273</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row>
    <row r="93" spans="1:81">
      <c r="AB93" s="42"/>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row>
    <row r="94" spans="1:81">
      <c r="B94" s="75">
        <f ca="1">SUMPRODUCT(B85:B92,AB85:AB92)/SUM(AB85:AB92)</f>
        <v>139.83633286165673</v>
      </c>
      <c r="F94" s="36">
        <f ca="1">SUM(F85:F92)</f>
        <v>3.0005615326880171</v>
      </c>
      <c r="G94" s="36">
        <f ca="1">SUM(G85:G92)</f>
        <v>4.3881812087343182</v>
      </c>
      <c r="H94" s="36">
        <f t="shared" ref="H94:Y94" ca="1" si="26">SUM(H85:H92)</f>
        <v>5.3037642003651317</v>
      </c>
      <c r="I94" s="36">
        <f t="shared" ca="1" si="26"/>
        <v>5.883568503035586</v>
      </c>
      <c r="J94" s="36">
        <f t="shared" ca="1" si="26"/>
        <v>6.8510646206427168</v>
      </c>
      <c r="K94" s="36">
        <f t="shared" ca="1" si="26"/>
        <v>6.8952958668830346</v>
      </c>
      <c r="L94" s="36">
        <f t="shared" ca="1" si="26"/>
        <v>6.8414575030294618</v>
      </c>
      <c r="M94" s="36">
        <f t="shared" ca="1" si="26"/>
        <v>6.7557992286056612</v>
      </c>
      <c r="N94" s="36">
        <f t="shared" ca="1" si="26"/>
        <v>6.6585916009774202</v>
      </c>
      <c r="O94" s="36">
        <f t="shared" ca="1" si="26"/>
        <v>6.5705091559489937</v>
      </c>
      <c r="P94" s="36">
        <f t="shared" ca="1" si="26"/>
        <v>6.4931268946436349</v>
      </c>
      <c r="Q94" s="36">
        <f t="shared" ca="1" si="26"/>
        <v>6.4254986789996797</v>
      </c>
      <c r="R94" s="36">
        <f t="shared" ca="1" si="26"/>
        <v>6.3578523013842485</v>
      </c>
      <c r="S94" s="36">
        <f t="shared" ca="1" si="26"/>
        <v>6.2981220471524848</v>
      </c>
      <c r="T94" s="36">
        <f t="shared" ca="1" si="26"/>
        <v>6.2347632809604541</v>
      </c>
      <c r="U94" s="36">
        <f t="shared" ca="1" si="26"/>
        <v>6.155737078276573</v>
      </c>
      <c r="V94" s="36">
        <f t="shared" ca="1" si="26"/>
        <v>6.0737171427632628</v>
      </c>
      <c r="W94" s="36">
        <f t="shared" ca="1" si="26"/>
        <v>5.9984813771332899</v>
      </c>
      <c r="X94" s="36">
        <f t="shared" ca="1" si="26"/>
        <v>5.9262125377233605</v>
      </c>
      <c r="Y94" s="36">
        <f t="shared" ca="1" si="26"/>
        <v>5.9097831841034143</v>
      </c>
      <c r="Z94" s="36">
        <f ca="1">SUM(Z85:Z92)</f>
        <v>27.548133739474505</v>
      </c>
      <c r="AB94" s="42">
        <f ca="1">SUM(F94:Z94)</f>
        <v>148.57022168352523</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1">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81">
      <c r="D96" s="36"/>
      <c r="F96" s="36"/>
      <c r="G96" s="36"/>
      <c r="H96" s="36"/>
      <c r="I96" s="36"/>
      <c r="J96" s="36"/>
      <c r="K96" s="36"/>
      <c r="L96" s="36"/>
      <c r="M96" s="36"/>
      <c r="N96" s="36"/>
      <c r="O96" s="36"/>
      <c r="P96" s="36"/>
      <c r="Q96" s="36"/>
      <c r="R96" s="36"/>
      <c r="S96" s="36"/>
      <c r="T96" s="36"/>
      <c r="U96" s="36"/>
      <c r="V96" s="36"/>
      <c r="W96" s="36"/>
      <c r="X96" s="36"/>
      <c r="Y96" s="36"/>
      <c r="Z96" s="36"/>
      <c r="AA96" s="36"/>
      <c r="AB96" s="3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ht="15">
      <c r="A99" s="63" t="s">
        <v>67</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ht="15">
      <c r="F100" s="66">
        <f t="shared" ref="F100:Y100" si="27">F11</f>
        <v>2016</v>
      </c>
      <c r="G100" s="67">
        <f t="shared" si="27"/>
        <v>2017</v>
      </c>
      <c r="H100" s="67">
        <f t="shared" si="27"/>
        <v>2018</v>
      </c>
      <c r="I100" s="67">
        <f t="shared" si="27"/>
        <v>2019</v>
      </c>
      <c r="J100" s="67">
        <f t="shared" si="27"/>
        <v>2020</v>
      </c>
      <c r="K100" s="67">
        <f t="shared" si="27"/>
        <v>2021</v>
      </c>
      <c r="L100" s="67">
        <f t="shared" si="27"/>
        <v>2022</v>
      </c>
      <c r="M100" s="67">
        <f t="shared" si="27"/>
        <v>2023</v>
      </c>
      <c r="N100" s="67">
        <f t="shared" si="27"/>
        <v>2024</v>
      </c>
      <c r="O100" s="67">
        <f t="shared" si="27"/>
        <v>2025</v>
      </c>
      <c r="P100" s="67">
        <f t="shared" si="27"/>
        <v>2026</v>
      </c>
      <c r="Q100" s="67">
        <f t="shared" si="27"/>
        <v>2027</v>
      </c>
      <c r="R100" s="67">
        <f t="shared" si="27"/>
        <v>2028</v>
      </c>
      <c r="S100" s="67">
        <f t="shared" si="27"/>
        <v>2029</v>
      </c>
      <c r="T100" s="67">
        <f t="shared" si="27"/>
        <v>2030</v>
      </c>
      <c r="U100" s="67">
        <f t="shared" si="27"/>
        <v>2031</v>
      </c>
      <c r="V100" s="67">
        <f t="shared" si="27"/>
        <v>2032</v>
      </c>
      <c r="W100" s="67">
        <f t="shared" si="27"/>
        <v>2033</v>
      </c>
      <c r="X100" s="67">
        <f t="shared" si="27"/>
        <v>2034</v>
      </c>
      <c r="Y100" s="67">
        <f t="shared" si="27"/>
        <v>2035</v>
      </c>
      <c r="Z100" s="68" t="s">
        <v>59</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ht="15">
      <c r="C101" s="57" t="s">
        <v>64</v>
      </c>
      <c r="D101" s="57" t="s">
        <v>64</v>
      </c>
      <c r="F101" s="69" t="str">
        <f>CONCATENATE("aMW_",F$11)</f>
        <v>aMW_2016</v>
      </c>
      <c r="G101" s="70" t="str">
        <f t="shared" ref="G101:Y101" si="28">CONCATENATE("aMW_",G$11)</f>
        <v>aMW_2017</v>
      </c>
      <c r="H101" s="70" t="str">
        <f t="shared" si="28"/>
        <v>aMW_2018</v>
      </c>
      <c r="I101" s="70" t="str">
        <f t="shared" si="28"/>
        <v>aMW_2019</v>
      </c>
      <c r="J101" s="70" t="str">
        <f t="shared" si="28"/>
        <v>aMW_2020</v>
      </c>
      <c r="K101" s="70" t="str">
        <f t="shared" si="28"/>
        <v>aMW_2021</v>
      </c>
      <c r="L101" s="70" t="str">
        <f t="shared" si="28"/>
        <v>aMW_2022</v>
      </c>
      <c r="M101" s="70" t="str">
        <f t="shared" si="28"/>
        <v>aMW_2023</v>
      </c>
      <c r="N101" s="70" t="str">
        <f t="shared" si="28"/>
        <v>aMW_2024</v>
      </c>
      <c r="O101" s="70" t="str">
        <f t="shared" si="28"/>
        <v>aMW_2025</v>
      </c>
      <c r="P101" s="70" t="str">
        <f t="shared" si="28"/>
        <v>aMW_2026</v>
      </c>
      <c r="Q101" s="70" t="str">
        <f t="shared" si="28"/>
        <v>aMW_2027</v>
      </c>
      <c r="R101" s="70" t="str">
        <f t="shared" si="28"/>
        <v>aMW_2028</v>
      </c>
      <c r="S101" s="70" t="str">
        <f t="shared" si="28"/>
        <v>aMW_2029</v>
      </c>
      <c r="T101" s="70" t="str">
        <f t="shared" si="28"/>
        <v>aMW_2030</v>
      </c>
      <c r="U101" s="70" t="str">
        <f t="shared" si="28"/>
        <v>aMW_2031</v>
      </c>
      <c r="V101" s="70" t="str">
        <f t="shared" si="28"/>
        <v>aMW_2032</v>
      </c>
      <c r="W101" s="70" t="str">
        <f t="shared" si="28"/>
        <v>aMW_2033</v>
      </c>
      <c r="X101" s="70" t="str">
        <f t="shared" si="28"/>
        <v>aMW_2034</v>
      </c>
      <c r="Y101" s="70" t="str">
        <f t="shared" si="28"/>
        <v>aMW_2035</v>
      </c>
      <c r="Z101" s="71" t="s">
        <v>59</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9" t="s">
        <v>68</v>
      </c>
      <c r="C102" s="58" t="s">
        <v>69</v>
      </c>
      <c r="D102" s="58" t="s">
        <v>70</v>
      </c>
      <c r="F102" s="55">
        <f>DSUM($A$80:$Z$92,F$80,$C$101:$D102)</f>
        <v>0</v>
      </c>
      <c r="G102" s="55">
        <f>DSUM($A$80:$Z$92,G$80,$C$101:$D102)</f>
        <v>0</v>
      </c>
      <c r="H102" s="55">
        <f>DSUM($A$80:$Z$92,H$80,$C$101:$D102)</f>
        <v>0</v>
      </c>
      <c r="I102" s="55">
        <f>DSUM($A$80:$Z$92,I$80,$C$101:$D102)</f>
        <v>0</v>
      </c>
      <c r="J102" s="55">
        <f>DSUM($A$80:$Z$92,J$80,$C$101:$D102)</f>
        <v>0</v>
      </c>
      <c r="K102" s="55">
        <f>DSUM($A$80:$Z$92,K$80,$C$101:$D102)</f>
        <v>0</v>
      </c>
      <c r="L102" s="55">
        <f>DSUM($A$80:$Z$92,L$80,$C$101:$D102)</f>
        <v>0</v>
      </c>
      <c r="M102" s="55">
        <f>DSUM($A$80:$Z$92,M$80,$C$101:$D102)</f>
        <v>0</v>
      </c>
      <c r="N102" s="55">
        <f>DSUM($A$80:$Z$92,N$80,$C$101:$D102)</f>
        <v>0</v>
      </c>
      <c r="O102" s="55">
        <f>DSUM($A$80:$Z$92,O$80,$C$101:$D102)</f>
        <v>0</v>
      </c>
      <c r="P102" s="55">
        <f>DSUM($A$80:$Z$92,P$80,$C$101:$D102)</f>
        <v>0</v>
      </c>
      <c r="Q102" s="55">
        <f>DSUM($A$80:$Z$92,Q$80,$C$101:$D102)</f>
        <v>0</v>
      </c>
      <c r="R102" s="55">
        <f>DSUM($A$80:$Z$92,R$80,$C$101:$D102)</f>
        <v>0</v>
      </c>
      <c r="S102" s="55">
        <f>DSUM($A$80:$Z$92,S$80,$C$101:$D102)</f>
        <v>0</v>
      </c>
      <c r="T102" s="55">
        <f>DSUM($A$80:$Z$92,T$80,$C$101:$D102)</f>
        <v>0</v>
      </c>
      <c r="U102" s="55">
        <f>DSUM($A$80:$Z$92,U$80,$C$101:$D102)</f>
        <v>0</v>
      </c>
      <c r="V102" s="55">
        <f>DSUM($A$80:$Z$92,V$80,$C$101:$D102)</f>
        <v>0</v>
      </c>
      <c r="W102" s="55">
        <f>DSUM($A$80:$Z$92,W$80,$C$101:$D102)</f>
        <v>0</v>
      </c>
      <c r="X102" s="55">
        <f>DSUM($A$80:$Z$92,X$80,$C$101:$D102)</f>
        <v>0</v>
      </c>
      <c r="Y102" s="55">
        <f>DSUM($A$80:$Z$92,Y$80,$C$101:$D102)</f>
        <v>0</v>
      </c>
      <c r="Z102" s="36">
        <f>DSUM($A$80:$Z$92,Z$80,$C$101:$D102)</f>
        <v>0</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9" t="s">
        <v>572</v>
      </c>
      <c r="C103" s="58" t="s">
        <v>72</v>
      </c>
      <c r="D103" s="58" t="s">
        <v>73</v>
      </c>
      <c r="F103" s="55">
        <f>DSUM($A$80:$Z$92,F$80,$C$101:$D103)</f>
        <v>0</v>
      </c>
      <c r="G103" s="55">
        <f>DSUM($A$80:$Z$92,G$80,$C$101:$D103)</f>
        <v>0</v>
      </c>
      <c r="H103" s="55">
        <f>DSUM($A$80:$Z$92,H$80,$C$101:$D103)</f>
        <v>0</v>
      </c>
      <c r="I103" s="55">
        <f>DSUM($A$80:$Z$92,I$80,$C$101:$D103)</f>
        <v>0</v>
      </c>
      <c r="J103" s="55">
        <f>DSUM($A$80:$Z$92,J$80,$C$101:$D103)</f>
        <v>0</v>
      </c>
      <c r="K103" s="55">
        <f>DSUM($A$80:$Z$92,K$80,$C$101:$D103)</f>
        <v>0</v>
      </c>
      <c r="L103" s="55">
        <f>DSUM($A$80:$Z$92,L$80,$C$101:$D103)</f>
        <v>0</v>
      </c>
      <c r="M103" s="55">
        <f>DSUM($A$80:$Z$92,M$80,$C$101:$D103)</f>
        <v>0</v>
      </c>
      <c r="N103" s="55">
        <f>DSUM($A$80:$Z$92,N$80,$C$101:$D103)</f>
        <v>0</v>
      </c>
      <c r="O103" s="55">
        <f>DSUM($A$80:$Z$92,O$80,$C$101:$D103)</f>
        <v>0</v>
      </c>
      <c r="P103" s="55">
        <f>DSUM($A$80:$Z$92,P$80,$C$101:$D103)</f>
        <v>0</v>
      </c>
      <c r="Q103" s="55">
        <f>DSUM($A$80:$Z$92,Q$80,$C$101:$D103)</f>
        <v>0</v>
      </c>
      <c r="R103" s="55">
        <f>DSUM($A$80:$Z$92,R$80,$C$101:$D103)</f>
        <v>0</v>
      </c>
      <c r="S103" s="55">
        <f>DSUM($A$80:$Z$92,S$80,$C$101:$D103)</f>
        <v>0</v>
      </c>
      <c r="T103" s="55">
        <f>DSUM($A$80:$Z$92,T$80,$C$101:$D103)</f>
        <v>0</v>
      </c>
      <c r="U103" s="55">
        <f>DSUM($A$80:$Z$92,U$80,$C$101:$D103)</f>
        <v>0</v>
      </c>
      <c r="V103" s="55">
        <f>DSUM($A$80:$Z$92,V$80,$C$101:$D103)</f>
        <v>0</v>
      </c>
      <c r="W103" s="55">
        <f>DSUM($A$80:$Z$92,W$80,$C$101:$D103)</f>
        <v>0</v>
      </c>
      <c r="X103" s="55">
        <f>DSUM($A$80:$Z$92,X$80,$C$101:$D103)</f>
        <v>0</v>
      </c>
      <c r="Y103" s="55">
        <f>DSUM($A$80:$Z$92,Y$80,$C$101:$D103)</f>
        <v>0</v>
      </c>
      <c r="Z103" s="36">
        <f>DSUM($A$80:$Z$92,Z$80,$C$101:$D103)</f>
        <v>0</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9" t="s">
        <v>74</v>
      </c>
      <c r="C104" s="58" t="s">
        <v>75</v>
      </c>
      <c r="D104" s="58" t="s">
        <v>76</v>
      </c>
      <c r="F104" s="55">
        <f>DSUM($A$80:$Z$92,F$80,$C$101:$D104)</f>
        <v>0</v>
      </c>
      <c r="G104" s="55">
        <f>DSUM($A$80:$Z$92,G$80,$C$101:$D104)</f>
        <v>0</v>
      </c>
      <c r="H104" s="55">
        <f>DSUM($A$80:$Z$92,H$80,$C$101:$D104)</f>
        <v>0</v>
      </c>
      <c r="I104" s="55">
        <f>DSUM($A$80:$Z$92,I$80,$C$101:$D104)</f>
        <v>0</v>
      </c>
      <c r="J104" s="55">
        <f>DSUM($A$80:$Z$92,J$80,$C$101:$D104)</f>
        <v>0</v>
      </c>
      <c r="K104" s="55">
        <f>DSUM($A$80:$Z$92,K$80,$C$101:$D104)</f>
        <v>0</v>
      </c>
      <c r="L104" s="55">
        <f>DSUM($A$80:$Z$92,L$80,$C$101:$D104)</f>
        <v>0</v>
      </c>
      <c r="M104" s="55">
        <f>DSUM($A$80:$Z$92,M$80,$C$101:$D104)</f>
        <v>0</v>
      </c>
      <c r="N104" s="55">
        <f>DSUM($A$80:$Z$92,N$80,$C$101:$D104)</f>
        <v>0</v>
      </c>
      <c r="O104" s="55">
        <f>DSUM($A$80:$Z$92,O$80,$C$101:$D104)</f>
        <v>0</v>
      </c>
      <c r="P104" s="55">
        <f>DSUM($A$80:$Z$92,P$80,$C$101:$D104)</f>
        <v>0</v>
      </c>
      <c r="Q104" s="55">
        <f>DSUM($A$80:$Z$92,Q$80,$C$101:$D104)</f>
        <v>0</v>
      </c>
      <c r="R104" s="55">
        <f>DSUM($A$80:$Z$92,R$80,$C$101:$D104)</f>
        <v>0</v>
      </c>
      <c r="S104" s="55">
        <f>DSUM($A$80:$Z$92,S$80,$C$101:$D104)</f>
        <v>0</v>
      </c>
      <c r="T104" s="55">
        <f>DSUM($A$80:$Z$92,T$80,$C$101:$D104)</f>
        <v>0</v>
      </c>
      <c r="U104" s="55">
        <f>DSUM($A$80:$Z$92,U$80,$C$101:$D104)</f>
        <v>0</v>
      </c>
      <c r="V104" s="55">
        <f>DSUM($A$80:$Z$92,V$80,$C$101:$D104)</f>
        <v>0</v>
      </c>
      <c r="W104" s="55">
        <f>DSUM($A$80:$Z$92,W$80,$C$101:$D104)</f>
        <v>0</v>
      </c>
      <c r="X104" s="55">
        <f>DSUM($A$80:$Z$92,X$80,$C$101:$D104)</f>
        <v>0</v>
      </c>
      <c r="Y104" s="55">
        <f>DSUM($A$80:$Z$92,Y$80,$C$101:$D104)</f>
        <v>0</v>
      </c>
      <c r="Z104" s="36">
        <f>DSUM($A$80:$Z$92,Z$80,$C$101:$D104)</f>
        <v>0</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9" t="s">
        <v>77</v>
      </c>
      <c r="C105" s="58" t="s">
        <v>78</v>
      </c>
      <c r="D105" s="58" t="s">
        <v>79</v>
      </c>
      <c r="F105" s="55">
        <f>DSUM($A$80:$Z$92,F$80,$C$101:$D105)</f>
        <v>0</v>
      </c>
      <c r="G105" s="55">
        <f>DSUM($A$80:$Z$92,G$80,$C$101:$D105)</f>
        <v>0</v>
      </c>
      <c r="H105" s="55">
        <f>DSUM($A$80:$Z$92,H$80,$C$101:$D105)</f>
        <v>0</v>
      </c>
      <c r="I105" s="55">
        <f>DSUM($A$80:$Z$92,I$80,$C$101:$D105)</f>
        <v>0</v>
      </c>
      <c r="J105" s="55">
        <f>DSUM($A$80:$Z$92,J$80,$C$101:$D105)</f>
        <v>0</v>
      </c>
      <c r="K105" s="55">
        <f>DSUM($A$80:$Z$92,K$80,$C$101:$D105)</f>
        <v>0</v>
      </c>
      <c r="L105" s="55">
        <f>DSUM($A$80:$Z$92,L$80,$C$101:$D105)</f>
        <v>0</v>
      </c>
      <c r="M105" s="55">
        <f>DSUM($A$80:$Z$92,M$80,$C$101:$D105)</f>
        <v>0</v>
      </c>
      <c r="N105" s="55">
        <f>DSUM($A$80:$Z$92,N$80,$C$101:$D105)</f>
        <v>0</v>
      </c>
      <c r="O105" s="55">
        <f>DSUM($A$80:$Z$92,O$80,$C$101:$D105)</f>
        <v>0</v>
      </c>
      <c r="P105" s="55">
        <f>DSUM($A$80:$Z$92,P$80,$C$101:$D105)</f>
        <v>0</v>
      </c>
      <c r="Q105" s="55">
        <f>DSUM($A$80:$Z$92,Q$80,$C$101:$D105)</f>
        <v>0</v>
      </c>
      <c r="R105" s="55">
        <f>DSUM($A$80:$Z$92,R$80,$C$101:$D105)</f>
        <v>0</v>
      </c>
      <c r="S105" s="55">
        <f>DSUM($A$80:$Z$92,S$80,$C$101:$D105)</f>
        <v>0</v>
      </c>
      <c r="T105" s="55">
        <f>DSUM($A$80:$Z$92,T$80,$C$101:$D105)</f>
        <v>0</v>
      </c>
      <c r="U105" s="55">
        <f>DSUM($A$80:$Z$92,U$80,$C$101:$D105)</f>
        <v>0</v>
      </c>
      <c r="V105" s="55">
        <f>DSUM($A$80:$Z$92,V$80,$C$101:$D105)</f>
        <v>0</v>
      </c>
      <c r="W105" s="55">
        <f>DSUM($A$80:$Z$92,W$80,$C$101:$D105)</f>
        <v>0</v>
      </c>
      <c r="X105" s="55">
        <f>DSUM($A$80:$Z$92,X$80,$C$101:$D105)</f>
        <v>0</v>
      </c>
      <c r="Y105" s="55">
        <f>DSUM($A$80:$Z$92,Y$80,$C$101:$D105)</f>
        <v>0</v>
      </c>
      <c r="Z105" s="36">
        <f>DSUM($A$80:$Z$92,Z$80,$C$101:$D105)</f>
        <v>0</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B106" s="9" t="s">
        <v>80</v>
      </c>
      <c r="C106" s="58" t="s">
        <v>81</v>
      </c>
      <c r="D106" s="58" t="s">
        <v>82</v>
      </c>
      <c r="F106" s="55">
        <f>DSUM($A$80:$Z$92,F$80,$C$101:$D106)</f>
        <v>0</v>
      </c>
      <c r="G106" s="55">
        <f>DSUM($A$80:$Z$92,G$80,$C$101:$D106)</f>
        <v>0</v>
      </c>
      <c r="H106" s="55">
        <f>DSUM($A$80:$Z$92,H$80,$C$101:$D106)</f>
        <v>0</v>
      </c>
      <c r="I106" s="55">
        <f>DSUM($A$80:$Z$92,I$80,$C$101:$D106)</f>
        <v>0</v>
      </c>
      <c r="J106" s="55">
        <f>DSUM($A$80:$Z$92,J$80,$C$101:$D106)</f>
        <v>0</v>
      </c>
      <c r="K106" s="55">
        <f>DSUM($A$80:$Z$92,K$80,$C$101:$D106)</f>
        <v>0</v>
      </c>
      <c r="L106" s="55">
        <f>DSUM($A$80:$Z$92,L$80,$C$101:$D106)</f>
        <v>0</v>
      </c>
      <c r="M106" s="55">
        <f>DSUM($A$80:$Z$92,M$80,$C$101:$D106)</f>
        <v>0</v>
      </c>
      <c r="N106" s="55">
        <f>DSUM($A$80:$Z$92,N$80,$C$101:$D106)</f>
        <v>0</v>
      </c>
      <c r="O106" s="55">
        <f>DSUM($A$80:$Z$92,O$80,$C$101:$D106)</f>
        <v>0</v>
      </c>
      <c r="P106" s="55">
        <f>DSUM($A$80:$Z$92,P$80,$C$101:$D106)</f>
        <v>0</v>
      </c>
      <c r="Q106" s="55">
        <f>DSUM($A$80:$Z$92,Q$80,$C$101:$D106)</f>
        <v>0</v>
      </c>
      <c r="R106" s="55">
        <f>DSUM($A$80:$Z$92,R$80,$C$101:$D106)</f>
        <v>0</v>
      </c>
      <c r="S106" s="55">
        <f>DSUM($A$80:$Z$92,S$80,$C$101:$D106)</f>
        <v>0</v>
      </c>
      <c r="T106" s="55">
        <f>DSUM($A$80:$Z$92,T$80,$C$101:$D106)</f>
        <v>0</v>
      </c>
      <c r="U106" s="55">
        <f>DSUM($A$80:$Z$92,U$80,$C$101:$D106)</f>
        <v>0</v>
      </c>
      <c r="V106" s="55">
        <f>DSUM($A$80:$Z$92,V$80,$C$101:$D106)</f>
        <v>0</v>
      </c>
      <c r="W106" s="55">
        <f>DSUM($A$80:$Z$92,W$80,$C$101:$D106)</f>
        <v>0</v>
      </c>
      <c r="X106" s="55">
        <f>DSUM($A$80:$Z$92,X$80,$C$101:$D106)</f>
        <v>0</v>
      </c>
      <c r="Y106" s="55">
        <f>DSUM($A$80:$Z$92,Y$80,$C$101:$D106)</f>
        <v>0</v>
      </c>
      <c r="Z106" s="36">
        <f>DSUM($A$80:$Z$92,Z$80,$C$101:$D106)</f>
        <v>0</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B107" s="9" t="s">
        <v>83</v>
      </c>
      <c r="C107" s="58" t="s">
        <v>84</v>
      </c>
      <c r="D107" s="58" t="s">
        <v>85</v>
      </c>
      <c r="F107" s="55">
        <f ca="1">DSUM($A$80:$Z$92,F$80,$C$101:$D107)</f>
        <v>2.7322610992926513</v>
      </c>
      <c r="G107" s="55">
        <f ca="1">DSUM($A$80:$Z$92,G$80,$C$101:$D107)</f>
        <v>3.9570653052329523</v>
      </c>
      <c r="H107" s="55">
        <f ca="1">DSUM($A$80:$Z$92,H$80,$C$101:$D107)</f>
        <v>4.7358754311612747</v>
      </c>
      <c r="I107" s="55">
        <f ca="1">DSUM($A$80:$Z$92,I$80,$C$101:$D107)</f>
        <v>5.2016589457314373</v>
      </c>
      <c r="J107" s="55">
        <f ca="1">DSUM($A$80:$Z$92,J$80,$C$101:$D107)</f>
        <v>6.0322601424427411</v>
      </c>
      <c r="K107" s="55">
        <f ca="1">DSUM($A$80:$Z$92,K$80,$C$101:$D107)</f>
        <v>6.0586774093115503</v>
      </c>
      <c r="L107" s="55">
        <f ca="1">DSUM($A$80:$Z$92,L$80,$C$101:$D107)</f>
        <v>5.9998560145541351</v>
      </c>
      <c r="M107" s="55">
        <f ca="1">DSUM($A$80:$Z$92,M$80,$C$101:$D107)</f>
        <v>5.914396664313033</v>
      </c>
      <c r="N107" s="55">
        <f ca="1">DSUM($A$80:$Z$92,N$80,$C$101:$D107)</f>
        <v>5.8194816178314603</v>
      </c>
      <c r="O107" s="55">
        <f ca="1">DSUM($A$80:$Z$92,O$80,$C$101:$D107)</f>
        <v>5.7336736645263899</v>
      </c>
      <c r="P107" s="55">
        <f ca="1">DSUM($A$80:$Z$92,P$80,$C$101:$D107)</f>
        <v>5.6580813386157409</v>
      </c>
      <c r="Q107" s="55">
        <f ca="1">DSUM($A$80:$Z$92,Q$80,$C$101:$D107)</f>
        <v>5.5916958782079007</v>
      </c>
      <c r="R107" s="55">
        <f ca="1">DSUM($A$80:$Z$92,R$80,$C$101:$D107)</f>
        <v>5.5253343604875553</v>
      </c>
      <c r="S107" s="55">
        <f ca="1">DSUM($A$80:$Z$92,S$80,$C$101:$D107)</f>
        <v>5.466392606289471</v>
      </c>
      <c r="T107" s="55">
        <f ca="1">DSUM($A$80:$Z$92,T$80,$C$101:$D107)</f>
        <v>5.4040689779783389</v>
      </c>
      <c r="U107" s="55">
        <f ca="1">DSUM($A$80:$Z$92,U$80,$C$101:$D107)</f>
        <v>5.3263091075605971</v>
      </c>
      <c r="V107" s="55">
        <f ca="1">DSUM($A$80:$Z$92,V$80,$C$101:$D107)</f>
        <v>5.2457789360179996</v>
      </c>
      <c r="W107" s="55">
        <f ca="1">DSUM($A$80:$Z$92,W$80,$C$101:$D107)</f>
        <v>5.1716017190134798</v>
      </c>
      <c r="X107" s="55">
        <f ca="1">DSUM($A$80:$Z$92,X$80,$C$101:$D107)</f>
        <v>5.1002179599130217</v>
      </c>
      <c r="Y107" s="55">
        <f ca="1">DSUM($A$80:$Z$92,Y$80,$C$101:$D107)</f>
        <v>5.0860498690691767</v>
      </c>
      <c r="Z107" s="36">
        <f ca="1">DSUM($A$80:$Z$92,Z$80,$C$101:$D107)</f>
        <v>23.593041700948572</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c r="B108" s="9" t="s">
        <v>86</v>
      </c>
      <c r="C108" s="58" t="s">
        <v>87</v>
      </c>
      <c r="D108" s="58" t="s">
        <v>88</v>
      </c>
      <c r="F108" s="55">
        <f ca="1">DSUM($A$80:$Z$92,F$80,$C$101:$D108)</f>
        <v>2.7322610992926513</v>
      </c>
      <c r="G108" s="55">
        <f ca="1">DSUM($A$80:$Z$92,G$80,$C$101:$D108)</f>
        <v>3.9570653052329523</v>
      </c>
      <c r="H108" s="55">
        <f ca="1">DSUM($A$80:$Z$92,H$80,$C$101:$D108)</f>
        <v>4.7358754311612747</v>
      </c>
      <c r="I108" s="55">
        <f ca="1">DSUM($A$80:$Z$92,I$80,$C$101:$D108)</f>
        <v>5.2016589457314373</v>
      </c>
      <c r="J108" s="55">
        <f ca="1">DSUM($A$80:$Z$92,J$80,$C$101:$D108)</f>
        <v>6.0322601424427411</v>
      </c>
      <c r="K108" s="55">
        <f ca="1">DSUM($A$80:$Z$92,K$80,$C$101:$D108)</f>
        <v>6.0586774093115503</v>
      </c>
      <c r="L108" s="55">
        <f ca="1">DSUM($A$80:$Z$92,L$80,$C$101:$D108)</f>
        <v>5.9998560145541351</v>
      </c>
      <c r="M108" s="55">
        <f ca="1">DSUM($A$80:$Z$92,M$80,$C$101:$D108)</f>
        <v>5.914396664313033</v>
      </c>
      <c r="N108" s="55">
        <f ca="1">DSUM($A$80:$Z$92,N$80,$C$101:$D108)</f>
        <v>5.8194816178314603</v>
      </c>
      <c r="O108" s="55">
        <f ca="1">DSUM($A$80:$Z$92,O$80,$C$101:$D108)</f>
        <v>5.7336736645263899</v>
      </c>
      <c r="P108" s="55">
        <f ca="1">DSUM($A$80:$Z$92,P$80,$C$101:$D108)</f>
        <v>5.6580813386157409</v>
      </c>
      <c r="Q108" s="55">
        <f ca="1">DSUM($A$80:$Z$92,Q$80,$C$101:$D108)</f>
        <v>5.5916958782079007</v>
      </c>
      <c r="R108" s="55">
        <f ca="1">DSUM($A$80:$Z$92,R$80,$C$101:$D108)</f>
        <v>5.5253343604875553</v>
      </c>
      <c r="S108" s="55">
        <f ca="1">DSUM($A$80:$Z$92,S$80,$C$101:$D108)</f>
        <v>5.466392606289471</v>
      </c>
      <c r="T108" s="55">
        <f ca="1">DSUM($A$80:$Z$92,T$80,$C$101:$D108)</f>
        <v>5.4040689779783389</v>
      </c>
      <c r="U108" s="55">
        <f ca="1">DSUM($A$80:$Z$92,U$80,$C$101:$D108)</f>
        <v>5.3263091075605971</v>
      </c>
      <c r="V108" s="55">
        <f ca="1">DSUM($A$80:$Z$92,V$80,$C$101:$D108)</f>
        <v>5.2457789360179996</v>
      </c>
      <c r="W108" s="55">
        <f ca="1">DSUM($A$80:$Z$92,W$80,$C$101:$D108)</f>
        <v>5.1716017190134798</v>
      </c>
      <c r="X108" s="55">
        <f ca="1">DSUM($A$80:$Z$92,X$80,$C$101:$D108)</f>
        <v>5.1002179599130217</v>
      </c>
      <c r="Y108" s="55">
        <f ca="1">DSUM($A$80:$Z$92,Y$80,$C$101:$D108)</f>
        <v>5.0860498690691767</v>
      </c>
      <c r="Z108" s="36">
        <f ca="1">DSUM($A$80:$Z$92,Z$80,$C$101:$D108)</f>
        <v>23.593041700948572</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c r="B109" s="9" t="s">
        <v>89</v>
      </c>
      <c r="C109" s="58" t="s">
        <v>90</v>
      </c>
      <c r="D109" s="58" t="s">
        <v>91</v>
      </c>
      <c r="F109" s="55">
        <f ca="1">DSUM($A$80:$Z$92,F$80,$C$101:$D109)</f>
        <v>2.7322610992926513</v>
      </c>
      <c r="G109" s="55">
        <f ca="1">DSUM($A$80:$Z$92,G$80,$C$101:$D109)</f>
        <v>3.9570653052329523</v>
      </c>
      <c r="H109" s="55">
        <f ca="1">DSUM($A$80:$Z$92,H$80,$C$101:$D109)</f>
        <v>4.7358754311612747</v>
      </c>
      <c r="I109" s="55">
        <f ca="1">DSUM($A$80:$Z$92,I$80,$C$101:$D109)</f>
        <v>5.2016589457314373</v>
      </c>
      <c r="J109" s="55">
        <f ca="1">DSUM($A$80:$Z$92,J$80,$C$101:$D109)</f>
        <v>6.0322601424427411</v>
      </c>
      <c r="K109" s="55">
        <f ca="1">DSUM($A$80:$Z$92,K$80,$C$101:$D109)</f>
        <v>6.0586774093115503</v>
      </c>
      <c r="L109" s="55">
        <f ca="1">DSUM($A$80:$Z$92,L$80,$C$101:$D109)</f>
        <v>5.9998560145541351</v>
      </c>
      <c r="M109" s="55">
        <f ca="1">DSUM($A$80:$Z$92,M$80,$C$101:$D109)</f>
        <v>5.914396664313033</v>
      </c>
      <c r="N109" s="55">
        <f ca="1">DSUM($A$80:$Z$92,N$80,$C$101:$D109)</f>
        <v>5.8194816178314603</v>
      </c>
      <c r="O109" s="55">
        <f ca="1">DSUM($A$80:$Z$92,O$80,$C$101:$D109)</f>
        <v>5.7336736645263899</v>
      </c>
      <c r="P109" s="55">
        <f ca="1">DSUM($A$80:$Z$92,P$80,$C$101:$D109)</f>
        <v>5.6580813386157409</v>
      </c>
      <c r="Q109" s="55">
        <f ca="1">DSUM($A$80:$Z$92,Q$80,$C$101:$D109)</f>
        <v>5.5916958782079007</v>
      </c>
      <c r="R109" s="55">
        <f ca="1">DSUM($A$80:$Z$92,R$80,$C$101:$D109)</f>
        <v>5.5253343604875553</v>
      </c>
      <c r="S109" s="55">
        <f ca="1">DSUM($A$80:$Z$92,S$80,$C$101:$D109)</f>
        <v>5.466392606289471</v>
      </c>
      <c r="T109" s="55">
        <f ca="1">DSUM($A$80:$Z$92,T$80,$C$101:$D109)</f>
        <v>5.4040689779783389</v>
      </c>
      <c r="U109" s="55">
        <f ca="1">DSUM($A$80:$Z$92,U$80,$C$101:$D109)</f>
        <v>5.3263091075605971</v>
      </c>
      <c r="V109" s="55">
        <f ca="1">DSUM($A$80:$Z$92,V$80,$C$101:$D109)</f>
        <v>5.2457789360179996</v>
      </c>
      <c r="W109" s="55">
        <f ca="1">DSUM($A$80:$Z$92,W$80,$C$101:$D109)</f>
        <v>5.1716017190134798</v>
      </c>
      <c r="X109" s="55">
        <f ca="1">DSUM($A$80:$Z$92,X$80,$C$101:$D109)</f>
        <v>5.1002179599130217</v>
      </c>
      <c r="Y109" s="55">
        <f ca="1">DSUM($A$80:$Z$92,Y$80,$C$101:$D109)</f>
        <v>5.0860498690691767</v>
      </c>
      <c r="Z109" s="36">
        <f ca="1">DSUM($A$80:$Z$92,Z$80,$C$101:$D109)</f>
        <v>23.593041700948572</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c r="B110" s="9" t="s">
        <v>92</v>
      </c>
      <c r="C110" s="58" t="s">
        <v>93</v>
      </c>
      <c r="D110" s="58" t="s">
        <v>94</v>
      </c>
      <c r="F110" s="55">
        <f ca="1">DSUM($A$80:$Z$92,F$80,$C$101:$D110)</f>
        <v>2.7322610992926513</v>
      </c>
      <c r="G110" s="55">
        <f ca="1">DSUM($A$80:$Z$92,G$80,$C$101:$D110)</f>
        <v>3.9570653052329523</v>
      </c>
      <c r="H110" s="55">
        <f ca="1">DSUM($A$80:$Z$92,H$80,$C$101:$D110)</f>
        <v>4.7358754311612747</v>
      </c>
      <c r="I110" s="55">
        <f ca="1">DSUM($A$80:$Z$92,I$80,$C$101:$D110)</f>
        <v>5.2016589457314373</v>
      </c>
      <c r="J110" s="55">
        <f ca="1">DSUM($A$80:$Z$92,J$80,$C$101:$D110)</f>
        <v>6.0322601424427411</v>
      </c>
      <c r="K110" s="55">
        <f ca="1">DSUM($A$80:$Z$92,K$80,$C$101:$D110)</f>
        <v>6.0586774093115503</v>
      </c>
      <c r="L110" s="55">
        <f ca="1">DSUM($A$80:$Z$92,L$80,$C$101:$D110)</f>
        <v>5.9998560145541351</v>
      </c>
      <c r="M110" s="55">
        <f ca="1">DSUM($A$80:$Z$92,M$80,$C$101:$D110)</f>
        <v>5.914396664313033</v>
      </c>
      <c r="N110" s="55">
        <f ca="1">DSUM($A$80:$Z$92,N$80,$C$101:$D110)</f>
        <v>5.8194816178314603</v>
      </c>
      <c r="O110" s="55">
        <f ca="1">DSUM($A$80:$Z$92,O$80,$C$101:$D110)</f>
        <v>5.7336736645263899</v>
      </c>
      <c r="P110" s="55">
        <f ca="1">DSUM($A$80:$Z$92,P$80,$C$101:$D110)</f>
        <v>5.6580813386157409</v>
      </c>
      <c r="Q110" s="55">
        <f ca="1">DSUM($A$80:$Z$92,Q$80,$C$101:$D110)</f>
        <v>5.5916958782079007</v>
      </c>
      <c r="R110" s="55">
        <f ca="1">DSUM($A$80:$Z$92,R$80,$C$101:$D110)</f>
        <v>5.5253343604875553</v>
      </c>
      <c r="S110" s="55">
        <f ca="1">DSUM($A$80:$Z$92,S$80,$C$101:$D110)</f>
        <v>5.466392606289471</v>
      </c>
      <c r="T110" s="55">
        <f ca="1">DSUM($A$80:$Z$92,T$80,$C$101:$D110)</f>
        <v>5.4040689779783389</v>
      </c>
      <c r="U110" s="55">
        <f ca="1">DSUM($A$80:$Z$92,U$80,$C$101:$D110)</f>
        <v>5.3263091075605971</v>
      </c>
      <c r="V110" s="55">
        <f ca="1">DSUM($A$80:$Z$92,V$80,$C$101:$D110)</f>
        <v>5.2457789360179996</v>
      </c>
      <c r="W110" s="55">
        <f ca="1">DSUM($A$80:$Z$92,W$80,$C$101:$D110)</f>
        <v>5.1716017190134798</v>
      </c>
      <c r="X110" s="55">
        <f ca="1">DSUM($A$80:$Z$92,X$80,$C$101:$D110)</f>
        <v>5.1002179599130217</v>
      </c>
      <c r="Y110" s="55">
        <f ca="1">DSUM($A$80:$Z$92,Y$80,$C$101:$D110)</f>
        <v>5.0860498690691767</v>
      </c>
      <c r="Z110" s="36">
        <f ca="1">DSUM($A$80:$Z$92,Z$80,$C$101:$D110)</f>
        <v>23.593041700948572</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c r="B111" s="9" t="s">
        <v>95</v>
      </c>
      <c r="C111" s="58" t="s">
        <v>96</v>
      </c>
      <c r="D111" s="58" t="s">
        <v>97</v>
      </c>
      <c r="F111" s="55">
        <f ca="1">DSUM($A$80:$Z$92,F$80,$C$101:$D111)</f>
        <v>2.7322610992926513</v>
      </c>
      <c r="G111" s="55">
        <f ca="1">DSUM($A$80:$Z$92,G$80,$C$101:$D111)</f>
        <v>3.9570653052329523</v>
      </c>
      <c r="H111" s="55">
        <f ca="1">DSUM($A$80:$Z$92,H$80,$C$101:$D111)</f>
        <v>4.7358754311612747</v>
      </c>
      <c r="I111" s="55">
        <f ca="1">DSUM($A$80:$Z$92,I$80,$C$101:$D111)</f>
        <v>5.2016589457314373</v>
      </c>
      <c r="J111" s="55">
        <f ca="1">DSUM($A$80:$Z$92,J$80,$C$101:$D111)</f>
        <v>6.0322601424427411</v>
      </c>
      <c r="K111" s="55">
        <f ca="1">DSUM($A$80:$Z$92,K$80,$C$101:$D111)</f>
        <v>6.0586774093115503</v>
      </c>
      <c r="L111" s="55">
        <f ca="1">DSUM($A$80:$Z$92,L$80,$C$101:$D111)</f>
        <v>5.9998560145541351</v>
      </c>
      <c r="M111" s="55">
        <f ca="1">DSUM($A$80:$Z$92,M$80,$C$101:$D111)</f>
        <v>5.914396664313033</v>
      </c>
      <c r="N111" s="55">
        <f ca="1">DSUM($A$80:$Z$92,N$80,$C$101:$D111)</f>
        <v>5.8194816178314603</v>
      </c>
      <c r="O111" s="55">
        <f ca="1">DSUM($A$80:$Z$92,O$80,$C$101:$D111)</f>
        <v>5.7336736645263899</v>
      </c>
      <c r="P111" s="55">
        <f ca="1">DSUM($A$80:$Z$92,P$80,$C$101:$D111)</f>
        <v>5.6580813386157409</v>
      </c>
      <c r="Q111" s="55">
        <f ca="1">DSUM($A$80:$Z$92,Q$80,$C$101:$D111)</f>
        <v>5.5916958782079007</v>
      </c>
      <c r="R111" s="55">
        <f ca="1">DSUM($A$80:$Z$92,R$80,$C$101:$D111)</f>
        <v>5.5253343604875553</v>
      </c>
      <c r="S111" s="55">
        <f ca="1">DSUM($A$80:$Z$92,S$80,$C$101:$D111)</f>
        <v>5.466392606289471</v>
      </c>
      <c r="T111" s="55">
        <f ca="1">DSUM($A$80:$Z$92,T$80,$C$101:$D111)</f>
        <v>5.4040689779783389</v>
      </c>
      <c r="U111" s="55">
        <f ca="1">DSUM($A$80:$Z$92,U$80,$C$101:$D111)</f>
        <v>5.3263091075605971</v>
      </c>
      <c r="V111" s="55">
        <f ca="1">DSUM($A$80:$Z$92,V$80,$C$101:$D111)</f>
        <v>5.2457789360179996</v>
      </c>
      <c r="W111" s="55">
        <f ca="1">DSUM($A$80:$Z$92,W$80,$C$101:$D111)</f>
        <v>5.1716017190134798</v>
      </c>
      <c r="X111" s="55">
        <f ca="1">DSUM($A$80:$Z$92,X$80,$C$101:$D111)</f>
        <v>5.1002179599130217</v>
      </c>
      <c r="Y111" s="55">
        <f ca="1">DSUM($A$80:$Z$92,Y$80,$C$101:$D111)</f>
        <v>5.0860498690691767</v>
      </c>
      <c r="Z111" s="36">
        <f ca="1">DSUM($A$80:$Z$92,Z$80,$C$101:$D111)</f>
        <v>23.593041700948572</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c r="B112" s="9" t="s">
        <v>98</v>
      </c>
      <c r="C112" s="58" t="s">
        <v>99</v>
      </c>
      <c r="D112" s="58" t="s">
        <v>100</v>
      </c>
      <c r="F112" s="55">
        <f ca="1">DSUM($A$80:$Z$92,F$80,$C$101:$D112)</f>
        <v>2.7322610992926513</v>
      </c>
      <c r="G112" s="55">
        <f ca="1">DSUM($A$80:$Z$92,G$80,$C$101:$D112)</f>
        <v>3.9570653052329523</v>
      </c>
      <c r="H112" s="55">
        <f ca="1">DSUM($A$80:$Z$92,H$80,$C$101:$D112)</f>
        <v>4.7358754311612747</v>
      </c>
      <c r="I112" s="55">
        <f ca="1">DSUM($A$80:$Z$92,I$80,$C$101:$D112)</f>
        <v>5.2016589457314373</v>
      </c>
      <c r="J112" s="55">
        <f ca="1">DSUM($A$80:$Z$92,J$80,$C$101:$D112)</f>
        <v>6.0322601424427411</v>
      </c>
      <c r="K112" s="55">
        <f ca="1">DSUM($A$80:$Z$92,K$80,$C$101:$D112)</f>
        <v>6.0586774093115503</v>
      </c>
      <c r="L112" s="55">
        <f ca="1">DSUM($A$80:$Z$92,L$80,$C$101:$D112)</f>
        <v>5.9998560145541351</v>
      </c>
      <c r="M112" s="55">
        <f ca="1">DSUM($A$80:$Z$92,M$80,$C$101:$D112)</f>
        <v>5.914396664313033</v>
      </c>
      <c r="N112" s="55">
        <f ca="1">DSUM($A$80:$Z$92,N$80,$C$101:$D112)</f>
        <v>5.8194816178314603</v>
      </c>
      <c r="O112" s="55">
        <f ca="1">DSUM($A$80:$Z$92,O$80,$C$101:$D112)</f>
        <v>5.7336736645263899</v>
      </c>
      <c r="P112" s="55">
        <f ca="1">DSUM($A$80:$Z$92,P$80,$C$101:$D112)</f>
        <v>5.6580813386157409</v>
      </c>
      <c r="Q112" s="55">
        <f ca="1">DSUM($A$80:$Z$92,Q$80,$C$101:$D112)</f>
        <v>5.5916958782079007</v>
      </c>
      <c r="R112" s="55">
        <f ca="1">DSUM($A$80:$Z$92,R$80,$C$101:$D112)</f>
        <v>5.5253343604875553</v>
      </c>
      <c r="S112" s="55">
        <f ca="1">DSUM($A$80:$Z$92,S$80,$C$101:$D112)</f>
        <v>5.466392606289471</v>
      </c>
      <c r="T112" s="55">
        <f ca="1">DSUM($A$80:$Z$92,T$80,$C$101:$D112)</f>
        <v>5.4040689779783389</v>
      </c>
      <c r="U112" s="55">
        <f ca="1">DSUM($A$80:$Z$92,U$80,$C$101:$D112)</f>
        <v>5.3263091075605971</v>
      </c>
      <c r="V112" s="55">
        <f ca="1">DSUM($A$80:$Z$92,V$80,$C$101:$D112)</f>
        <v>5.2457789360179996</v>
      </c>
      <c r="W112" s="55">
        <f ca="1">DSUM($A$80:$Z$92,W$80,$C$101:$D112)</f>
        <v>5.1716017190134798</v>
      </c>
      <c r="X112" s="55">
        <f ca="1">DSUM($A$80:$Z$92,X$80,$C$101:$D112)</f>
        <v>5.1002179599130217</v>
      </c>
      <c r="Y112" s="55">
        <f ca="1">DSUM($A$80:$Z$92,Y$80,$C$101:$D112)</f>
        <v>5.0860498690691767</v>
      </c>
      <c r="Z112" s="36">
        <f ca="1">DSUM($A$80:$Z$92,Z$80,$C$101:$D112)</f>
        <v>23.593041700948572</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9" t="s">
        <v>101</v>
      </c>
      <c r="C113" s="58" t="s">
        <v>102</v>
      </c>
      <c r="D113" s="58" t="s">
        <v>103</v>
      </c>
      <c r="F113" s="55">
        <f ca="1">DSUM($A$80:$Z$92,F$80,$C$101:$D113)</f>
        <v>2.7322610992926513</v>
      </c>
      <c r="G113" s="55">
        <f ca="1">DSUM($A$80:$Z$92,G$80,$C$101:$D113)</f>
        <v>3.9570653052329523</v>
      </c>
      <c r="H113" s="55">
        <f ca="1">DSUM($A$80:$Z$92,H$80,$C$101:$D113)</f>
        <v>4.7358754311612747</v>
      </c>
      <c r="I113" s="55">
        <f ca="1">DSUM($A$80:$Z$92,I$80,$C$101:$D113)</f>
        <v>5.2016589457314373</v>
      </c>
      <c r="J113" s="55">
        <f ca="1">DSUM($A$80:$Z$92,J$80,$C$101:$D113)</f>
        <v>6.0322601424427411</v>
      </c>
      <c r="K113" s="55">
        <f ca="1">DSUM($A$80:$Z$92,K$80,$C$101:$D113)</f>
        <v>6.0586774093115503</v>
      </c>
      <c r="L113" s="55">
        <f ca="1">DSUM($A$80:$Z$92,L$80,$C$101:$D113)</f>
        <v>5.9998560145541351</v>
      </c>
      <c r="M113" s="55">
        <f ca="1">DSUM($A$80:$Z$92,M$80,$C$101:$D113)</f>
        <v>5.914396664313033</v>
      </c>
      <c r="N113" s="55">
        <f ca="1">DSUM($A$80:$Z$92,N$80,$C$101:$D113)</f>
        <v>5.8194816178314603</v>
      </c>
      <c r="O113" s="55">
        <f ca="1">DSUM($A$80:$Z$92,O$80,$C$101:$D113)</f>
        <v>5.7336736645263899</v>
      </c>
      <c r="P113" s="55">
        <f ca="1">DSUM($A$80:$Z$92,P$80,$C$101:$D113)</f>
        <v>5.6580813386157409</v>
      </c>
      <c r="Q113" s="55">
        <f ca="1">DSUM($A$80:$Z$92,Q$80,$C$101:$D113)</f>
        <v>5.5916958782079007</v>
      </c>
      <c r="R113" s="55">
        <f ca="1">DSUM($A$80:$Z$92,R$80,$C$101:$D113)</f>
        <v>5.5253343604875553</v>
      </c>
      <c r="S113" s="55">
        <f ca="1">DSUM($A$80:$Z$92,S$80,$C$101:$D113)</f>
        <v>5.466392606289471</v>
      </c>
      <c r="T113" s="55">
        <f ca="1">DSUM($A$80:$Z$92,T$80,$C$101:$D113)</f>
        <v>5.4040689779783389</v>
      </c>
      <c r="U113" s="55">
        <f ca="1">DSUM($A$80:$Z$92,U$80,$C$101:$D113)</f>
        <v>5.3263091075605971</v>
      </c>
      <c r="V113" s="55">
        <f ca="1">DSUM($A$80:$Z$92,V$80,$C$101:$D113)</f>
        <v>5.2457789360179996</v>
      </c>
      <c r="W113" s="55">
        <f ca="1">DSUM($A$80:$Z$92,W$80,$C$101:$D113)</f>
        <v>5.1716017190134798</v>
      </c>
      <c r="X113" s="55">
        <f ca="1">DSUM($A$80:$Z$92,X$80,$C$101:$D113)</f>
        <v>5.1002179599130217</v>
      </c>
      <c r="Y113" s="55">
        <f ca="1">DSUM($A$80:$Z$92,Y$80,$C$101:$D113)</f>
        <v>5.0860498690691767</v>
      </c>
      <c r="Z113" s="36">
        <f ca="1">DSUM($A$80:$Z$92,Z$80,$C$101:$D113)</f>
        <v>23.593041700948572</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9" t="s">
        <v>104</v>
      </c>
      <c r="C114" s="58" t="s">
        <v>105</v>
      </c>
      <c r="D114" s="58" t="s">
        <v>106</v>
      </c>
      <c r="F114" s="55">
        <f ca="1">DSUM($A$80:$Z$92,F$80,$C$101:$D114)</f>
        <v>2.7322610992926513</v>
      </c>
      <c r="G114" s="55">
        <f ca="1">DSUM($A$80:$Z$92,G$80,$C$101:$D114)</f>
        <v>3.9570653052329523</v>
      </c>
      <c r="H114" s="55">
        <f ca="1">DSUM($A$80:$Z$92,H$80,$C$101:$D114)</f>
        <v>4.7358754311612747</v>
      </c>
      <c r="I114" s="55">
        <f ca="1">DSUM($A$80:$Z$92,I$80,$C$101:$D114)</f>
        <v>5.2016589457314373</v>
      </c>
      <c r="J114" s="55">
        <f ca="1">DSUM($A$80:$Z$92,J$80,$C$101:$D114)</f>
        <v>6.0322601424427411</v>
      </c>
      <c r="K114" s="55">
        <f ca="1">DSUM($A$80:$Z$92,K$80,$C$101:$D114)</f>
        <v>6.0586774093115503</v>
      </c>
      <c r="L114" s="55">
        <f ca="1">DSUM($A$80:$Z$92,L$80,$C$101:$D114)</f>
        <v>5.9998560145541351</v>
      </c>
      <c r="M114" s="55">
        <f ca="1">DSUM($A$80:$Z$92,M$80,$C$101:$D114)</f>
        <v>5.914396664313033</v>
      </c>
      <c r="N114" s="55">
        <f ca="1">DSUM($A$80:$Z$92,N$80,$C$101:$D114)</f>
        <v>5.8194816178314603</v>
      </c>
      <c r="O114" s="55">
        <f ca="1">DSUM($A$80:$Z$92,O$80,$C$101:$D114)</f>
        <v>5.7336736645263899</v>
      </c>
      <c r="P114" s="55">
        <f ca="1">DSUM($A$80:$Z$92,P$80,$C$101:$D114)</f>
        <v>5.6580813386157409</v>
      </c>
      <c r="Q114" s="55">
        <f ca="1">DSUM($A$80:$Z$92,Q$80,$C$101:$D114)</f>
        <v>5.5916958782079007</v>
      </c>
      <c r="R114" s="55">
        <f ca="1">DSUM($A$80:$Z$92,R$80,$C$101:$D114)</f>
        <v>5.5253343604875553</v>
      </c>
      <c r="S114" s="55">
        <f ca="1">DSUM($A$80:$Z$92,S$80,$C$101:$D114)</f>
        <v>5.466392606289471</v>
      </c>
      <c r="T114" s="55">
        <f ca="1">DSUM($A$80:$Z$92,T$80,$C$101:$D114)</f>
        <v>5.4040689779783389</v>
      </c>
      <c r="U114" s="55">
        <f ca="1">DSUM($A$80:$Z$92,U$80,$C$101:$D114)</f>
        <v>5.3263091075605971</v>
      </c>
      <c r="V114" s="55">
        <f ca="1">DSUM($A$80:$Z$92,V$80,$C$101:$D114)</f>
        <v>5.2457789360179996</v>
      </c>
      <c r="W114" s="55">
        <f ca="1">DSUM($A$80:$Z$92,W$80,$C$101:$D114)</f>
        <v>5.1716017190134798</v>
      </c>
      <c r="X114" s="55">
        <f ca="1">DSUM($A$80:$Z$92,X$80,$C$101:$D114)</f>
        <v>5.1002179599130217</v>
      </c>
      <c r="Y114" s="55">
        <f ca="1">DSUM($A$80:$Z$92,Y$80,$C$101:$D114)</f>
        <v>5.0860498690691767</v>
      </c>
      <c r="Z114" s="36">
        <f ca="1">DSUM($A$80:$Z$92,Z$80,$C$101:$D114)</f>
        <v>23.593041700948572</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9" t="s">
        <v>107</v>
      </c>
      <c r="C115" s="58" t="s">
        <v>108</v>
      </c>
      <c r="D115" s="58" t="s">
        <v>109</v>
      </c>
      <c r="F115" s="55">
        <f ca="1">DSUM($A$80:$Z$92,F$80,$C$101:$D115)</f>
        <v>2.7322610992926513</v>
      </c>
      <c r="G115" s="55">
        <f ca="1">DSUM($A$80:$Z$92,G$80,$C$101:$D115)</f>
        <v>3.9570653052329523</v>
      </c>
      <c r="H115" s="55">
        <f ca="1">DSUM($A$80:$Z$92,H$80,$C$101:$D115)</f>
        <v>4.7358754311612747</v>
      </c>
      <c r="I115" s="55">
        <f ca="1">DSUM($A$80:$Z$92,I$80,$C$101:$D115)</f>
        <v>5.2016589457314373</v>
      </c>
      <c r="J115" s="55">
        <f ca="1">DSUM($A$80:$Z$92,J$80,$C$101:$D115)</f>
        <v>6.0322601424427411</v>
      </c>
      <c r="K115" s="55">
        <f ca="1">DSUM($A$80:$Z$92,K$80,$C$101:$D115)</f>
        <v>6.0586774093115503</v>
      </c>
      <c r="L115" s="55">
        <f ca="1">DSUM($A$80:$Z$92,L$80,$C$101:$D115)</f>
        <v>5.9998560145541351</v>
      </c>
      <c r="M115" s="55">
        <f ca="1">DSUM($A$80:$Z$92,M$80,$C$101:$D115)</f>
        <v>5.914396664313033</v>
      </c>
      <c r="N115" s="55">
        <f ca="1">DSUM($A$80:$Z$92,N$80,$C$101:$D115)</f>
        <v>5.8194816178314603</v>
      </c>
      <c r="O115" s="55">
        <f ca="1">DSUM($A$80:$Z$92,O$80,$C$101:$D115)</f>
        <v>5.7336736645263899</v>
      </c>
      <c r="P115" s="55">
        <f ca="1">DSUM($A$80:$Z$92,P$80,$C$101:$D115)</f>
        <v>5.6580813386157409</v>
      </c>
      <c r="Q115" s="55">
        <f ca="1">DSUM($A$80:$Z$92,Q$80,$C$101:$D115)</f>
        <v>5.5916958782079007</v>
      </c>
      <c r="R115" s="55">
        <f ca="1">DSUM($A$80:$Z$92,R$80,$C$101:$D115)</f>
        <v>5.5253343604875553</v>
      </c>
      <c r="S115" s="55">
        <f ca="1">DSUM($A$80:$Z$92,S$80,$C$101:$D115)</f>
        <v>5.466392606289471</v>
      </c>
      <c r="T115" s="55">
        <f ca="1">DSUM($A$80:$Z$92,T$80,$C$101:$D115)</f>
        <v>5.4040689779783389</v>
      </c>
      <c r="U115" s="55">
        <f ca="1">DSUM($A$80:$Z$92,U$80,$C$101:$D115)</f>
        <v>5.3263091075605971</v>
      </c>
      <c r="V115" s="55">
        <f ca="1">DSUM($A$80:$Z$92,V$80,$C$101:$D115)</f>
        <v>5.2457789360179996</v>
      </c>
      <c r="W115" s="55">
        <f ca="1">DSUM($A$80:$Z$92,W$80,$C$101:$D115)</f>
        <v>5.1716017190134798</v>
      </c>
      <c r="X115" s="55">
        <f ca="1">DSUM($A$80:$Z$92,X$80,$C$101:$D115)</f>
        <v>5.1002179599130217</v>
      </c>
      <c r="Y115" s="55">
        <f ca="1">DSUM($A$80:$Z$92,Y$80,$C$101:$D115)</f>
        <v>5.0860498690691767</v>
      </c>
      <c r="Z115" s="36">
        <f ca="1">DSUM($A$80:$Z$92,Z$80,$C$101:$D115)</f>
        <v>23.593041700948572</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9" t="s">
        <v>110</v>
      </c>
      <c r="C116" s="58" t="s">
        <v>111</v>
      </c>
      <c r="D116" s="58" t="s">
        <v>112</v>
      </c>
      <c r="F116" s="55">
        <f ca="1">DSUM($A$80:$Z$92,F$80,$C$101:$D116)</f>
        <v>2.7322610992926513</v>
      </c>
      <c r="G116" s="55">
        <f ca="1">DSUM($A$80:$Z$92,G$80,$C$101:$D116)</f>
        <v>3.9570653052329523</v>
      </c>
      <c r="H116" s="55">
        <f ca="1">DSUM($A$80:$Z$92,H$80,$C$101:$D116)</f>
        <v>4.7358754311612747</v>
      </c>
      <c r="I116" s="55">
        <f ca="1">DSUM($A$80:$Z$92,I$80,$C$101:$D116)</f>
        <v>5.2016589457314373</v>
      </c>
      <c r="J116" s="55">
        <f ca="1">DSUM($A$80:$Z$92,J$80,$C$101:$D116)</f>
        <v>6.0322601424427411</v>
      </c>
      <c r="K116" s="55">
        <f ca="1">DSUM($A$80:$Z$92,K$80,$C$101:$D116)</f>
        <v>6.0586774093115503</v>
      </c>
      <c r="L116" s="55">
        <f ca="1">DSUM($A$80:$Z$92,L$80,$C$101:$D116)</f>
        <v>5.9998560145541351</v>
      </c>
      <c r="M116" s="55">
        <f ca="1">DSUM($A$80:$Z$92,M$80,$C$101:$D116)</f>
        <v>5.914396664313033</v>
      </c>
      <c r="N116" s="55">
        <f ca="1">DSUM($A$80:$Z$92,N$80,$C$101:$D116)</f>
        <v>5.8194816178314603</v>
      </c>
      <c r="O116" s="55">
        <f ca="1">DSUM($A$80:$Z$92,O$80,$C$101:$D116)</f>
        <v>5.7336736645263899</v>
      </c>
      <c r="P116" s="55">
        <f ca="1">DSUM($A$80:$Z$92,P$80,$C$101:$D116)</f>
        <v>5.6580813386157409</v>
      </c>
      <c r="Q116" s="55">
        <f ca="1">DSUM($A$80:$Z$92,Q$80,$C$101:$D116)</f>
        <v>5.5916958782079007</v>
      </c>
      <c r="R116" s="55">
        <f ca="1">DSUM($A$80:$Z$92,R$80,$C$101:$D116)</f>
        <v>5.5253343604875553</v>
      </c>
      <c r="S116" s="55">
        <f ca="1">DSUM($A$80:$Z$92,S$80,$C$101:$D116)</f>
        <v>5.466392606289471</v>
      </c>
      <c r="T116" s="55">
        <f ca="1">DSUM($A$80:$Z$92,T$80,$C$101:$D116)</f>
        <v>5.4040689779783389</v>
      </c>
      <c r="U116" s="55">
        <f ca="1">DSUM($A$80:$Z$92,U$80,$C$101:$D116)</f>
        <v>5.3263091075605971</v>
      </c>
      <c r="V116" s="55">
        <f ca="1">DSUM($A$80:$Z$92,V$80,$C$101:$D116)</f>
        <v>5.2457789360179996</v>
      </c>
      <c r="W116" s="55">
        <f ca="1">DSUM($A$80:$Z$92,W$80,$C$101:$D116)</f>
        <v>5.1716017190134798</v>
      </c>
      <c r="X116" s="55">
        <f ca="1">DSUM($A$80:$Z$92,X$80,$C$101:$D116)</f>
        <v>5.1002179599130217</v>
      </c>
      <c r="Y116" s="55">
        <f ca="1">DSUM($A$80:$Z$92,Y$80,$C$101:$D116)</f>
        <v>5.0860498690691767</v>
      </c>
      <c r="Z116" s="36">
        <f ca="1">DSUM($A$80:$Z$92,Z$80,$C$101:$D116)</f>
        <v>23.593041700948572</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9" t="s">
        <v>113</v>
      </c>
      <c r="C117" s="58" t="s">
        <v>114</v>
      </c>
      <c r="D117" s="58" t="s">
        <v>115</v>
      </c>
      <c r="F117" s="55">
        <f ca="1">DSUM($A$80:$Z$92,F$80,$C$101:$D117)</f>
        <v>2.7322610992926513</v>
      </c>
      <c r="G117" s="55">
        <f ca="1">DSUM($A$80:$Z$92,G$80,$C$101:$D117)</f>
        <v>3.9570653052329523</v>
      </c>
      <c r="H117" s="55">
        <f ca="1">DSUM($A$80:$Z$92,H$80,$C$101:$D117)</f>
        <v>4.7358754311612747</v>
      </c>
      <c r="I117" s="55">
        <f ca="1">DSUM($A$80:$Z$92,I$80,$C$101:$D117)</f>
        <v>5.2016589457314373</v>
      </c>
      <c r="J117" s="55">
        <f ca="1">DSUM($A$80:$Z$92,J$80,$C$101:$D117)</f>
        <v>6.0322601424427411</v>
      </c>
      <c r="K117" s="55">
        <f ca="1">DSUM($A$80:$Z$92,K$80,$C$101:$D117)</f>
        <v>6.0586774093115503</v>
      </c>
      <c r="L117" s="55">
        <f ca="1">DSUM($A$80:$Z$92,L$80,$C$101:$D117)</f>
        <v>5.9998560145541351</v>
      </c>
      <c r="M117" s="55">
        <f ca="1">DSUM($A$80:$Z$92,M$80,$C$101:$D117)</f>
        <v>5.914396664313033</v>
      </c>
      <c r="N117" s="55">
        <f ca="1">DSUM($A$80:$Z$92,N$80,$C$101:$D117)</f>
        <v>5.8194816178314603</v>
      </c>
      <c r="O117" s="55">
        <f ca="1">DSUM($A$80:$Z$92,O$80,$C$101:$D117)</f>
        <v>5.7336736645263899</v>
      </c>
      <c r="P117" s="55">
        <f ca="1">DSUM($A$80:$Z$92,P$80,$C$101:$D117)</f>
        <v>5.6580813386157409</v>
      </c>
      <c r="Q117" s="55">
        <f ca="1">DSUM($A$80:$Z$92,Q$80,$C$101:$D117)</f>
        <v>5.5916958782079007</v>
      </c>
      <c r="R117" s="55">
        <f ca="1">DSUM($A$80:$Z$92,R$80,$C$101:$D117)</f>
        <v>5.5253343604875553</v>
      </c>
      <c r="S117" s="55">
        <f ca="1">DSUM($A$80:$Z$92,S$80,$C$101:$D117)</f>
        <v>5.466392606289471</v>
      </c>
      <c r="T117" s="55">
        <f ca="1">DSUM($A$80:$Z$92,T$80,$C$101:$D117)</f>
        <v>5.4040689779783389</v>
      </c>
      <c r="U117" s="55">
        <f ca="1">DSUM($A$80:$Z$92,U$80,$C$101:$D117)</f>
        <v>5.3263091075605971</v>
      </c>
      <c r="V117" s="55">
        <f ca="1">DSUM($A$80:$Z$92,V$80,$C$101:$D117)</f>
        <v>5.2457789360179996</v>
      </c>
      <c r="W117" s="55">
        <f ca="1">DSUM($A$80:$Z$92,W$80,$C$101:$D117)</f>
        <v>5.1716017190134798</v>
      </c>
      <c r="X117" s="55">
        <f ca="1">DSUM($A$80:$Z$92,X$80,$C$101:$D117)</f>
        <v>5.1002179599130217</v>
      </c>
      <c r="Y117" s="55">
        <f ca="1">DSUM($A$80:$Z$92,Y$80,$C$101:$D117)</f>
        <v>5.0860498690691767</v>
      </c>
      <c r="Z117" s="36">
        <f ca="1">DSUM($A$80:$Z$92,Z$80,$C$101:$D117)</f>
        <v>23.593041700948572</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9" t="s">
        <v>116</v>
      </c>
      <c r="C118" s="58" t="s">
        <v>117</v>
      </c>
      <c r="D118" s="58" t="s">
        <v>118</v>
      </c>
      <c r="F118" s="55">
        <f ca="1">DSUM($A$80:$Z$92,F$80,$C$101:$D118)</f>
        <v>2.7322610992926513</v>
      </c>
      <c r="G118" s="55">
        <f ca="1">DSUM($A$80:$Z$92,G$80,$C$101:$D118)</f>
        <v>3.9570653052329523</v>
      </c>
      <c r="H118" s="55">
        <f ca="1">DSUM($A$80:$Z$92,H$80,$C$101:$D118)</f>
        <v>4.7358754311612747</v>
      </c>
      <c r="I118" s="55">
        <f ca="1">DSUM($A$80:$Z$92,I$80,$C$101:$D118)</f>
        <v>5.2016589457314373</v>
      </c>
      <c r="J118" s="55">
        <f ca="1">DSUM($A$80:$Z$92,J$80,$C$101:$D118)</f>
        <v>6.0322601424427411</v>
      </c>
      <c r="K118" s="55">
        <f ca="1">DSUM($A$80:$Z$92,K$80,$C$101:$D118)</f>
        <v>6.0586774093115503</v>
      </c>
      <c r="L118" s="55">
        <f ca="1">DSUM($A$80:$Z$92,L$80,$C$101:$D118)</f>
        <v>5.9998560145541351</v>
      </c>
      <c r="M118" s="55">
        <f ca="1">DSUM($A$80:$Z$92,M$80,$C$101:$D118)</f>
        <v>5.914396664313033</v>
      </c>
      <c r="N118" s="55">
        <f ca="1">DSUM($A$80:$Z$92,N$80,$C$101:$D118)</f>
        <v>5.8194816178314603</v>
      </c>
      <c r="O118" s="55">
        <f ca="1">DSUM($A$80:$Z$92,O$80,$C$101:$D118)</f>
        <v>5.7336736645263899</v>
      </c>
      <c r="P118" s="55">
        <f ca="1">DSUM($A$80:$Z$92,P$80,$C$101:$D118)</f>
        <v>5.6580813386157409</v>
      </c>
      <c r="Q118" s="55">
        <f ca="1">DSUM($A$80:$Z$92,Q$80,$C$101:$D118)</f>
        <v>5.5916958782079007</v>
      </c>
      <c r="R118" s="55">
        <f ca="1">DSUM($A$80:$Z$92,R$80,$C$101:$D118)</f>
        <v>5.5253343604875553</v>
      </c>
      <c r="S118" s="55">
        <f ca="1">DSUM($A$80:$Z$92,S$80,$C$101:$D118)</f>
        <v>5.466392606289471</v>
      </c>
      <c r="T118" s="55">
        <f ca="1">DSUM($A$80:$Z$92,T$80,$C$101:$D118)</f>
        <v>5.4040689779783389</v>
      </c>
      <c r="U118" s="55">
        <f ca="1">DSUM($A$80:$Z$92,U$80,$C$101:$D118)</f>
        <v>5.3263091075605971</v>
      </c>
      <c r="V118" s="55">
        <f ca="1">DSUM($A$80:$Z$92,V$80,$C$101:$D118)</f>
        <v>5.2457789360179996</v>
      </c>
      <c r="W118" s="55">
        <f ca="1">DSUM($A$80:$Z$92,W$80,$C$101:$D118)</f>
        <v>5.1716017190134798</v>
      </c>
      <c r="X118" s="55">
        <f ca="1">DSUM($A$80:$Z$92,X$80,$C$101:$D118)</f>
        <v>5.1002179599130217</v>
      </c>
      <c r="Y118" s="55">
        <f ca="1">DSUM($A$80:$Z$92,Y$80,$C$101:$D118)</f>
        <v>5.0860498690691767</v>
      </c>
      <c r="Z118" s="36">
        <f ca="1">DSUM($A$80:$Z$92,Z$80,$C$101:$D118)</f>
        <v>23.593041700948572</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9" t="s">
        <v>119</v>
      </c>
      <c r="C119" s="58" t="s">
        <v>120</v>
      </c>
      <c r="D119" s="58" t="s">
        <v>121</v>
      </c>
      <c r="F119" s="55">
        <f ca="1">DSUM($A$80:$Z$92,F$80,$C$101:$D119)</f>
        <v>2.7322610992926513</v>
      </c>
      <c r="G119" s="55">
        <f ca="1">DSUM($A$80:$Z$92,G$80,$C$101:$D119)</f>
        <v>3.9570653052329523</v>
      </c>
      <c r="H119" s="55">
        <f ca="1">DSUM($A$80:$Z$92,H$80,$C$101:$D119)</f>
        <v>4.7358754311612747</v>
      </c>
      <c r="I119" s="55">
        <f ca="1">DSUM($A$80:$Z$92,I$80,$C$101:$D119)</f>
        <v>5.2016589457314373</v>
      </c>
      <c r="J119" s="55">
        <f ca="1">DSUM($A$80:$Z$92,J$80,$C$101:$D119)</f>
        <v>6.0322601424427411</v>
      </c>
      <c r="K119" s="55">
        <f ca="1">DSUM($A$80:$Z$92,K$80,$C$101:$D119)</f>
        <v>6.0586774093115503</v>
      </c>
      <c r="L119" s="55">
        <f ca="1">DSUM($A$80:$Z$92,L$80,$C$101:$D119)</f>
        <v>5.9998560145541351</v>
      </c>
      <c r="M119" s="55">
        <f ca="1">DSUM($A$80:$Z$92,M$80,$C$101:$D119)</f>
        <v>5.914396664313033</v>
      </c>
      <c r="N119" s="55">
        <f ca="1">DSUM($A$80:$Z$92,N$80,$C$101:$D119)</f>
        <v>5.8194816178314603</v>
      </c>
      <c r="O119" s="55">
        <f ca="1">DSUM($A$80:$Z$92,O$80,$C$101:$D119)</f>
        <v>5.7336736645263899</v>
      </c>
      <c r="P119" s="55">
        <f ca="1">DSUM($A$80:$Z$92,P$80,$C$101:$D119)</f>
        <v>5.6580813386157409</v>
      </c>
      <c r="Q119" s="55">
        <f ca="1">DSUM($A$80:$Z$92,Q$80,$C$101:$D119)</f>
        <v>5.5916958782079007</v>
      </c>
      <c r="R119" s="55">
        <f ca="1">DSUM($A$80:$Z$92,R$80,$C$101:$D119)</f>
        <v>5.5253343604875553</v>
      </c>
      <c r="S119" s="55">
        <f ca="1">DSUM($A$80:$Z$92,S$80,$C$101:$D119)</f>
        <v>5.466392606289471</v>
      </c>
      <c r="T119" s="55">
        <f ca="1">DSUM($A$80:$Z$92,T$80,$C$101:$D119)</f>
        <v>5.4040689779783389</v>
      </c>
      <c r="U119" s="55">
        <f ca="1">DSUM($A$80:$Z$92,U$80,$C$101:$D119)</f>
        <v>5.3263091075605971</v>
      </c>
      <c r="V119" s="55">
        <f ca="1">DSUM($A$80:$Z$92,V$80,$C$101:$D119)</f>
        <v>5.2457789360179996</v>
      </c>
      <c r="W119" s="55">
        <f ca="1">DSUM($A$80:$Z$92,W$80,$C$101:$D119)</f>
        <v>5.1716017190134798</v>
      </c>
      <c r="X119" s="55">
        <f ca="1">DSUM($A$80:$Z$92,X$80,$C$101:$D119)</f>
        <v>5.1002179599130217</v>
      </c>
      <c r="Y119" s="55">
        <f ca="1">DSUM($A$80:$Z$92,Y$80,$C$101:$D119)</f>
        <v>5.0860498690691767</v>
      </c>
      <c r="Z119" s="36">
        <f ca="1">DSUM($A$80:$Z$92,Z$80,$C$101:$D119)</f>
        <v>23.593041700948572</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9" t="s">
        <v>122</v>
      </c>
      <c r="C120" s="58" t="s">
        <v>123</v>
      </c>
      <c r="D120" s="58" t="s">
        <v>124</v>
      </c>
      <c r="F120" s="55">
        <f ca="1">DSUM($A$80:$Z$92,F$80,$C$101:$D120)</f>
        <v>2.7322610992926513</v>
      </c>
      <c r="G120" s="55">
        <f ca="1">DSUM($A$80:$Z$92,G$80,$C$101:$D120)</f>
        <v>3.9570653052329523</v>
      </c>
      <c r="H120" s="55">
        <f ca="1">DSUM($A$80:$Z$92,H$80,$C$101:$D120)</f>
        <v>4.7358754311612747</v>
      </c>
      <c r="I120" s="55">
        <f ca="1">DSUM($A$80:$Z$92,I$80,$C$101:$D120)</f>
        <v>5.2016589457314373</v>
      </c>
      <c r="J120" s="55">
        <f ca="1">DSUM($A$80:$Z$92,J$80,$C$101:$D120)</f>
        <v>6.0322601424427411</v>
      </c>
      <c r="K120" s="55">
        <f ca="1">DSUM($A$80:$Z$92,K$80,$C$101:$D120)</f>
        <v>6.0586774093115503</v>
      </c>
      <c r="L120" s="55">
        <f ca="1">DSUM($A$80:$Z$92,L$80,$C$101:$D120)</f>
        <v>5.9998560145541351</v>
      </c>
      <c r="M120" s="55">
        <f ca="1">DSUM($A$80:$Z$92,M$80,$C$101:$D120)</f>
        <v>5.914396664313033</v>
      </c>
      <c r="N120" s="55">
        <f ca="1">DSUM($A$80:$Z$92,N$80,$C$101:$D120)</f>
        <v>5.8194816178314603</v>
      </c>
      <c r="O120" s="55">
        <f ca="1">DSUM($A$80:$Z$92,O$80,$C$101:$D120)</f>
        <v>5.7336736645263899</v>
      </c>
      <c r="P120" s="55">
        <f ca="1">DSUM($A$80:$Z$92,P$80,$C$101:$D120)</f>
        <v>5.6580813386157409</v>
      </c>
      <c r="Q120" s="55">
        <f ca="1">DSUM($A$80:$Z$92,Q$80,$C$101:$D120)</f>
        <v>5.5916958782079007</v>
      </c>
      <c r="R120" s="55">
        <f ca="1">DSUM($A$80:$Z$92,R$80,$C$101:$D120)</f>
        <v>5.5253343604875553</v>
      </c>
      <c r="S120" s="55">
        <f ca="1">DSUM($A$80:$Z$92,S$80,$C$101:$D120)</f>
        <v>5.466392606289471</v>
      </c>
      <c r="T120" s="55">
        <f ca="1">DSUM($A$80:$Z$92,T$80,$C$101:$D120)</f>
        <v>5.4040689779783389</v>
      </c>
      <c r="U120" s="55">
        <f ca="1">DSUM($A$80:$Z$92,U$80,$C$101:$D120)</f>
        <v>5.3263091075605971</v>
      </c>
      <c r="V120" s="55">
        <f ca="1">DSUM($A$80:$Z$92,V$80,$C$101:$D120)</f>
        <v>5.2457789360179996</v>
      </c>
      <c r="W120" s="55">
        <f ca="1">DSUM($A$80:$Z$92,W$80,$C$101:$D120)</f>
        <v>5.1716017190134798</v>
      </c>
      <c r="X120" s="55">
        <f ca="1">DSUM($A$80:$Z$92,X$80,$C$101:$D120)</f>
        <v>5.1002179599130217</v>
      </c>
      <c r="Y120" s="55">
        <f ca="1">DSUM($A$80:$Z$92,Y$80,$C$101:$D120)</f>
        <v>5.0860498690691767</v>
      </c>
      <c r="Z120" s="36">
        <f ca="1">DSUM($A$80:$Z$92,Z$80,$C$101:$D120)</f>
        <v>23.593041700948572</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9" t="s">
        <v>125</v>
      </c>
      <c r="C121" s="58" t="s">
        <v>126</v>
      </c>
      <c r="D121" s="58" t="s">
        <v>127</v>
      </c>
      <c r="F121" s="55">
        <f ca="1">DSUM($A$80:$Z$92,F$80,$C$101:$D121)</f>
        <v>2.7322610992926513</v>
      </c>
      <c r="G121" s="55">
        <f ca="1">DSUM($A$80:$Z$92,G$80,$C$101:$D121)</f>
        <v>3.9570653052329523</v>
      </c>
      <c r="H121" s="55">
        <f ca="1">DSUM($A$80:$Z$92,H$80,$C$101:$D121)</f>
        <v>4.7358754311612747</v>
      </c>
      <c r="I121" s="55">
        <f ca="1">DSUM($A$80:$Z$92,I$80,$C$101:$D121)</f>
        <v>5.2016589457314373</v>
      </c>
      <c r="J121" s="55">
        <f ca="1">DSUM($A$80:$Z$92,J$80,$C$101:$D121)</f>
        <v>6.0322601424427411</v>
      </c>
      <c r="K121" s="55">
        <f ca="1">DSUM($A$80:$Z$92,K$80,$C$101:$D121)</f>
        <v>6.0586774093115503</v>
      </c>
      <c r="L121" s="55">
        <f ca="1">DSUM($A$80:$Z$92,L$80,$C$101:$D121)</f>
        <v>5.9998560145541351</v>
      </c>
      <c r="M121" s="55">
        <f ca="1">DSUM($A$80:$Z$92,M$80,$C$101:$D121)</f>
        <v>5.914396664313033</v>
      </c>
      <c r="N121" s="55">
        <f ca="1">DSUM($A$80:$Z$92,N$80,$C$101:$D121)</f>
        <v>5.8194816178314603</v>
      </c>
      <c r="O121" s="55">
        <f ca="1">DSUM($A$80:$Z$92,O$80,$C$101:$D121)</f>
        <v>5.7336736645263899</v>
      </c>
      <c r="P121" s="55">
        <f ca="1">DSUM($A$80:$Z$92,P$80,$C$101:$D121)</f>
        <v>5.6580813386157409</v>
      </c>
      <c r="Q121" s="55">
        <f ca="1">DSUM($A$80:$Z$92,Q$80,$C$101:$D121)</f>
        <v>5.5916958782079007</v>
      </c>
      <c r="R121" s="55">
        <f ca="1">DSUM($A$80:$Z$92,R$80,$C$101:$D121)</f>
        <v>5.5253343604875553</v>
      </c>
      <c r="S121" s="55">
        <f ca="1">DSUM($A$80:$Z$92,S$80,$C$101:$D121)</f>
        <v>5.466392606289471</v>
      </c>
      <c r="T121" s="55">
        <f ca="1">DSUM($A$80:$Z$92,T$80,$C$101:$D121)</f>
        <v>5.4040689779783389</v>
      </c>
      <c r="U121" s="55">
        <f ca="1">DSUM($A$80:$Z$92,U$80,$C$101:$D121)</f>
        <v>5.3263091075605971</v>
      </c>
      <c r="V121" s="55">
        <f ca="1">DSUM($A$80:$Z$92,V$80,$C$101:$D121)</f>
        <v>5.2457789360179996</v>
      </c>
      <c r="W121" s="55">
        <f ca="1">DSUM($A$80:$Z$92,W$80,$C$101:$D121)</f>
        <v>5.1716017190134798</v>
      </c>
      <c r="X121" s="55">
        <f ca="1">DSUM($A$80:$Z$92,X$80,$C$101:$D121)</f>
        <v>5.1002179599130217</v>
      </c>
      <c r="Y121" s="55">
        <f ca="1">DSUM($A$80:$Z$92,Y$80,$C$101:$D121)</f>
        <v>5.0860498690691767</v>
      </c>
      <c r="Z121" s="36">
        <f ca="1">DSUM($A$80:$Z$92,Z$80,$C$101:$D121)</f>
        <v>23.593041700948572</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9" t="s">
        <v>128</v>
      </c>
      <c r="C122" s="58" t="s">
        <v>129</v>
      </c>
      <c r="D122" s="58" t="s">
        <v>130</v>
      </c>
      <c r="F122" s="55">
        <f ca="1">DSUM($A$80:$Z$92,F$80,$C$101:$D122)</f>
        <v>2.7322610992926513</v>
      </c>
      <c r="G122" s="55">
        <f ca="1">DSUM($A$80:$Z$92,G$80,$C$101:$D122)</f>
        <v>3.9570653052329523</v>
      </c>
      <c r="H122" s="55">
        <f ca="1">DSUM($A$80:$Z$92,H$80,$C$101:$D122)</f>
        <v>4.7358754311612747</v>
      </c>
      <c r="I122" s="55">
        <f ca="1">DSUM($A$80:$Z$92,I$80,$C$101:$D122)</f>
        <v>5.2016589457314373</v>
      </c>
      <c r="J122" s="55">
        <f ca="1">DSUM($A$80:$Z$92,J$80,$C$101:$D122)</f>
        <v>6.0322601424427411</v>
      </c>
      <c r="K122" s="55">
        <f ca="1">DSUM($A$80:$Z$92,K$80,$C$101:$D122)</f>
        <v>6.0586774093115503</v>
      </c>
      <c r="L122" s="55">
        <f ca="1">DSUM($A$80:$Z$92,L$80,$C$101:$D122)</f>
        <v>5.9998560145541351</v>
      </c>
      <c r="M122" s="55">
        <f ca="1">DSUM($A$80:$Z$92,M$80,$C$101:$D122)</f>
        <v>5.914396664313033</v>
      </c>
      <c r="N122" s="55">
        <f ca="1">DSUM($A$80:$Z$92,N$80,$C$101:$D122)</f>
        <v>5.8194816178314603</v>
      </c>
      <c r="O122" s="55">
        <f ca="1">DSUM($A$80:$Z$92,O$80,$C$101:$D122)</f>
        <v>5.7336736645263899</v>
      </c>
      <c r="P122" s="55">
        <f ca="1">DSUM($A$80:$Z$92,P$80,$C$101:$D122)</f>
        <v>5.6580813386157409</v>
      </c>
      <c r="Q122" s="55">
        <f ca="1">DSUM($A$80:$Z$92,Q$80,$C$101:$D122)</f>
        <v>5.5916958782079007</v>
      </c>
      <c r="R122" s="55">
        <f ca="1">DSUM($A$80:$Z$92,R$80,$C$101:$D122)</f>
        <v>5.5253343604875553</v>
      </c>
      <c r="S122" s="55">
        <f ca="1">DSUM($A$80:$Z$92,S$80,$C$101:$D122)</f>
        <v>5.466392606289471</v>
      </c>
      <c r="T122" s="55">
        <f ca="1">DSUM($A$80:$Z$92,T$80,$C$101:$D122)</f>
        <v>5.4040689779783389</v>
      </c>
      <c r="U122" s="55">
        <f ca="1">DSUM($A$80:$Z$92,U$80,$C$101:$D122)</f>
        <v>5.3263091075605971</v>
      </c>
      <c r="V122" s="55">
        <f ca="1">DSUM($A$80:$Z$92,V$80,$C$101:$D122)</f>
        <v>5.2457789360179996</v>
      </c>
      <c r="W122" s="55">
        <f ca="1">DSUM($A$80:$Z$92,W$80,$C$101:$D122)</f>
        <v>5.1716017190134798</v>
      </c>
      <c r="X122" s="55">
        <f ca="1">DSUM($A$80:$Z$92,X$80,$C$101:$D122)</f>
        <v>5.1002179599130217</v>
      </c>
      <c r="Y122" s="55">
        <f ca="1">DSUM($A$80:$Z$92,Y$80,$C$101:$D122)</f>
        <v>5.0860498690691767</v>
      </c>
      <c r="Z122" s="36">
        <f ca="1">DSUM($A$80:$Z$92,Z$80,$C$101:$D122)</f>
        <v>23.593041700948572</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9" t="s">
        <v>534</v>
      </c>
      <c r="C123" s="58" t="s">
        <v>132</v>
      </c>
      <c r="D123" s="58" t="s">
        <v>535</v>
      </c>
      <c r="F123" s="55">
        <f ca="1">DSUM($A$80:$Z$92,F$80,$C$101:$D123)</f>
        <v>2.7322610992926513</v>
      </c>
      <c r="G123" s="55">
        <f ca="1">DSUM($A$80:$Z$92,G$80,$C$101:$D123)</f>
        <v>3.9570653052329523</v>
      </c>
      <c r="H123" s="55">
        <f ca="1">DSUM($A$80:$Z$92,H$80,$C$101:$D123)</f>
        <v>4.7358754311612747</v>
      </c>
      <c r="I123" s="55">
        <f ca="1">DSUM($A$80:$Z$92,I$80,$C$101:$D123)</f>
        <v>5.2016589457314373</v>
      </c>
      <c r="J123" s="55">
        <f ca="1">DSUM($A$80:$Z$92,J$80,$C$101:$D123)</f>
        <v>6.0322601424427411</v>
      </c>
      <c r="K123" s="55">
        <f ca="1">DSUM($A$80:$Z$92,K$80,$C$101:$D123)</f>
        <v>6.0586774093115503</v>
      </c>
      <c r="L123" s="55">
        <f ca="1">DSUM($A$80:$Z$92,L$80,$C$101:$D123)</f>
        <v>5.9998560145541351</v>
      </c>
      <c r="M123" s="55">
        <f ca="1">DSUM($A$80:$Z$92,M$80,$C$101:$D123)</f>
        <v>5.914396664313033</v>
      </c>
      <c r="N123" s="55">
        <f ca="1">DSUM($A$80:$Z$92,N$80,$C$101:$D123)</f>
        <v>5.8194816178314603</v>
      </c>
      <c r="O123" s="55">
        <f ca="1">DSUM($A$80:$Z$92,O$80,$C$101:$D123)</f>
        <v>5.7336736645263899</v>
      </c>
      <c r="P123" s="55">
        <f ca="1">DSUM($A$80:$Z$92,P$80,$C$101:$D123)</f>
        <v>5.6580813386157409</v>
      </c>
      <c r="Q123" s="55">
        <f ca="1">DSUM($A$80:$Z$92,Q$80,$C$101:$D123)</f>
        <v>5.5916958782079007</v>
      </c>
      <c r="R123" s="55">
        <f ca="1">DSUM($A$80:$Z$92,R$80,$C$101:$D123)</f>
        <v>5.5253343604875553</v>
      </c>
      <c r="S123" s="55">
        <f ca="1">DSUM($A$80:$Z$92,S$80,$C$101:$D123)</f>
        <v>5.466392606289471</v>
      </c>
      <c r="T123" s="55">
        <f ca="1">DSUM($A$80:$Z$92,T$80,$C$101:$D123)</f>
        <v>5.4040689779783389</v>
      </c>
      <c r="U123" s="55">
        <f ca="1">DSUM($A$80:$Z$92,U$80,$C$101:$D123)</f>
        <v>5.3263091075605971</v>
      </c>
      <c r="V123" s="55">
        <f ca="1">DSUM($A$80:$Z$92,V$80,$C$101:$D123)</f>
        <v>5.2457789360179996</v>
      </c>
      <c r="W123" s="55">
        <f ca="1">DSUM($A$80:$Z$92,W$80,$C$101:$D123)</f>
        <v>5.1716017190134798</v>
      </c>
      <c r="X123" s="55">
        <f ca="1">DSUM($A$80:$Z$92,X$80,$C$101:$D123)</f>
        <v>5.1002179599130217</v>
      </c>
      <c r="Y123" s="55">
        <f ca="1">DSUM($A$80:$Z$92,Y$80,$C$101:$D123)</f>
        <v>5.0860498690691767</v>
      </c>
      <c r="Z123" s="36">
        <f ca="1">DSUM($A$80:$Z$92,Z$80,$C$101:$D123)</f>
        <v>23.593041700948572</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9" t="s">
        <v>536</v>
      </c>
      <c r="C124" s="58" t="s">
        <v>537</v>
      </c>
      <c r="D124" s="58" t="s">
        <v>538</v>
      </c>
      <c r="F124" s="55">
        <f ca="1">DSUM($A$80:$Z$92,F$80,$C$101:$D124)</f>
        <v>2.7322610992926513</v>
      </c>
      <c r="G124" s="55">
        <f ca="1">DSUM($A$80:$Z$92,G$80,$C$101:$D124)</f>
        <v>3.9570653052329523</v>
      </c>
      <c r="H124" s="55">
        <f ca="1">DSUM($A$80:$Z$92,H$80,$C$101:$D124)</f>
        <v>4.7358754311612747</v>
      </c>
      <c r="I124" s="55">
        <f ca="1">DSUM($A$80:$Z$92,I$80,$C$101:$D124)</f>
        <v>5.2016589457314373</v>
      </c>
      <c r="J124" s="55">
        <f ca="1">DSUM($A$80:$Z$92,J$80,$C$101:$D124)</f>
        <v>6.0322601424427411</v>
      </c>
      <c r="K124" s="55">
        <f ca="1">DSUM($A$80:$Z$92,K$80,$C$101:$D124)</f>
        <v>6.0586774093115503</v>
      </c>
      <c r="L124" s="55">
        <f ca="1">DSUM($A$80:$Z$92,L$80,$C$101:$D124)</f>
        <v>5.9998560145541351</v>
      </c>
      <c r="M124" s="55">
        <f ca="1">DSUM($A$80:$Z$92,M$80,$C$101:$D124)</f>
        <v>5.914396664313033</v>
      </c>
      <c r="N124" s="55">
        <f ca="1">DSUM($A$80:$Z$92,N$80,$C$101:$D124)</f>
        <v>5.8194816178314603</v>
      </c>
      <c r="O124" s="55">
        <f ca="1">DSUM($A$80:$Z$92,O$80,$C$101:$D124)</f>
        <v>5.7336736645263899</v>
      </c>
      <c r="P124" s="55">
        <f ca="1">DSUM($A$80:$Z$92,P$80,$C$101:$D124)</f>
        <v>5.6580813386157409</v>
      </c>
      <c r="Q124" s="55">
        <f ca="1">DSUM($A$80:$Z$92,Q$80,$C$101:$D124)</f>
        <v>5.5916958782079007</v>
      </c>
      <c r="R124" s="55">
        <f ca="1">DSUM($A$80:$Z$92,R$80,$C$101:$D124)</f>
        <v>5.5253343604875553</v>
      </c>
      <c r="S124" s="55">
        <f ca="1">DSUM($A$80:$Z$92,S$80,$C$101:$D124)</f>
        <v>5.466392606289471</v>
      </c>
      <c r="T124" s="55">
        <f ca="1">DSUM($A$80:$Z$92,T$80,$C$101:$D124)</f>
        <v>5.4040689779783389</v>
      </c>
      <c r="U124" s="55">
        <f ca="1">DSUM($A$80:$Z$92,U$80,$C$101:$D124)</f>
        <v>5.3263091075605971</v>
      </c>
      <c r="V124" s="55">
        <f ca="1">DSUM($A$80:$Z$92,V$80,$C$101:$D124)</f>
        <v>5.2457789360179996</v>
      </c>
      <c r="W124" s="55">
        <f ca="1">DSUM($A$80:$Z$92,W$80,$C$101:$D124)</f>
        <v>5.1716017190134798</v>
      </c>
      <c r="X124" s="55">
        <f ca="1">DSUM($A$80:$Z$92,X$80,$C$101:$D124)</f>
        <v>5.1002179599130217</v>
      </c>
      <c r="Y124" s="55">
        <f ca="1">DSUM($A$80:$Z$92,Y$80,$C$101:$D124)</f>
        <v>5.0860498690691767</v>
      </c>
      <c r="Z124" s="36">
        <f ca="1">DSUM($A$80:$Z$92,Z$80,$C$101:$D124)</f>
        <v>23.593041700948572</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9" t="s">
        <v>539</v>
      </c>
      <c r="C125" s="58" t="s">
        <v>540</v>
      </c>
      <c r="D125" s="58" t="s">
        <v>541</v>
      </c>
      <c r="F125" s="55">
        <f ca="1">DSUM($A$80:$Z$92,F$80,$C$101:$D125)</f>
        <v>2.7322610992926513</v>
      </c>
      <c r="G125" s="55">
        <f ca="1">DSUM($A$80:$Z$92,G$80,$C$101:$D125)</f>
        <v>3.9570653052329523</v>
      </c>
      <c r="H125" s="55">
        <f ca="1">DSUM($A$80:$Z$92,H$80,$C$101:$D125)</f>
        <v>4.7358754311612747</v>
      </c>
      <c r="I125" s="55">
        <f ca="1">DSUM($A$80:$Z$92,I$80,$C$101:$D125)</f>
        <v>5.2016589457314373</v>
      </c>
      <c r="J125" s="55">
        <f ca="1">DSUM($A$80:$Z$92,J$80,$C$101:$D125)</f>
        <v>6.0322601424427411</v>
      </c>
      <c r="K125" s="55">
        <f ca="1">DSUM($A$80:$Z$92,K$80,$C$101:$D125)</f>
        <v>6.0586774093115503</v>
      </c>
      <c r="L125" s="55">
        <f ca="1">DSUM($A$80:$Z$92,L$80,$C$101:$D125)</f>
        <v>5.9998560145541351</v>
      </c>
      <c r="M125" s="55">
        <f ca="1">DSUM($A$80:$Z$92,M$80,$C$101:$D125)</f>
        <v>5.914396664313033</v>
      </c>
      <c r="N125" s="55">
        <f ca="1">DSUM($A$80:$Z$92,N$80,$C$101:$D125)</f>
        <v>5.8194816178314603</v>
      </c>
      <c r="O125" s="55">
        <f ca="1">DSUM($A$80:$Z$92,O$80,$C$101:$D125)</f>
        <v>5.7336736645263899</v>
      </c>
      <c r="P125" s="55">
        <f ca="1">DSUM($A$80:$Z$92,P$80,$C$101:$D125)</f>
        <v>5.6580813386157409</v>
      </c>
      <c r="Q125" s="55">
        <f ca="1">DSUM($A$80:$Z$92,Q$80,$C$101:$D125)</f>
        <v>5.5916958782079007</v>
      </c>
      <c r="R125" s="55">
        <f ca="1">DSUM($A$80:$Z$92,R$80,$C$101:$D125)</f>
        <v>5.5253343604875553</v>
      </c>
      <c r="S125" s="55">
        <f ca="1">DSUM($A$80:$Z$92,S$80,$C$101:$D125)</f>
        <v>5.466392606289471</v>
      </c>
      <c r="T125" s="55">
        <f ca="1">DSUM($A$80:$Z$92,T$80,$C$101:$D125)</f>
        <v>5.4040689779783389</v>
      </c>
      <c r="U125" s="55">
        <f ca="1">DSUM($A$80:$Z$92,U$80,$C$101:$D125)</f>
        <v>5.3263091075605971</v>
      </c>
      <c r="V125" s="55">
        <f ca="1">DSUM($A$80:$Z$92,V$80,$C$101:$D125)</f>
        <v>5.2457789360179996</v>
      </c>
      <c r="W125" s="55">
        <f ca="1">DSUM($A$80:$Z$92,W$80,$C$101:$D125)</f>
        <v>5.1716017190134798</v>
      </c>
      <c r="X125" s="55">
        <f ca="1">DSUM($A$80:$Z$92,X$80,$C$101:$D125)</f>
        <v>5.1002179599130217</v>
      </c>
      <c r="Y125" s="55">
        <f ca="1">DSUM($A$80:$Z$92,Y$80,$C$101:$D125)</f>
        <v>5.0860498690691767</v>
      </c>
      <c r="Z125" s="36">
        <f ca="1">DSUM($A$80:$Z$92,Z$80,$C$101:$D125)</f>
        <v>23.593041700948572</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9" t="s">
        <v>542</v>
      </c>
      <c r="C126" s="58" t="s">
        <v>543</v>
      </c>
      <c r="D126" s="58" t="s">
        <v>544</v>
      </c>
      <c r="F126" s="55">
        <f ca="1">DSUM($A$80:$Z$92,F$80,$C$101:$D126)</f>
        <v>2.7322610992926513</v>
      </c>
      <c r="G126" s="55">
        <f ca="1">DSUM($A$80:$Z$92,G$80,$C$101:$D126)</f>
        <v>3.9570653052329523</v>
      </c>
      <c r="H126" s="55">
        <f ca="1">DSUM($A$80:$Z$92,H$80,$C$101:$D126)</f>
        <v>4.7358754311612747</v>
      </c>
      <c r="I126" s="55">
        <f ca="1">DSUM($A$80:$Z$92,I$80,$C$101:$D126)</f>
        <v>5.2016589457314373</v>
      </c>
      <c r="J126" s="55">
        <f ca="1">DSUM($A$80:$Z$92,J$80,$C$101:$D126)</f>
        <v>6.0322601424427411</v>
      </c>
      <c r="K126" s="55">
        <f ca="1">DSUM($A$80:$Z$92,K$80,$C$101:$D126)</f>
        <v>6.0586774093115503</v>
      </c>
      <c r="L126" s="55">
        <f ca="1">DSUM($A$80:$Z$92,L$80,$C$101:$D126)</f>
        <v>5.9998560145541351</v>
      </c>
      <c r="M126" s="55">
        <f ca="1">DSUM($A$80:$Z$92,M$80,$C$101:$D126)</f>
        <v>5.914396664313033</v>
      </c>
      <c r="N126" s="55">
        <f ca="1">DSUM($A$80:$Z$92,N$80,$C$101:$D126)</f>
        <v>5.8194816178314603</v>
      </c>
      <c r="O126" s="55">
        <f ca="1">DSUM($A$80:$Z$92,O$80,$C$101:$D126)</f>
        <v>5.7336736645263899</v>
      </c>
      <c r="P126" s="55">
        <f ca="1">DSUM($A$80:$Z$92,P$80,$C$101:$D126)</f>
        <v>5.6580813386157409</v>
      </c>
      <c r="Q126" s="55">
        <f ca="1">DSUM($A$80:$Z$92,Q$80,$C$101:$D126)</f>
        <v>5.5916958782079007</v>
      </c>
      <c r="R126" s="55">
        <f ca="1">DSUM($A$80:$Z$92,R$80,$C$101:$D126)</f>
        <v>5.5253343604875553</v>
      </c>
      <c r="S126" s="55">
        <f ca="1">DSUM($A$80:$Z$92,S$80,$C$101:$D126)</f>
        <v>5.466392606289471</v>
      </c>
      <c r="T126" s="55">
        <f ca="1">DSUM($A$80:$Z$92,T$80,$C$101:$D126)</f>
        <v>5.4040689779783389</v>
      </c>
      <c r="U126" s="55">
        <f ca="1">DSUM($A$80:$Z$92,U$80,$C$101:$D126)</f>
        <v>5.3263091075605971</v>
      </c>
      <c r="V126" s="55">
        <f ca="1">DSUM($A$80:$Z$92,V$80,$C$101:$D126)</f>
        <v>5.2457789360179996</v>
      </c>
      <c r="W126" s="55">
        <f ca="1">DSUM($A$80:$Z$92,W$80,$C$101:$D126)</f>
        <v>5.1716017190134798</v>
      </c>
      <c r="X126" s="55">
        <f ca="1">DSUM($A$80:$Z$92,X$80,$C$101:$D126)</f>
        <v>5.1002179599130217</v>
      </c>
      <c r="Y126" s="55">
        <f ca="1">DSUM($A$80:$Z$92,Y$80,$C$101:$D126)</f>
        <v>5.0860498690691767</v>
      </c>
      <c r="Z126" s="36">
        <f ca="1">DSUM($A$80:$Z$92,Z$80,$C$101:$D126)</f>
        <v>23.593041700948572</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9" t="s">
        <v>545</v>
      </c>
      <c r="C127" s="58" t="s">
        <v>546</v>
      </c>
      <c r="D127" s="58" t="s">
        <v>547</v>
      </c>
      <c r="F127" s="55">
        <f ca="1">DSUM($A$80:$Z$92,F$80,$C$101:$D127)</f>
        <v>2.7322610992926513</v>
      </c>
      <c r="G127" s="55">
        <f ca="1">DSUM($A$80:$Z$92,G$80,$C$101:$D127)</f>
        <v>3.9570653052329523</v>
      </c>
      <c r="H127" s="55">
        <f ca="1">DSUM($A$80:$Z$92,H$80,$C$101:$D127)</f>
        <v>4.7358754311612747</v>
      </c>
      <c r="I127" s="55">
        <f ca="1">DSUM($A$80:$Z$92,I$80,$C$101:$D127)</f>
        <v>5.2016589457314373</v>
      </c>
      <c r="J127" s="55">
        <f ca="1">DSUM($A$80:$Z$92,J$80,$C$101:$D127)</f>
        <v>6.0322601424427411</v>
      </c>
      <c r="K127" s="55">
        <f ca="1">DSUM($A$80:$Z$92,K$80,$C$101:$D127)</f>
        <v>6.0586774093115503</v>
      </c>
      <c r="L127" s="55">
        <f ca="1">DSUM($A$80:$Z$92,L$80,$C$101:$D127)</f>
        <v>5.9998560145541351</v>
      </c>
      <c r="M127" s="55">
        <f ca="1">DSUM($A$80:$Z$92,M$80,$C$101:$D127)</f>
        <v>5.914396664313033</v>
      </c>
      <c r="N127" s="55">
        <f ca="1">DSUM($A$80:$Z$92,N$80,$C$101:$D127)</f>
        <v>5.8194816178314603</v>
      </c>
      <c r="O127" s="55">
        <f ca="1">DSUM($A$80:$Z$92,O$80,$C$101:$D127)</f>
        <v>5.7336736645263899</v>
      </c>
      <c r="P127" s="55">
        <f ca="1">DSUM($A$80:$Z$92,P$80,$C$101:$D127)</f>
        <v>5.6580813386157409</v>
      </c>
      <c r="Q127" s="55">
        <f ca="1">DSUM($A$80:$Z$92,Q$80,$C$101:$D127)</f>
        <v>5.5916958782079007</v>
      </c>
      <c r="R127" s="55">
        <f ca="1">DSUM($A$80:$Z$92,R$80,$C$101:$D127)</f>
        <v>5.5253343604875553</v>
      </c>
      <c r="S127" s="55">
        <f ca="1">DSUM($A$80:$Z$92,S$80,$C$101:$D127)</f>
        <v>5.466392606289471</v>
      </c>
      <c r="T127" s="55">
        <f ca="1">DSUM($A$80:$Z$92,T$80,$C$101:$D127)</f>
        <v>5.4040689779783389</v>
      </c>
      <c r="U127" s="55">
        <f ca="1">DSUM($A$80:$Z$92,U$80,$C$101:$D127)</f>
        <v>5.3263091075605971</v>
      </c>
      <c r="V127" s="55">
        <f ca="1">DSUM($A$80:$Z$92,V$80,$C$101:$D127)</f>
        <v>5.2457789360179996</v>
      </c>
      <c r="W127" s="55">
        <f ca="1">DSUM($A$80:$Z$92,W$80,$C$101:$D127)</f>
        <v>5.1716017190134798</v>
      </c>
      <c r="X127" s="55">
        <f ca="1">DSUM($A$80:$Z$92,X$80,$C$101:$D127)</f>
        <v>5.1002179599130217</v>
      </c>
      <c r="Y127" s="55">
        <f ca="1">DSUM($A$80:$Z$92,Y$80,$C$101:$D127)</f>
        <v>5.0860498690691767</v>
      </c>
      <c r="Z127" s="36">
        <f ca="1">DSUM($A$80:$Z$92,Z$80,$C$101:$D127)</f>
        <v>23.593041700948572</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9" t="s">
        <v>548</v>
      </c>
      <c r="C128" s="58" t="s">
        <v>549</v>
      </c>
      <c r="D128" s="58" t="s">
        <v>550</v>
      </c>
      <c r="F128" s="55">
        <f ca="1">DSUM($A$80:$Z$92,F$80,$C$101:$D128)</f>
        <v>2.7322610992926513</v>
      </c>
      <c r="G128" s="55">
        <f ca="1">DSUM($A$80:$Z$92,G$80,$C$101:$D128)</f>
        <v>3.9570653052329523</v>
      </c>
      <c r="H128" s="55">
        <f ca="1">DSUM($A$80:$Z$92,H$80,$C$101:$D128)</f>
        <v>4.7358754311612747</v>
      </c>
      <c r="I128" s="55">
        <f ca="1">DSUM($A$80:$Z$92,I$80,$C$101:$D128)</f>
        <v>5.2016589457314373</v>
      </c>
      <c r="J128" s="55">
        <f ca="1">DSUM($A$80:$Z$92,J$80,$C$101:$D128)</f>
        <v>6.0322601424427411</v>
      </c>
      <c r="K128" s="55">
        <f ca="1">DSUM($A$80:$Z$92,K$80,$C$101:$D128)</f>
        <v>6.0586774093115503</v>
      </c>
      <c r="L128" s="55">
        <f ca="1">DSUM($A$80:$Z$92,L$80,$C$101:$D128)</f>
        <v>5.9998560145541351</v>
      </c>
      <c r="M128" s="55">
        <f ca="1">DSUM($A$80:$Z$92,M$80,$C$101:$D128)</f>
        <v>5.914396664313033</v>
      </c>
      <c r="N128" s="55">
        <f ca="1">DSUM($A$80:$Z$92,N$80,$C$101:$D128)</f>
        <v>5.8194816178314603</v>
      </c>
      <c r="O128" s="55">
        <f ca="1">DSUM($A$80:$Z$92,O$80,$C$101:$D128)</f>
        <v>5.7336736645263899</v>
      </c>
      <c r="P128" s="55">
        <f ca="1">DSUM($A$80:$Z$92,P$80,$C$101:$D128)</f>
        <v>5.6580813386157409</v>
      </c>
      <c r="Q128" s="55">
        <f ca="1">DSUM($A$80:$Z$92,Q$80,$C$101:$D128)</f>
        <v>5.5916958782079007</v>
      </c>
      <c r="R128" s="55">
        <f ca="1">DSUM($A$80:$Z$92,R$80,$C$101:$D128)</f>
        <v>5.5253343604875553</v>
      </c>
      <c r="S128" s="55">
        <f ca="1">DSUM($A$80:$Z$92,S$80,$C$101:$D128)</f>
        <v>5.466392606289471</v>
      </c>
      <c r="T128" s="55">
        <f ca="1">DSUM($A$80:$Z$92,T$80,$C$101:$D128)</f>
        <v>5.4040689779783389</v>
      </c>
      <c r="U128" s="55">
        <f ca="1">DSUM($A$80:$Z$92,U$80,$C$101:$D128)</f>
        <v>5.3263091075605971</v>
      </c>
      <c r="V128" s="55">
        <f ca="1">DSUM($A$80:$Z$92,V$80,$C$101:$D128)</f>
        <v>5.2457789360179996</v>
      </c>
      <c r="W128" s="55">
        <f ca="1">DSUM($A$80:$Z$92,W$80,$C$101:$D128)</f>
        <v>5.1716017190134798</v>
      </c>
      <c r="X128" s="55">
        <f ca="1">DSUM($A$80:$Z$92,X$80,$C$101:$D128)</f>
        <v>5.1002179599130217</v>
      </c>
      <c r="Y128" s="55">
        <f ca="1">DSUM($A$80:$Z$92,Y$80,$C$101:$D128)</f>
        <v>5.0860498690691767</v>
      </c>
      <c r="Z128" s="36">
        <f ca="1">DSUM($A$80:$Z$92,Z$80,$C$101:$D128)</f>
        <v>23.593041700948572</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9" t="s">
        <v>551</v>
      </c>
      <c r="C129" s="58" t="s">
        <v>552</v>
      </c>
      <c r="D129" s="58" t="s">
        <v>553</v>
      </c>
      <c r="F129" s="55">
        <f ca="1">DSUM($A$80:$Z$92,F$80,$C$101:$D129)</f>
        <v>2.7322610992926513</v>
      </c>
      <c r="G129" s="55">
        <f ca="1">DSUM($A$80:$Z$92,G$80,$C$101:$D129)</f>
        <v>3.9570653052329523</v>
      </c>
      <c r="H129" s="55">
        <f ca="1">DSUM($A$80:$Z$92,H$80,$C$101:$D129)</f>
        <v>4.7358754311612747</v>
      </c>
      <c r="I129" s="55">
        <f ca="1">DSUM($A$80:$Z$92,I$80,$C$101:$D129)</f>
        <v>5.2016589457314373</v>
      </c>
      <c r="J129" s="55">
        <f ca="1">DSUM($A$80:$Z$92,J$80,$C$101:$D129)</f>
        <v>6.0322601424427411</v>
      </c>
      <c r="K129" s="55">
        <f ca="1">DSUM($A$80:$Z$92,K$80,$C$101:$D129)</f>
        <v>6.0586774093115503</v>
      </c>
      <c r="L129" s="55">
        <f ca="1">DSUM($A$80:$Z$92,L$80,$C$101:$D129)</f>
        <v>5.9998560145541351</v>
      </c>
      <c r="M129" s="55">
        <f ca="1">DSUM($A$80:$Z$92,M$80,$C$101:$D129)</f>
        <v>5.914396664313033</v>
      </c>
      <c r="N129" s="55">
        <f ca="1">DSUM($A$80:$Z$92,N$80,$C$101:$D129)</f>
        <v>5.8194816178314603</v>
      </c>
      <c r="O129" s="55">
        <f ca="1">DSUM($A$80:$Z$92,O$80,$C$101:$D129)</f>
        <v>5.7336736645263899</v>
      </c>
      <c r="P129" s="55">
        <f ca="1">DSUM($A$80:$Z$92,P$80,$C$101:$D129)</f>
        <v>5.6580813386157409</v>
      </c>
      <c r="Q129" s="55">
        <f ca="1">DSUM($A$80:$Z$92,Q$80,$C$101:$D129)</f>
        <v>5.5916958782079007</v>
      </c>
      <c r="R129" s="55">
        <f ca="1">DSUM($A$80:$Z$92,R$80,$C$101:$D129)</f>
        <v>5.5253343604875553</v>
      </c>
      <c r="S129" s="55">
        <f ca="1">DSUM($A$80:$Z$92,S$80,$C$101:$D129)</f>
        <v>5.466392606289471</v>
      </c>
      <c r="T129" s="55">
        <f ca="1">DSUM($A$80:$Z$92,T$80,$C$101:$D129)</f>
        <v>5.4040689779783389</v>
      </c>
      <c r="U129" s="55">
        <f ca="1">DSUM($A$80:$Z$92,U$80,$C$101:$D129)</f>
        <v>5.3263091075605971</v>
      </c>
      <c r="V129" s="55">
        <f ca="1">DSUM($A$80:$Z$92,V$80,$C$101:$D129)</f>
        <v>5.2457789360179996</v>
      </c>
      <c r="W129" s="55">
        <f ca="1">DSUM($A$80:$Z$92,W$80,$C$101:$D129)</f>
        <v>5.1716017190134798</v>
      </c>
      <c r="X129" s="55">
        <f ca="1">DSUM($A$80:$Z$92,X$80,$C$101:$D129)</f>
        <v>5.1002179599130217</v>
      </c>
      <c r="Y129" s="55">
        <f ca="1">DSUM($A$80:$Z$92,Y$80,$C$101:$D129)</f>
        <v>5.0860498690691767</v>
      </c>
      <c r="Z129" s="36">
        <f ca="1">DSUM($A$80:$Z$92,Z$80,$C$101:$D129)</f>
        <v>23.593041700948572</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B130" s="9" t="s">
        <v>554</v>
      </c>
      <c r="C130" s="58" t="s">
        <v>555</v>
      </c>
      <c r="D130" s="58" t="s">
        <v>556</v>
      </c>
      <c r="F130" s="55">
        <f ca="1">DSUM($A$80:$Z$92,F$80,$C$101:$D130)</f>
        <v>2.7322610992926513</v>
      </c>
      <c r="G130" s="55">
        <f ca="1">DSUM($A$80:$Z$92,G$80,$C$101:$D130)</f>
        <v>3.9570653052329523</v>
      </c>
      <c r="H130" s="55">
        <f ca="1">DSUM($A$80:$Z$92,H$80,$C$101:$D130)</f>
        <v>4.7358754311612747</v>
      </c>
      <c r="I130" s="55">
        <f ca="1">DSUM($A$80:$Z$92,I$80,$C$101:$D130)</f>
        <v>5.2016589457314373</v>
      </c>
      <c r="J130" s="55">
        <f ca="1">DSUM($A$80:$Z$92,J$80,$C$101:$D130)</f>
        <v>6.0322601424427411</v>
      </c>
      <c r="K130" s="55">
        <f ca="1">DSUM($A$80:$Z$92,K$80,$C$101:$D130)</f>
        <v>6.0586774093115503</v>
      </c>
      <c r="L130" s="55">
        <f ca="1">DSUM($A$80:$Z$92,L$80,$C$101:$D130)</f>
        <v>5.9998560145541351</v>
      </c>
      <c r="M130" s="55">
        <f ca="1">DSUM($A$80:$Z$92,M$80,$C$101:$D130)</f>
        <v>5.914396664313033</v>
      </c>
      <c r="N130" s="55">
        <f ca="1">DSUM($A$80:$Z$92,N$80,$C$101:$D130)</f>
        <v>5.8194816178314603</v>
      </c>
      <c r="O130" s="55">
        <f ca="1">DSUM($A$80:$Z$92,O$80,$C$101:$D130)</f>
        <v>5.7336736645263899</v>
      </c>
      <c r="P130" s="55">
        <f ca="1">DSUM($A$80:$Z$92,P$80,$C$101:$D130)</f>
        <v>5.6580813386157409</v>
      </c>
      <c r="Q130" s="55">
        <f ca="1">DSUM($A$80:$Z$92,Q$80,$C$101:$D130)</f>
        <v>5.5916958782079007</v>
      </c>
      <c r="R130" s="55">
        <f ca="1">DSUM($A$80:$Z$92,R$80,$C$101:$D130)</f>
        <v>5.5253343604875553</v>
      </c>
      <c r="S130" s="55">
        <f ca="1">DSUM($A$80:$Z$92,S$80,$C$101:$D130)</f>
        <v>5.466392606289471</v>
      </c>
      <c r="T130" s="55">
        <f ca="1">DSUM($A$80:$Z$92,T$80,$C$101:$D130)</f>
        <v>5.4040689779783389</v>
      </c>
      <c r="U130" s="55">
        <f ca="1">DSUM($A$80:$Z$92,U$80,$C$101:$D130)</f>
        <v>5.3263091075605971</v>
      </c>
      <c r="V130" s="55">
        <f ca="1">DSUM($A$80:$Z$92,V$80,$C$101:$D130)</f>
        <v>5.2457789360179996</v>
      </c>
      <c r="W130" s="55">
        <f ca="1">DSUM($A$80:$Z$92,W$80,$C$101:$D130)</f>
        <v>5.1716017190134798</v>
      </c>
      <c r="X130" s="55">
        <f ca="1">DSUM($A$80:$Z$92,X$80,$C$101:$D130)</f>
        <v>5.1002179599130217</v>
      </c>
      <c r="Y130" s="55">
        <f ca="1">DSUM($A$80:$Z$92,Y$80,$C$101:$D130)</f>
        <v>5.0860498690691767</v>
      </c>
      <c r="Z130" s="36">
        <f ca="1">DSUM($A$80:$Z$92,Z$80,$C$101:$D130)</f>
        <v>23.593041700948572</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B131" s="9" t="s">
        <v>557</v>
      </c>
      <c r="C131" s="58" t="s">
        <v>558</v>
      </c>
      <c r="D131" s="58" t="s">
        <v>559</v>
      </c>
      <c r="F131" s="55">
        <f ca="1">DSUM($A$80:$Z$92,F$80,$C$101:$D131)</f>
        <v>2.7322610992926513</v>
      </c>
      <c r="G131" s="55">
        <f ca="1">DSUM($A$80:$Z$92,G$80,$C$101:$D131)</f>
        <v>3.9570653052329523</v>
      </c>
      <c r="H131" s="55">
        <f ca="1">DSUM($A$80:$Z$92,H$80,$C$101:$D131)</f>
        <v>4.7358754311612747</v>
      </c>
      <c r="I131" s="55">
        <f ca="1">DSUM($A$80:$Z$92,I$80,$C$101:$D131)</f>
        <v>5.2016589457314373</v>
      </c>
      <c r="J131" s="55">
        <f ca="1">DSUM($A$80:$Z$92,J$80,$C$101:$D131)</f>
        <v>6.0322601424427411</v>
      </c>
      <c r="K131" s="55">
        <f ca="1">DSUM($A$80:$Z$92,K$80,$C$101:$D131)</f>
        <v>6.0586774093115503</v>
      </c>
      <c r="L131" s="55">
        <f ca="1">DSUM($A$80:$Z$92,L$80,$C$101:$D131)</f>
        <v>5.9998560145541351</v>
      </c>
      <c r="M131" s="55">
        <f ca="1">DSUM($A$80:$Z$92,M$80,$C$101:$D131)</f>
        <v>5.914396664313033</v>
      </c>
      <c r="N131" s="55">
        <f ca="1">DSUM($A$80:$Z$92,N$80,$C$101:$D131)</f>
        <v>5.8194816178314603</v>
      </c>
      <c r="O131" s="55">
        <f ca="1">DSUM($A$80:$Z$92,O$80,$C$101:$D131)</f>
        <v>5.7336736645263899</v>
      </c>
      <c r="P131" s="55">
        <f ca="1">DSUM($A$80:$Z$92,P$80,$C$101:$D131)</f>
        <v>5.6580813386157409</v>
      </c>
      <c r="Q131" s="55">
        <f ca="1">DSUM($A$80:$Z$92,Q$80,$C$101:$D131)</f>
        <v>5.5916958782079007</v>
      </c>
      <c r="R131" s="55">
        <f ca="1">DSUM($A$80:$Z$92,R$80,$C$101:$D131)</f>
        <v>5.5253343604875553</v>
      </c>
      <c r="S131" s="55">
        <f ca="1">DSUM($A$80:$Z$92,S$80,$C$101:$D131)</f>
        <v>5.466392606289471</v>
      </c>
      <c r="T131" s="55">
        <f ca="1">DSUM($A$80:$Z$92,T$80,$C$101:$D131)</f>
        <v>5.4040689779783389</v>
      </c>
      <c r="U131" s="55">
        <f ca="1">DSUM($A$80:$Z$92,U$80,$C$101:$D131)</f>
        <v>5.3263091075605971</v>
      </c>
      <c r="V131" s="55">
        <f ca="1">DSUM($A$80:$Z$92,V$80,$C$101:$D131)</f>
        <v>5.2457789360179996</v>
      </c>
      <c r="W131" s="55">
        <f ca="1">DSUM($A$80:$Z$92,W$80,$C$101:$D131)</f>
        <v>5.1716017190134798</v>
      </c>
      <c r="X131" s="55">
        <f ca="1">DSUM($A$80:$Z$92,X$80,$C$101:$D131)</f>
        <v>5.1002179599130217</v>
      </c>
      <c r="Y131" s="55">
        <f ca="1">DSUM($A$80:$Z$92,Y$80,$C$101:$D131)</f>
        <v>5.0860498690691767</v>
      </c>
      <c r="Z131" s="36">
        <f ca="1">DSUM($A$80:$Z$92,Z$80,$C$101:$D131)</f>
        <v>23.593041700948572</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c r="B132" s="9" t="s">
        <v>560</v>
      </c>
      <c r="C132" s="58" t="s">
        <v>561</v>
      </c>
      <c r="D132" s="58" t="s">
        <v>562</v>
      </c>
      <c r="F132" s="55">
        <f ca="1">DSUM($A$80:$Z$92,F$80,$C$101:$D132)</f>
        <v>2.7322610992926513</v>
      </c>
      <c r="G132" s="55">
        <f ca="1">DSUM($A$80:$Z$92,G$80,$C$101:$D132)</f>
        <v>3.9570653052329523</v>
      </c>
      <c r="H132" s="55">
        <f ca="1">DSUM($A$80:$Z$92,H$80,$C$101:$D132)</f>
        <v>4.7358754311612747</v>
      </c>
      <c r="I132" s="55">
        <f ca="1">DSUM($A$80:$Z$92,I$80,$C$101:$D132)</f>
        <v>5.2016589457314373</v>
      </c>
      <c r="J132" s="55">
        <f ca="1">DSUM($A$80:$Z$92,J$80,$C$101:$D132)</f>
        <v>6.0322601424427411</v>
      </c>
      <c r="K132" s="55">
        <f ca="1">DSUM($A$80:$Z$92,K$80,$C$101:$D132)</f>
        <v>6.0586774093115503</v>
      </c>
      <c r="L132" s="55">
        <f ca="1">DSUM($A$80:$Z$92,L$80,$C$101:$D132)</f>
        <v>5.9998560145541351</v>
      </c>
      <c r="M132" s="55">
        <f ca="1">DSUM($A$80:$Z$92,M$80,$C$101:$D132)</f>
        <v>5.914396664313033</v>
      </c>
      <c r="N132" s="55">
        <f ca="1">DSUM($A$80:$Z$92,N$80,$C$101:$D132)</f>
        <v>5.8194816178314603</v>
      </c>
      <c r="O132" s="55">
        <f ca="1">DSUM($A$80:$Z$92,O$80,$C$101:$D132)</f>
        <v>5.7336736645263899</v>
      </c>
      <c r="P132" s="55">
        <f ca="1">DSUM($A$80:$Z$92,P$80,$C$101:$D132)</f>
        <v>5.6580813386157409</v>
      </c>
      <c r="Q132" s="55">
        <f ca="1">DSUM($A$80:$Z$92,Q$80,$C$101:$D132)</f>
        <v>5.5916958782079007</v>
      </c>
      <c r="R132" s="55">
        <f ca="1">DSUM($A$80:$Z$92,R$80,$C$101:$D132)</f>
        <v>5.5253343604875553</v>
      </c>
      <c r="S132" s="55">
        <f ca="1">DSUM($A$80:$Z$92,S$80,$C$101:$D132)</f>
        <v>5.466392606289471</v>
      </c>
      <c r="T132" s="55">
        <f ca="1">DSUM($A$80:$Z$92,T$80,$C$101:$D132)</f>
        <v>5.4040689779783389</v>
      </c>
      <c r="U132" s="55">
        <f ca="1">DSUM($A$80:$Z$92,U$80,$C$101:$D132)</f>
        <v>5.3263091075605971</v>
      </c>
      <c r="V132" s="55">
        <f ca="1">DSUM($A$80:$Z$92,V$80,$C$101:$D132)</f>
        <v>5.2457789360179996</v>
      </c>
      <c r="W132" s="55">
        <f ca="1">DSUM($A$80:$Z$92,W$80,$C$101:$D132)</f>
        <v>5.1716017190134798</v>
      </c>
      <c r="X132" s="55">
        <f ca="1">DSUM($A$80:$Z$92,X$80,$C$101:$D132)</f>
        <v>5.1002179599130217</v>
      </c>
      <c r="Y132" s="55">
        <f ca="1">DSUM($A$80:$Z$92,Y$80,$C$101:$D132)</f>
        <v>5.0860498690691767</v>
      </c>
      <c r="Z132" s="36">
        <f ca="1">DSUM($A$80:$Z$92,Z$80,$C$101:$D132)</f>
        <v>23.593041700948572</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c r="B133" s="9" t="s">
        <v>563</v>
      </c>
      <c r="C133" s="58" t="s">
        <v>564</v>
      </c>
      <c r="D133" s="58" t="s">
        <v>133</v>
      </c>
      <c r="F133" s="55">
        <f ca="1">DSUM($A$80:$Z$92,F$80,$C$101:$D133)</f>
        <v>3.0005615326880171</v>
      </c>
      <c r="G133" s="55">
        <f ca="1">DSUM($A$80:$Z$92,G$80,$C$101:$D133)</f>
        <v>4.3881812087343182</v>
      </c>
      <c r="H133" s="55">
        <f ca="1">DSUM($A$80:$Z$92,H$80,$C$101:$D133)</f>
        <v>5.3037642003651317</v>
      </c>
      <c r="I133" s="55">
        <f ca="1">DSUM($A$80:$Z$92,I$80,$C$101:$D133)</f>
        <v>5.883568503035586</v>
      </c>
      <c r="J133" s="55">
        <f ca="1">DSUM($A$80:$Z$92,J$80,$C$101:$D133)</f>
        <v>6.8510646206427168</v>
      </c>
      <c r="K133" s="55">
        <f ca="1">DSUM($A$80:$Z$92,K$80,$C$101:$D133)</f>
        <v>6.8952958668830346</v>
      </c>
      <c r="L133" s="55">
        <f ca="1">DSUM($A$80:$Z$92,L$80,$C$101:$D133)</f>
        <v>6.8414575030294618</v>
      </c>
      <c r="M133" s="55">
        <f ca="1">DSUM($A$80:$Z$92,M$80,$C$101:$D133)</f>
        <v>6.7557992286056612</v>
      </c>
      <c r="N133" s="55">
        <f ca="1">DSUM($A$80:$Z$92,N$80,$C$101:$D133)</f>
        <v>6.6585916009774202</v>
      </c>
      <c r="O133" s="55">
        <f ca="1">DSUM($A$80:$Z$92,O$80,$C$101:$D133)</f>
        <v>6.5705091559489937</v>
      </c>
      <c r="P133" s="55">
        <f ca="1">DSUM($A$80:$Z$92,P$80,$C$101:$D133)</f>
        <v>6.4931268946436349</v>
      </c>
      <c r="Q133" s="55">
        <f ca="1">DSUM($A$80:$Z$92,Q$80,$C$101:$D133)</f>
        <v>6.4254986789996797</v>
      </c>
      <c r="R133" s="55">
        <f ca="1">DSUM($A$80:$Z$92,R$80,$C$101:$D133)</f>
        <v>6.3578523013842485</v>
      </c>
      <c r="S133" s="55">
        <f ca="1">DSUM($A$80:$Z$92,S$80,$C$101:$D133)</f>
        <v>6.2981220471524848</v>
      </c>
      <c r="T133" s="55">
        <f ca="1">DSUM($A$80:$Z$92,T$80,$C$101:$D133)</f>
        <v>6.2347632809604541</v>
      </c>
      <c r="U133" s="55">
        <f ca="1">DSUM($A$80:$Z$92,U$80,$C$101:$D133)</f>
        <v>6.155737078276573</v>
      </c>
      <c r="V133" s="55">
        <f ca="1">DSUM($A$80:$Z$92,V$80,$C$101:$D133)</f>
        <v>6.0737171427632628</v>
      </c>
      <c r="W133" s="55">
        <f ca="1">DSUM($A$80:$Z$92,W$80,$C$101:$D133)</f>
        <v>5.9984813771332899</v>
      </c>
      <c r="X133" s="55">
        <f ca="1">DSUM($A$80:$Z$92,X$80,$C$101:$D133)</f>
        <v>5.9262125377233605</v>
      </c>
      <c r="Y133" s="55">
        <f ca="1">DSUM($A$80:$Z$92,Y$80,$C$101:$D133)</f>
        <v>5.9097831841034143</v>
      </c>
      <c r="Z133" s="36">
        <f ca="1">DSUM($A$80:$Z$92,Z$80,$C$101:$D133)</f>
        <v>27.548133739474505</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F135" s="36">
        <f ca="1">F133</f>
        <v>3.0005615326880171</v>
      </c>
      <c r="G135" s="36">
        <f ca="1">G133+F135</f>
        <v>7.3887427414223357</v>
      </c>
      <c r="H135" s="36">
        <f t="shared" ref="H135:Y135" ca="1" si="29">H133+G135</f>
        <v>12.692506941787467</v>
      </c>
      <c r="I135" s="36">
        <f t="shared" ca="1" si="29"/>
        <v>18.576075444823054</v>
      </c>
      <c r="J135" s="36">
        <f t="shared" ca="1" si="29"/>
        <v>25.427140065465771</v>
      </c>
      <c r="K135" s="36">
        <f t="shared" ca="1" si="29"/>
        <v>32.322435932348803</v>
      </c>
      <c r="L135" s="36">
        <f t="shared" ca="1" si="29"/>
        <v>39.163893435378263</v>
      </c>
      <c r="M135" s="36">
        <f t="shared" ca="1" si="29"/>
        <v>45.919692663983923</v>
      </c>
      <c r="N135" s="36">
        <f t="shared" ca="1" si="29"/>
        <v>52.57828426496134</v>
      </c>
      <c r="O135" s="36">
        <f t="shared" ca="1" si="29"/>
        <v>59.148793420910337</v>
      </c>
      <c r="P135" s="36">
        <f t="shared" ca="1" si="29"/>
        <v>65.641920315553975</v>
      </c>
      <c r="Q135" s="36">
        <f t="shared" ca="1" si="29"/>
        <v>72.067418994553648</v>
      </c>
      <c r="R135" s="36">
        <f t="shared" ca="1" si="29"/>
        <v>78.425271295937904</v>
      </c>
      <c r="S135" s="36">
        <f t="shared" ca="1" si="29"/>
        <v>84.723393343090393</v>
      </c>
      <c r="T135" s="36">
        <f t="shared" ca="1" si="29"/>
        <v>90.958156624050844</v>
      </c>
      <c r="U135" s="36">
        <f t="shared" ca="1" si="29"/>
        <v>97.113893702327417</v>
      </c>
      <c r="V135" s="36">
        <f t="shared" ca="1" si="29"/>
        <v>103.18761084509067</v>
      </c>
      <c r="W135" s="36">
        <f t="shared" ca="1" si="29"/>
        <v>109.18609222222396</v>
      </c>
      <c r="X135" s="36">
        <f t="shared" ca="1" si="29"/>
        <v>115.11230475994732</v>
      </c>
      <c r="Y135" s="36">
        <f t="shared" ca="1" si="29"/>
        <v>121.02208794405074</v>
      </c>
      <c r="Z135" s="36"/>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ht="15">
      <c r="A136" s="63" t="s">
        <v>134</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ht="15">
      <c r="D137" s="72" t="str">
        <f>D30</f>
        <v>Computer - NR</v>
      </c>
      <c r="F137" s="66">
        <f t="shared" ref="F137:Y137" si="30">F11</f>
        <v>2016</v>
      </c>
      <c r="G137" s="67">
        <f t="shared" si="30"/>
        <v>2017</v>
      </c>
      <c r="H137" s="67">
        <f t="shared" si="30"/>
        <v>2018</v>
      </c>
      <c r="I137" s="67">
        <f t="shared" si="30"/>
        <v>2019</v>
      </c>
      <c r="J137" s="67">
        <f t="shared" si="30"/>
        <v>2020</v>
      </c>
      <c r="K137" s="67">
        <f t="shared" si="30"/>
        <v>2021</v>
      </c>
      <c r="L137" s="67">
        <f t="shared" si="30"/>
        <v>2022</v>
      </c>
      <c r="M137" s="67">
        <f t="shared" si="30"/>
        <v>2023</v>
      </c>
      <c r="N137" s="67">
        <f t="shared" si="30"/>
        <v>2024</v>
      </c>
      <c r="O137" s="67">
        <f t="shared" si="30"/>
        <v>2025</v>
      </c>
      <c r="P137" s="67">
        <f t="shared" si="30"/>
        <v>2026</v>
      </c>
      <c r="Q137" s="67">
        <f t="shared" si="30"/>
        <v>2027</v>
      </c>
      <c r="R137" s="67">
        <f t="shared" si="30"/>
        <v>2028</v>
      </c>
      <c r="S137" s="67">
        <f t="shared" si="30"/>
        <v>2029</v>
      </c>
      <c r="T137" s="67">
        <f t="shared" si="30"/>
        <v>2030</v>
      </c>
      <c r="U137" s="67">
        <f t="shared" si="30"/>
        <v>2031</v>
      </c>
      <c r="V137" s="67">
        <f t="shared" si="30"/>
        <v>2032</v>
      </c>
      <c r="W137" s="67">
        <f t="shared" si="30"/>
        <v>2033</v>
      </c>
      <c r="X137" s="67">
        <f t="shared" si="30"/>
        <v>2034</v>
      </c>
      <c r="Y137" s="67">
        <f t="shared" si="30"/>
        <v>2035</v>
      </c>
      <c r="Z137" s="68" t="s">
        <v>59</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ht="15">
      <c r="F138" s="69" t="str">
        <f>CONCATENATE("aMW_",F$11)</f>
        <v>aMW_2016</v>
      </c>
      <c r="G138" s="70" t="str">
        <f t="shared" ref="G138:Y138" si="31">CONCATENATE("aMW_",G$11)</f>
        <v>aMW_2017</v>
      </c>
      <c r="H138" s="70" t="str">
        <f t="shared" si="31"/>
        <v>aMW_2018</v>
      </c>
      <c r="I138" s="70" t="str">
        <f t="shared" si="31"/>
        <v>aMW_2019</v>
      </c>
      <c r="J138" s="70" t="str">
        <f t="shared" si="31"/>
        <v>aMW_2020</v>
      </c>
      <c r="K138" s="70" t="str">
        <f t="shared" si="31"/>
        <v>aMW_2021</v>
      </c>
      <c r="L138" s="70" t="str">
        <f t="shared" si="31"/>
        <v>aMW_2022</v>
      </c>
      <c r="M138" s="70" t="str">
        <f t="shared" si="31"/>
        <v>aMW_2023</v>
      </c>
      <c r="N138" s="70" t="str">
        <f t="shared" si="31"/>
        <v>aMW_2024</v>
      </c>
      <c r="O138" s="70" t="str">
        <f t="shared" si="31"/>
        <v>aMW_2025</v>
      </c>
      <c r="P138" s="70" t="str">
        <f t="shared" si="31"/>
        <v>aMW_2026</v>
      </c>
      <c r="Q138" s="70" t="str">
        <f t="shared" si="31"/>
        <v>aMW_2027</v>
      </c>
      <c r="R138" s="70" t="str">
        <f t="shared" si="31"/>
        <v>aMW_2028</v>
      </c>
      <c r="S138" s="70" t="str">
        <f t="shared" si="31"/>
        <v>aMW_2029</v>
      </c>
      <c r="T138" s="70" t="str">
        <f t="shared" si="31"/>
        <v>aMW_2030</v>
      </c>
      <c r="U138" s="70" t="str">
        <f t="shared" si="31"/>
        <v>aMW_2031</v>
      </c>
      <c r="V138" s="70" t="str">
        <f t="shared" si="31"/>
        <v>aMW_2032</v>
      </c>
      <c r="W138" s="70" t="str">
        <f t="shared" si="31"/>
        <v>aMW_2033</v>
      </c>
      <c r="X138" s="70" t="str">
        <f t="shared" si="31"/>
        <v>aMW_2034</v>
      </c>
      <c r="Y138" s="70" t="str">
        <f t="shared" si="31"/>
        <v>aMW_2035</v>
      </c>
      <c r="Z138" s="71" t="s">
        <v>59</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D139" s="9" t="s">
        <v>68</v>
      </c>
      <c r="F139" s="59">
        <f>F102</f>
        <v>0</v>
      </c>
      <c r="G139" s="59">
        <f t="shared" ref="G139:Z139" si="32">G102</f>
        <v>0</v>
      </c>
      <c r="H139" s="59">
        <f t="shared" si="32"/>
        <v>0</v>
      </c>
      <c r="I139" s="59">
        <f t="shared" si="32"/>
        <v>0</v>
      </c>
      <c r="J139" s="59">
        <f t="shared" si="32"/>
        <v>0</v>
      </c>
      <c r="K139" s="59">
        <f t="shared" si="32"/>
        <v>0</v>
      </c>
      <c r="L139" s="59">
        <f t="shared" si="32"/>
        <v>0</v>
      </c>
      <c r="M139" s="59">
        <f t="shared" si="32"/>
        <v>0</v>
      </c>
      <c r="N139" s="59">
        <f t="shared" si="32"/>
        <v>0</v>
      </c>
      <c r="O139" s="59">
        <f t="shared" si="32"/>
        <v>0</v>
      </c>
      <c r="P139" s="59">
        <f t="shared" si="32"/>
        <v>0</v>
      </c>
      <c r="Q139" s="59">
        <f t="shared" si="32"/>
        <v>0</v>
      </c>
      <c r="R139" s="59">
        <f t="shared" si="32"/>
        <v>0</v>
      </c>
      <c r="S139" s="59">
        <f t="shared" si="32"/>
        <v>0</v>
      </c>
      <c r="T139" s="59">
        <f t="shared" si="32"/>
        <v>0</v>
      </c>
      <c r="U139" s="59">
        <f t="shared" si="32"/>
        <v>0</v>
      </c>
      <c r="V139" s="59">
        <f t="shared" si="32"/>
        <v>0</v>
      </c>
      <c r="W139" s="59">
        <f t="shared" si="32"/>
        <v>0</v>
      </c>
      <c r="X139" s="59">
        <f t="shared" si="32"/>
        <v>0</v>
      </c>
      <c r="Y139" s="59">
        <f t="shared" si="32"/>
        <v>0</v>
      </c>
      <c r="Z139" s="59">
        <f t="shared" si="32"/>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c r="D140" s="9" t="s">
        <v>572</v>
      </c>
      <c r="F140" s="59">
        <f>F103-F102</f>
        <v>0</v>
      </c>
      <c r="G140" s="59">
        <f>G103-G102</f>
        <v>0</v>
      </c>
      <c r="H140" s="59">
        <f t="shared" ref="H140:Z153" si="33">H103-H102</f>
        <v>0</v>
      </c>
      <c r="I140" s="59">
        <f t="shared" si="33"/>
        <v>0</v>
      </c>
      <c r="J140" s="59">
        <f t="shared" si="33"/>
        <v>0</v>
      </c>
      <c r="K140" s="59">
        <f t="shared" si="33"/>
        <v>0</v>
      </c>
      <c r="L140" s="59">
        <f t="shared" si="33"/>
        <v>0</v>
      </c>
      <c r="M140" s="59">
        <f t="shared" si="33"/>
        <v>0</v>
      </c>
      <c r="N140" s="59">
        <f t="shared" si="33"/>
        <v>0</v>
      </c>
      <c r="O140" s="59">
        <f>O103-O102</f>
        <v>0</v>
      </c>
      <c r="P140" s="59">
        <f t="shared" si="33"/>
        <v>0</v>
      </c>
      <c r="Q140" s="59">
        <f t="shared" si="33"/>
        <v>0</v>
      </c>
      <c r="R140" s="59">
        <f t="shared" si="33"/>
        <v>0</v>
      </c>
      <c r="S140" s="59">
        <f t="shared" si="33"/>
        <v>0</v>
      </c>
      <c r="T140" s="59">
        <f t="shared" si="33"/>
        <v>0</v>
      </c>
      <c r="U140" s="59">
        <f t="shared" si="33"/>
        <v>0</v>
      </c>
      <c r="V140" s="59">
        <f t="shared" si="33"/>
        <v>0</v>
      </c>
      <c r="W140" s="59">
        <f t="shared" si="33"/>
        <v>0</v>
      </c>
      <c r="X140" s="59">
        <f t="shared" si="33"/>
        <v>0</v>
      </c>
      <c r="Y140" s="59">
        <f t="shared" si="33"/>
        <v>0</v>
      </c>
      <c r="Z140" s="59">
        <f t="shared" si="33"/>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c r="D141" s="9" t="s">
        <v>74</v>
      </c>
      <c r="F141" s="59">
        <f t="shared" ref="F141:U156" si="34">F104-F103</f>
        <v>0</v>
      </c>
      <c r="G141" s="59">
        <f t="shared" si="34"/>
        <v>0</v>
      </c>
      <c r="H141" s="59">
        <f t="shared" si="33"/>
        <v>0</v>
      </c>
      <c r="I141" s="59">
        <f t="shared" si="33"/>
        <v>0</v>
      </c>
      <c r="J141" s="59">
        <f t="shared" si="33"/>
        <v>0</v>
      </c>
      <c r="K141" s="59">
        <f t="shared" si="33"/>
        <v>0</v>
      </c>
      <c r="L141" s="59">
        <f t="shared" si="33"/>
        <v>0</v>
      </c>
      <c r="M141" s="59">
        <f t="shared" si="33"/>
        <v>0</v>
      </c>
      <c r="N141" s="59">
        <f t="shared" si="33"/>
        <v>0</v>
      </c>
      <c r="O141" s="59">
        <f t="shared" si="33"/>
        <v>0</v>
      </c>
      <c r="P141" s="59">
        <f t="shared" si="33"/>
        <v>0</v>
      </c>
      <c r="Q141" s="59">
        <f t="shared" si="33"/>
        <v>0</v>
      </c>
      <c r="R141" s="59">
        <f t="shared" si="33"/>
        <v>0</v>
      </c>
      <c r="S141" s="59">
        <f t="shared" si="33"/>
        <v>0</v>
      </c>
      <c r="T141" s="59">
        <f t="shared" si="33"/>
        <v>0</v>
      </c>
      <c r="U141" s="59">
        <f t="shared" si="33"/>
        <v>0</v>
      </c>
      <c r="V141" s="59">
        <f t="shared" si="33"/>
        <v>0</v>
      </c>
      <c r="W141" s="59">
        <f t="shared" si="33"/>
        <v>0</v>
      </c>
      <c r="X141" s="59">
        <f t="shared" si="33"/>
        <v>0</v>
      </c>
      <c r="Y141" s="59">
        <f t="shared" si="33"/>
        <v>0</v>
      </c>
      <c r="Z141" s="59">
        <f t="shared" ref="Z141" si="35">Z104-Z103</f>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c r="D142" s="9" t="s">
        <v>77</v>
      </c>
      <c r="F142" s="59">
        <f t="shared" si="34"/>
        <v>0</v>
      </c>
      <c r="G142" s="59">
        <f t="shared" si="34"/>
        <v>0</v>
      </c>
      <c r="H142" s="59">
        <f t="shared" si="33"/>
        <v>0</v>
      </c>
      <c r="I142" s="59">
        <f t="shared" si="33"/>
        <v>0</v>
      </c>
      <c r="J142" s="59">
        <f t="shared" si="33"/>
        <v>0</v>
      </c>
      <c r="K142" s="59">
        <f t="shared" si="33"/>
        <v>0</v>
      </c>
      <c r="L142" s="59">
        <f t="shared" si="33"/>
        <v>0</v>
      </c>
      <c r="M142" s="59">
        <f t="shared" si="33"/>
        <v>0</v>
      </c>
      <c r="N142" s="59">
        <f t="shared" si="33"/>
        <v>0</v>
      </c>
      <c r="O142" s="59">
        <f t="shared" si="33"/>
        <v>0</v>
      </c>
      <c r="P142" s="59">
        <f t="shared" si="33"/>
        <v>0</v>
      </c>
      <c r="Q142" s="59">
        <f t="shared" si="33"/>
        <v>0</v>
      </c>
      <c r="R142" s="59">
        <f t="shared" si="33"/>
        <v>0</v>
      </c>
      <c r="S142" s="59">
        <f t="shared" si="33"/>
        <v>0</v>
      </c>
      <c r="T142" s="59">
        <f t="shared" si="33"/>
        <v>0</v>
      </c>
      <c r="U142" s="59">
        <f t="shared" si="33"/>
        <v>0</v>
      </c>
      <c r="V142" s="59">
        <f t="shared" si="33"/>
        <v>0</v>
      </c>
      <c r="W142" s="59">
        <f t="shared" si="33"/>
        <v>0</v>
      </c>
      <c r="X142" s="59">
        <f t="shared" si="33"/>
        <v>0</v>
      </c>
      <c r="Y142" s="59">
        <f t="shared" si="33"/>
        <v>0</v>
      </c>
      <c r="Z142" s="59">
        <f t="shared" ref="Z142" si="36">Z105-Z104</f>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9" t="s">
        <v>80</v>
      </c>
      <c r="F143" s="59">
        <f t="shared" si="34"/>
        <v>0</v>
      </c>
      <c r="G143" s="59">
        <f t="shared" si="34"/>
        <v>0</v>
      </c>
      <c r="H143" s="59">
        <f t="shared" si="33"/>
        <v>0</v>
      </c>
      <c r="I143" s="59">
        <f t="shared" si="33"/>
        <v>0</v>
      </c>
      <c r="J143" s="59">
        <f t="shared" si="33"/>
        <v>0</v>
      </c>
      <c r="K143" s="59">
        <f t="shared" si="33"/>
        <v>0</v>
      </c>
      <c r="L143" s="59">
        <f t="shared" si="33"/>
        <v>0</v>
      </c>
      <c r="M143" s="59">
        <f t="shared" si="33"/>
        <v>0</v>
      </c>
      <c r="N143" s="59">
        <f t="shared" si="33"/>
        <v>0</v>
      </c>
      <c r="O143" s="59">
        <f t="shared" si="33"/>
        <v>0</v>
      </c>
      <c r="P143" s="59">
        <f t="shared" si="33"/>
        <v>0</v>
      </c>
      <c r="Q143" s="59">
        <f t="shared" si="33"/>
        <v>0</v>
      </c>
      <c r="R143" s="59">
        <f t="shared" si="33"/>
        <v>0</v>
      </c>
      <c r="S143" s="59">
        <f t="shared" si="33"/>
        <v>0</v>
      </c>
      <c r="T143" s="59">
        <f t="shared" si="33"/>
        <v>0</v>
      </c>
      <c r="U143" s="59">
        <f t="shared" si="33"/>
        <v>0</v>
      </c>
      <c r="V143" s="59">
        <f t="shared" si="33"/>
        <v>0</v>
      </c>
      <c r="W143" s="59">
        <f t="shared" si="33"/>
        <v>0</v>
      </c>
      <c r="X143" s="59">
        <f t="shared" si="33"/>
        <v>0</v>
      </c>
      <c r="Y143" s="59">
        <f t="shared" si="33"/>
        <v>0</v>
      </c>
      <c r="Z143" s="59">
        <f t="shared" ref="Z143" si="37">Z106-Z105</f>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9" t="s">
        <v>83</v>
      </c>
      <c r="F144" s="59">
        <f t="shared" ca="1" si="34"/>
        <v>2.7322610992926513</v>
      </c>
      <c r="G144" s="59">
        <f t="shared" ca="1" si="34"/>
        <v>3.9570653052329523</v>
      </c>
      <c r="H144" s="59">
        <f t="shared" ca="1" si="33"/>
        <v>4.7358754311612747</v>
      </c>
      <c r="I144" s="59">
        <f t="shared" ca="1" si="33"/>
        <v>5.2016589457314373</v>
      </c>
      <c r="J144" s="59">
        <f t="shared" ca="1" si="33"/>
        <v>6.0322601424427411</v>
      </c>
      <c r="K144" s="59">
        <f t="shared" ca="1" si="33"/>
        <v>6.0586774093115503</v>
      </c>
      <c r="L144" s="59">
        <f t="shared" ca="1" si="33"/>
        <v>5.9998560145541351</v>
      </c>
      <c r="M144" s="59">
        <f t="shared" ca="1" si="33"/>
        <v>5.914396664313033</v>
      </c>
      <c r="N144" s="59">
        <f t="shared" ca="1" si="33"/>
        <v>5.8194816178314603</v>
      </c>
      <c r="O144" s="59">
        <f t="shared" ca="1" si="33"/>
        <v>5.7336736645263899</v>
      </c>
      <c r="P144" s="59">
        <f t="shared" ca="1" si="33"/>
        <v>5.6580813386157409</v>
      </c>
      <c r="Q144" s="59">
        <f t="shared" ca="1" si="33"/>
        <v>5.5916958782079007</v>
      </c>
      <c r="R144" s="59">
        <f t="shared" ca="1" si="33"/>
        <v>5.5253343604875553</v>
      </c>
      <c r="S144" s="59">
        <f t="shared" ca="1" si="33"/>
        <v>5.466392606289471</v>
      </c>
      <c r="T144" s="59">
        <f t="shared" ca="1" si="33"/>
        <v>5.4040689779783389</v>
      </c>
      <c r="U144" s="59">
        <f t="shared" ca="1" si="33"/>
        <v>5.3263091075605971</v>
      </c>
      <c r="V144" s="59">
        <f t="shared" ca="1" si="33"/>
        <v>5.2457789360179996</v>
      </c>
      <c r="W144" s="59">
        <f t="shared" ca="1" si="33"/>
        <v>5.1716017190134798</v>
      </c>
      <c r="X144" s="59">
        <f t="shared" ca="1" si="33"/>
        <v>5.1002179599130217</v>
      </c>
      <c r="Y144" s="59">
        <f t="shared" ca="1" si="33"/>
        <v>5.0860498690691767</v>
      </c>
      <c r="Z144" s="59">
        <f t="shared" ref="Z144" ca="1" si="38">Z107-Z106</f>
        <v>23.593041700948572</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9" t="s">
        <v>86</v>
      </c>
      <c r="F145" s="59">
        <f t="shared" ca="1" si="34"/>
        <v>0</v>
      </c>
      <c r="G145" s="59">
        <f t="shared" ca="1" si="34"/>
        <v>0</v>
      </c>
      <c r="H145" s="59">
        <f t="shared" ca="1" si="33"/>
        <v>0</v>
      </c>
      <c r="I145" s="59">
        <f t="shared" ca="1" si="33"/>
        <v>0</v>
      </c>
      <c r="J145" s="59">
        <f t="shared" ca="1" si="33"/>
        <v>0</v>
      </c>
      <c r="K145" s="59">
        <f t="shared" ca="1" si="33"/>
        <v>0</v>
      </c>
      <c r="L145" s="59">
        <f t="shared" ca="1" si="33"/>
        <v>0</v>
      </c>
      <c r="M145" s="59">
        <f t="shared" ca="1" si="33"/>
        <v>0</v>
      </c>
      <c r="N145" s="59">
        <f t="shared" ca="1" si="33"/>
        <v>0</v>
      </c>
      <c r="O145" s="59">
        <f t="shared" ca="1" si="33"/>
        <v>0</v>
      </c>
      <c r="P145" s="59">
        <f t="shared" ca="1" si="33"/>
        <v>0</v>
      </c>
      <c r="Q145" s="59">
        <f t="shared" ca="1" si="33"/>
        <v>0</v>
      </c>
      <c r="R145" s="59">
        <f t="shared" ca="1" si="33"/>
        <v>0</v>
      </c>
      <c r="S145" s="59">
        <f t="shared" ca="1" si="33"/>
        <v>0</v>
      </c>
      <c r="T145" s="59">
        <f t="shared" ca="1" si="33"/>
        <v>0</v>
      </c>
      <c r="U145" s="59">
        <f t="shared" ca="1" si="33"/>
        <v>0</v>
      </c>
      <c r="V145" s="59">
        <f t="shared" ca="1" si="33"/>
        <v>0</v>
      </c>
      <c r="W145" s="59">
        <f t="shared" ca="1" si="33"/>
        <v>0</v>
      </c>
      <c r="X145" s="59">
        <f t="shared" ca="1" si="33"/>
        <v>0</v>
      </c>
      <c r="Y145" s="59">
        <f t="shared" ca="1" si="33"/>
        <v>0</v>
      </c>
      <c r="Z145" s="59">
        <f t="shared" ref="Z145" ca="1" si="39">Z108-Z107</f>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9" t="s">
        <v>89</v>
      </c>
      <c r="F146" s="59">
        <f t="shared" ca="1" si="34"/>
        <v>0</v>
      </c>
      <c r="G146" s="59">
        <f t="shared" ca="1" si="34"/>
        <v>0</v>
      </c>
      <c r="H146" s="59">
        <f t="shared" ca="1" si="33"/>
        <v>0</v>
      </c>
      <c r="I146" s="59">
        <f t="shared" ca="1" si="33"/>
        <v>0</v>
      </c>
      <c r="J146" s="59">
        <f t="shared" ca="1" si="33"/>
        <v>0</v>
      </c>
      <c r="K146" s="59">
        <f t="shared" ca="1" si="33"/>
        <v>0</v>
      </c>
      <c r="L146" s="59">
        <f t="shared" ca="1" si="33"/>
        <v>0</v>
      </c>
      <c r="M146" s="59">
        <f t="shared" ca="1" si="33"/>
        <v>0</v>
      </c>
      <c r="N146" s="59">
        <f t="shared" ca="1" si="33"/>
        <v>0</v>
      </c>
      <c r="O146" s="59">
        <f t="shared" ca="1" si="33"/>
        <v>0</v>
      </c>
      <c r="P146" s="59">
        <f t="shared" ca="1" si="33"/>
        <v>0</v>
      </c>
      <c r="Q146" s="59">
        <f t="shared" ca="1" si="33"/>
        <v>0</v>
      </c>
      <c r="R146" s="59">
        <f t="shared" ca="1" si="33"/>
        <v>0</v>
      </c>
      <c r="S146" s="59">
        <f t="shared" ca="1" si="33"/>
        <v>0</v>
      </c>
      <c r="T146" s="59">
        <f t="shared" ca="1" si="33"/>
        <v>0</v>
      </c>
      <c r="U146" s="59">
        <f t="shared" ca="1" si="33"/>
        <v>0</v>
      </c>
      <c r="V146" s="59">
        <f t="shared" ca="1" si="33"/>
        <v>0</v>
      </c>
      <c r="W146" s="59">
        <f t="shared" ca="1" si="33"/>
        <v>0</v>
      </c>
      <c r="X146" s="59">
        <f t="shared" ca="1" si="33"/>
        <v>0</v>
      </c>
      <c r="Y146" s="59">
        <f t="shared" ca="1" si="33"/>
        <v>0</v>
      </c>
      <c r="Z146" s="59">
        <f t="shared" ref="Z146" ca="1" si="40">Z109-Z108</f>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9" t="s">
        <v>92</v>
      </c>
      <c r="F147" s="59">
        <f t="shared" ca="1" si="34"/>
        <v>0</v>
      </c>
      <c r="G147" s="59">
        <f t="shared" ca="1" si="34"/>
        <v>0</v>
      </c>
      <c r="H147" s="59">
        <f t="shared" ca="1" si="33"/>
        <v>0</v>
      </c>
      <c r="I147" s="59">
        <f t="shared" ca="1" si="33"/>
        <v>0</v>
      </c>
      <c r="J147" s="59">
        <f t="shared" ca="1" si="33"/>
        <v>0</v>
      </c>
      <c r="K147" s="59">
        <f t="shared" ca="1" si="33"/>
        <v>0</v>
      </c>
      <c r="L147" s="59">
        <f t="shared" ca="1" si="33"/>
        <v>0</v>
      </c>
      <c r="M147" s="59">
        <f t="shared" ca="1" si="33"/>
        <v>0</v>
      </c>
      <c r="N147" s="59">
        <f t="shared" ca="1" si="33"/>
        <v>0</v>
      </c>
      <c r="O147" s="59">
        <f t="shared" ca="1" si="33"/>
        <v>0</v>
      </c>
      <c r="P147" s="59">
        <f t="shared" ca="1" si="33"/>
        <v>0</v>
      </c>
      <c r="Q147" s="59">
        <f t="shared" ca="1" si="33"/>
        <v>0</v>
      </c>
      <c r="R147" s="59">
        <f t="shared" ca="1" si="33"/>
        <v>0</v>
      </c>
      <c r="S147" s="59">
        <f t="shared" ca="1" si="33"/>
        <v>0</v>
      </c>
      <c r="T147" s="59">
        <f t="shared" ca="1" si="33"/>
        <v>0</v>
      </c>
      <c r="U147" s="59">
        <f t="shared" ca="1" si="33"/>
        <v>0</v>
      </c>
      <c r="V147" s="59">
        <f t="shared" ca="1" si="33"/>
        <v>0</v>
      </c>
      <c r="W147" s="59">
        <f t="shared" ca="1" si="33"/>
        <v>0</v>
      </c>
      <c r="X147" s="59">
        <f t="shared" ca="1" si="33"/>
        <v>0</v>
      </c>
      <c r="Y147" s="59">
        <f t="shared" ca="1" si="33"/>
        <v>0</v>
      </c>
      <c r="Z147" s="59">
        <f t="shared" ref="Z147" ca="1" si="41">Z110-Z109</f>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9" t="s">
        <v>95</v>
      </c>
      <c r="F148" s="59">
        <f t="shared" ca="1" si="34"/>
        <v>0</v>
      </c>
      <c r="G148" s="59">
        <f t="shared" ca="1" si="34"/>
        <v>0</v>
      </c>
      <c r="H148" s="59">
        <f t="shared" ca="1" si="33"/>
        <v>0</v>
      </c>
      <c r="I148" s="59">
        <f t="shared" ca="1" si="33"/>
        <v>0</v>
      </c>
      <c r="J148" s="59">
        <f t="shared" ca="1" si="33"/>
        <v>0</v>
      </c>
      <c r="K148" s="59">
        <f t="shared" ca="1" si="33"/>
        <v>0</v>
      </c>
      <c r="L148" s="59">
        <f t="shared" ca="1" si="33"/>
        <v>0</v>
      </c>
      <c r="M148" s="59">
        <f t="shared" ca="1" si="33"/>
        <v>0</v>
      </c>
      <c r="N148" s="59">
        <f t="shared" ca="1" si="33"/>
        <v>0</v>
      </c>
      <c r="O148" s="59">
        <f t="shared" ca="1" si="33"/>
        <v>0</v>
      </c>
      <c r="P148" s="59">
        <f t="shared" ca="1" si="33"/>
        <v>0</v>
      </c>
      <c r="Q148" s="59">
        <f t="shared" ca="1" si="33"/>
        <v>0</v>
      </c>
      <c r="R148" s="59">
        <f t="shared" ca="1" si="33"/>
        <v>0</v>
      </c>
      <c r="S148" s="59">
        <f t="shared" ca="1" si="33"/>
        <v>0</v>
      </c>
      <c r="T148" s="59">
        <f t="shared" ca="1" si="33"/>
        <v>0</v>
      </c>
      <c r="U148" s="59">
        <f t="shared" ca="1" si="33"/>
        <v>0</v>
      </c>
      <c r="V148" s="59">
        <f t="shared" ca="1" si="33"/>
        <v>0</v>
      </c>
      <c r="W148" s="59">
        <f t="shared" ca="1" si="33"/>
        <v>0</v>
      </c>
      <c r="X148" s="59">
        <f t="shared" ca="1" si="33"/>
        <v>0</v>
      </c>
      <c r="Y148" s="59">
        <f t="shared" ca="1" si="33"/>
        <v>0</v>
      </c>
      <c r="Z148" s="59">
        <f t="shared" ref="Z148" ca="1" si="42">Z111-Z110</f>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9" t="s">
        <v>98</v>
      </c>
      <c r="F149" s="59">
        <f t="shared" ca="1" si="34"/>
        <v>0</v>
      </c>
      <c r="G149" s="59">
        <f t="shared" ca="1" si="34"/>
        <v>0</v>
      </c>
      <c r="H149" s="59">
        <f t="shared" ca="1" si="33"/>
        <v>0</v>
      </c>
      <c r="I149" s="59">
        <f t="shared" ca="1" si="33"/>
        <v>0</v>
      </c>
      <c r="J149" s="59">
        <f t="shared" ca="1" si="33"/>
        <v>0</v>
      </c>
      <c r="K149" s="59">
        <f t="shared" ca="1" si="33"/>
        <v>0</v>
      </c>
      <c r="L149" s="59">
        <f t="shared" ca="1" si="33"/>
        <v>0</v>
      </c>
      <c r="M149" s="59">
        <f t="shared" ca="1" si="33"/>
        <v>0</v>
      </c>
      <c r="N149" s="59">
        <f t="shared" ca="1" si="33"/>
        <v>0</v>
      </c>
      <c r="O149" s="59">
        <f t="shared" ca="1" si="33"/>
        <v>0</v>
      </c>
      <c r="P149" s="59">
        <f t="shared" ca="1" si="33"/>
        <v>0</v>
      </c>
      <c r="Q149" s="59">
        <f t="shared" ca="1" si="33"/>
        <v>0</v>
      </c>
      <c r="R149" s="59">
        <f t="shared" ca="1" si="33"/>
        <v>0</v>
      </c>
      <c r="S149" s="59">
        <f t="shared" ca="1" si="33"/>
        <v>0</v>
      </c>
      <c r="T149" s="59">
        <f t="shared" ca="1" si="33"/>
        <v>0</v>
      </c>
      <c r="U149" s="59">
        <f t="shared" ca="1" si="33"/>
        <v>0</v>
      </c>
      <c r="V149" s="59">
        <f t="shared" ca="1" si="33"/>
        <v>0</v>
      </c>
      <c r="W149" s="59">
        <f t="shared" ca="1" si="33"/>
        <v>0</v>
      </c>
      <c r="X149" s="59">
        <f t="shared" ca="1" si="33"/>
        <v>0</v>
      </c>
      <c r="Y149" s="59">
        <f t="shared" ca="1" si="33"/>
        <v>0</v>
      </c>
      <c r="Z149" s="59">
        <f t="shared" ref="Z149" ca="1" si="43">Z112-Z111</f>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9" t="s">
        <v>101</v>
      </c>
      <c r="F150" s="59">
        <f t="shared" ca="1" si="34"/>
        <v>0</v>
      </c>
      <c r="G150" s="59">
        <f t="shared" ca="1" si="34"/>
        <v>0</v>
      </c>
      <c r="H150" s="59">
        <f t="shared" ca="1" si="33"/>
        <v>0</v>
      </c>
      <c r="I150" s="59">
        <f t="shared" ca="1" si="33"/>
        <v>0</v>
      </c>
      <c r="J150" s="59">
        <f t="shared" ca="1" si="33"/>
        <v>0</v>
      </c>
      <c r="K150" s="59">
        <f t="shared" ca="1" si="33"/>
        <v>0</v>
      </c>
      <c r="L150" s="59">
        <f t="shared" ca="1" si="33"/>
        <v>0</v>
      </c>
      <c r="M150" s="59">
        <f t="shared" ca="1" si="33"/>
        <v>0</v>
      </c>
      <c r="N150" s="59">
        <f t="shared" ca="1" si="33"/>
        <v>0</v>
      </c>
      <c r="O150" s="59">
        <f t="shared" ca="1" si="33"/>
        <v>0</v>
      </c>
      <c r="P150" s="59">
        <f t="shared" ca="1" si="33"/>
        <v>0</v>
      </c>
      <c r="Q150" s="59">
        <f t="shared" ca="1" si="33"/>
        <v>0</v>
      </c>
      <c r="R150" s="59">
        <f t="shared" ca="1" si="33"/>
        <v>0</v>
      </c>
      <c r="S150" s="59">
        <f t="shared" ca="1" si="33"/>
        <v>0</v>
      </c>
      <c r="T150" s="59">
        <f t="shared" ca="1" si="33"/>
        <v>0</v>
      </c>
      <c r="U150" s="59">
        <f t="shared" ca="1" si="33"/>
        <v>0</v>
      </c>
      <c r="V150" s="59">
        <f t="shared" ca="1" si="33"/>
        <v>0</v>
      </c>
      <c r="W150" s="59">
        <f t="shared" ca="1" si="33"/>
        <v>0</v>
      </c>
      <c r="X150" s="59">
        <f t="shared" ca="1" si="33"/>
        <v>0</v>
      </c>
      <c r="Y150" s="59">
        <f t="shared" ca="1" si="33"/>
        <v>0</v>
      </c>
      <c r="Z150" s="59">
        <f t="shared" ref="Z150" ca="1" si="44">Z113-Z112</f>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9" t="s">
        <v>104</v>
      </c>
      <c r="F151" s="59">
        <f t="shared" ca="1" si="34"/>
        <v>0</v>
      </c>
      <c r="G151" s="59">
        <f t="shared" ca="1" si="34"/>
        <v>0</v>
      </c>
      <c r="H151" s="59">
        <f t="shared" ca="1" si="33"/>
        <v>0</v>
      </c>
      <c r="I151" s="59">
        <f t="shared" ca="1" si="33"/>
        <v>0</v>
      </c>
      <c r="J151" s="59">
        <f t="shared" ca="1" si="33"/>
        <v>0</v>
      </c>
      <c r="K151" s="59">
        <f t="shared" ca="1" si="33"/>
        <v>0</v>
      </c>
      <c r="L151" s="59">
        <f t="shared" ca="1" si="33"/>
        <v>0</v>
      </c>
      <c r="M151" s="59">
        <f t="shared" ca="1" si="33"/>
        <v>0</v>
      </c>
      <c r="N151" s="59">
        <f t="shared" ca="1" si="33"/>
        <v>0</v>
      </c>
      <c r="O151" s="59">
        <f t="shared" ca="1" si="33"/>
        <v>0</v>
      </c>
      <c r="P151" s="59">
        <f t="shared" ca="1" si="33"/>
        <v>0</v>
      </c>
      <c r="Q151" s="59">
        <f t="shared" ca="1" si="33"/>
        <v>0</v>
      </c>
      <c r="R151" s="59">
        <f t="shared" ca="1" si="33"/>
        <v>0</v>
      </c>
      <c r="S151" s="59">
        <f t="shared" ca="1" si="33"/>
        <v>0</v>
      </c>
      <c r="T151" s="59">
        <f t="shared" ca="1" si="33"/>
        <v>0</v>
      </c>
      <c r="U151" s="59">
        <f t="shared" ca="1" si="33"/>
        <v>0</v>
      </c>
      <c r="V151" s="59">
        <f t="shared" ca="1" si="33"/>
        <v>0</v>
      </c>
      <c r="W151" s="59">
        <f t="shared" ca="1" si="33"/>
        <v>0</v>
      </c>
      <c r="X151" s="59">
        <f t="shared" ca="1" si="33"/>
        <v>0</v>
      </c>
      <c r="Y151" s="59">
        <f t="shared" ca="1" si="33"/>
        <v>0</v>
      </c>
      <c r="Z151" s="59">
        <f t="shared" ref="Z151" ca="1" si="45">Z114-Z113</f>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9" t="s">
        <v>107</v>
      </c>
      <c r="F152" s="59">
        <f t="shared" ca="1" si="34"/>
        <v>0</v>
      </c>
      <c r="G152" s="59">
        <f t="shared" ca="1" si="34"/>
        <v>0</v>
      </c>
      <c r="H152" s="59">
        <f t="shared" ca="1" si="33"/>
        <v>0</v>
      </c>
      <c r="I152" s="59">
        <f t="shared" ca="1" si="33"/>
        <v>0</v>
      </c>
      <c r="J152" s="59">
        <f t="shared" ca="1" si="33"/>
        <v>0</v>
      </c>
      <c r="K152" s="59">
        <f t="shared" ca="1" si="33"/>
        <v>0</v>
      </c>
      <c r="L152" s="59">
        <f t="shared" ca="1" si="33"/>
        <v>0</v>
      </c>
      <c r="M152" s="59">
        <f t="shared" ca="1" si="33"/>
        <v>0</v>
      </c>
      <c r="N152" s="59">
        <f t="shared" ca="1" si="33"/>
        <v>0</v>
      </c>
      <c r="O152" s="59">
        <f t="shared" ca="1" si="33"/>
        <v>0</v>
      </c>
      <c r="P152" s="59">
        <f t="shared" ca="1" si="33"/>
        <v>0</v>
      </c>
      <c r="Q152" s="59">
        <f t="shared" ca="1" si="33"/>
        <v>0</v>
      </c>
      <c r="R152" s="59">
        <f t="shared" ca="1" si="33"/>
        <v>0</v>
      </c>
      <c r="S152" s="59">
        <f t="shared" ca="1" si="33"/>
        <v>0</v>
      </c>
      <c r="T152" s="59">
        <f t="shared" ca="1" si="33"/>
        <v>0</v>
      </c>
      <c r="U152" s="59">
        <f t="shared" ca="1" si="33"/>
        <v>0</v>
      </c>
      <c r="V152" s="59">
        <f t="shared" ca="1" si="33"/>
        <v>0</v>
      </c>
      <c r="W152" s="59">
        <f t="shared" ca="1" si="33"/>
        <v>0</v>
      </c>
      <c r="X152" s="59">
        <f t="shared" ca="1" si="33"/>
        <v>0</v>
      </c>
      <c r="Y152" s="59">
        <f t="shared" ca="1" si="33"/>
        <v>0</v>
      </c>
      <c r="Z152" s="59">
        <f t="shared" ref="Z152" ca="1" si="46">Z115-Z114</f>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9" t="s">
        <v>110</v>
      </c>
      <c r="F153" s="59">
        <f t="shared" ca="1" si="34"/>
        <v>0</v>
      </c>
      <c r="G153" s="59">
        <f t="shared" ca="1" si="34"/>
        <v>0</v>
      </c>
      <c r="H153" s="59">
        <f t="shared" ca="1" si="33"/>
        <v>0</v>
      </c>
      <c r="I153" s="59">
        <f t="shared" ca="1" si="33"/>
        <v>0</v>
      </c>
      <c r="J153" s="59">
        <f t="shared" ca="1" si="33"/>
        <v>0</v>
      </c>
      <c r="K153" s="59">
        <f t="shared" ca="1" si="33"/>
        <v>0</v>
      </c>
      <c r="L153" s="59">
        <f t="shared" ca="1" si="33"/>
        <v>0</v>
      </c>
      <c r="M153" s="59">
        <f t="shared" ca="1" si="33"/>
        <v>0</v>
      </c>
      <c r="N153" s="59">
        <f t="shared" ca="1" si="33"/>
        <v>0</v>
      </c>
      <c r="O153" s="59">
        <f t="shared" ca="1" si="33"/>
        <v>0</v>
      </c>
      <c r="P153" s="59">
        <f t="shared" ca="1" si="33"/>
        <v>0</v>
      </c>
      <c r="Q153" s="59">
        <f t="shared" ref="Q153:Z156" ca="1" si="47">Q116-Q115</f>
        <v>0</v>
      </c>
      <c r="R153" s="59">
        <f t="shared" ca="1" si="47"/>
        <v>0</v>
      </c>
      <c r="S153" s="59">
        <f t="shared" ca="1" si="47"/>
        <v>0</v>
      </c>
      <c r="T153" s="59">
        <f t="shared" ca="1" si="47"/>
        <v>0</v>
      </c>
      <c r="U153" s="59">
        <f t="shared" ca="1" si="47"/>
        <v>0</v>
      </c>
      <c r="V153" s="59">
        <f t="shared" ca="1" si="47"/>
        <v>0</v>
      </c>
      <c r="W153" s="59">
        <f t="shared" ca="1" si="47"/>
        <v>0</v>
      </c>
      <c r="X153" s="59">
        <f t="shared" ca="1" si="47"/>
        <v>0</v>
      </c>
      <c r="Y153" s="59">
        <f t="shared" ca="1" si="47"/>
        <v>0</v>
      </c>
      <c r="Z153" s="59">
        <f t="shared" ca="1" si="47"/>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9" t="s">
        <v>113</v>
      </c>
      <c r="F154" s="59">
        <f t="shared" ca="1" si="34"/>
        <v>0</v>
      </c>
      <c r="G154" s="59">
        <f t="shared" ca="1" si="34"/>
        <v>0</v>
      </c>
      <c r="H154" s="59">
        <f t="shared" ca="1" si="34"/>
        <v>0</v>
      </c>
      <c r="I154" s="59">
        <f t="shared" ca="1" si="34"/>
        <v>0</v>
      </c>
      <c r="J154" s="59">
        <f t="shared" ca="1" si="34"/>
        <v>0</v>
      </c>
      <c r="K154" s="59">
        <f t="shared" ca="1" si="34"/>
        <v>0</v>
      </c>
      <c r="L154" s="59">
        <f t="shared" ca="1" si="34"/>
        <v>0</v>
      </c>
      <c r="M154" s="59">
        <f t="shared" ca="1" si="34"/>
        <v>0</v>
      </c>
      <c r="N154" s="59">
        <f t="shared" ca="1" si="34"/>
        <v>0</v>
      </c>
      <c r="O154" s="59">
        <f t="shared" ca="1" si="34"/>
        <v>0</v>
      </c>
      <c r="P154" s="59">
        <f t="shared" ca="1" si="34"/>
        <v>0</v>
      </c>
      <c r="Q154" s="59">
        <f t="shared" ca="1" si="34"/>
        <v>0</v>
      </c>
      <c r="R154" s="59">
        <f t="shared" ca="1" si="34"/>
        <v>0</v>
      </c>
      <c r="S154" s="59">
        <f t="shared" ca="1" si="34"/>
        <v>0</v>
      </c>
      <c r="T154" s="59">
        <f t="shared" ca="1" si="34"/>
        <v>0</v>
      </c>
      <c r="U154" s="59">
        <f t="shared" ca="1" si="34"/>
        <v>0</v>
      </c>
      <c r="V154" s="59">
        <f t="shared" ca="1" si="47"/>
        <v>0</v>
      </c>
      <c r="W154" s="59">
        <f t="shared" ca="1" si="47"/>
        <v>0</v>
      </c>
      <c r="X154" s="59">
        <f t="shared" ca="1" si="47"/>
        <v>0</v>
      </c>
      <c r="Y154" s="59">
        <f t="shared" ca="1" si="47"/>
        <v>0</v>
      </c>
      <c r="Z154" s="59">
        <f t="shared" ca="1" si="47"/>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9" t="s">
        <v>116</v>
      </c>
      <c r="F155" s="59">
        <f t="shared" ca="1" si="34"/>
        <v>0</v>
      </c>
      <c r="G155" s="59">
        <f t="shared" ca="1" si="34"/>
        <v>0</v>
      </c>
      <c r="H155" s="59">
        <f t="shared" ca="1" si="34"/>
        <v>0</v>
      </c>
      <c r="I155" s="59">
        <f t="shared" ca="1" si="34"/>
        <v>0</v>
      </c>
      <c r="J155" s="59">
        <f t="shared" ca="1" si="34"/>
        <v>0</v>
      </c>
      <c r="K155" s="59">
        <f t="shared" ca="1" si="34"/>
        <v>0</v>
      </c>
      <c r="L155" s="59">
        <f t="shared" ca="1" si="34"/>
        <v>0</v>
      </c>
      <c r="M155" s="59">
        <f t="shared" ca="1" si="34"/>
        <v>0</v>
      </c>
      <c r="N155" s="59">
        <f t="shared" ca="1" si="34"/>
        <v>0</v>
      </c>
      <c r="O155" s="59">
        <f t="shared" ca="1" si="34"/>
        <v>0</v>
      </c>
      <c r="P155" s="59">
        <f t="shared" ca="1" si="34"/>
        <v>0</v>
      </c>
      <c r="Q155" s="59">
        <f t="shared" ca="1" si="34"/>
        <v>0</v>
      </c>
      <c r="R155" s="59">
        <f t="shared" ca="1" si="34"/>
        <v>0</v>
      </c>
      <c r="S155" s="59">
        <f t="shared" ca="1" si="34"/>
        <v>0</v>
      </c>
      <c r="T155" s="59">
        <f t="shared" ca="1" si="34"/>
        <v>0</v>
      </c>
      <c r="U155" s="59">
        <f t="shared" ca="1" si="34"/>
        <v>0</v>
      </c>
      <c r="V155" s="59">
        <f t="shared" ca="1" si="47"/>
        <v>0</v>
      </c>
      <c r="W155" s="59">
        <f t="shared" ca="1" si="47"/>
        <v>0</v>
      </c>
      <c r="X155" s="59">
        <f t="shared" ca="1" si="47"/>
        <v>0</v>
      </c>
      <c r="Y155" s="59">
        <f t="shared" ca="1" si="47"/>
        <v>0</v>
      </c>
      <c r="Z155" s="59">
        <f t="shared" ca="1" si="47"/>
        <v>0</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9" t="s">
        <v>119</v>
      </c>
      <c r="F156" s="59">
        <f t="shared" ca="1" si="34"/>
        <v>0</v>
      </c>
      <c r="G156" s="59">
        <f t="shared" ca="1" si="34"/>
        <v>0</v>
      </c>
      <c r="H156" s="59">
        <f t="shared" ca="1" si="34"/>
        <v>0</v>
      </c>
      <c r="I156" s="59">
        <f t="shared" ca="1" si="34"/>
        <v>0</v>
      </c>
      <c r="J156" s="59">
        <f t="shared" ca="1" si="34"/>
        <v>0</v>
      </c>
      <c r="K156" s="59">
        <f t="shared" ca="1" si="34"/>
        <v>0</v>
      </c>
      <c r="L156" s="59">
        <f t="shared" ca="1" si="34"/>
        <v>0</v>
      </c>
      <c r="M156" s="59">
        <f t="shared" ca="1" si="34"/>
        <v>0</v>
      </c>
      <c r="N156" s="59">
        <f t="shared" ca="1" si="34"/>
        <v>0</v>
      </c>
      <c r="O156" s="59">
        <f t="shared" ca="1" si="34"/>
        <v>0</v>
      </c>
      <c r="P156" s="59">
        <f t="shared" ca="1" si="34"/>
        <v>0</v>
      </c>
      <c r="Q156" s="59">
        <f t="shared" ca="1" si="34"/>
        <v>0</v>
      </c>
      <c r="R156" s="59">
        <f t="shared" ca="1" si="34"/>
        <v>0</v>
      </c>
      <c r="S156" s="59">
        <f t="shared" ca="1" si="34"/>
        <v>0</v>
      </c>
      <c r="T156" s="59">
        <f t="shared" ca="1" si="34"/>
        <v>0</v>
      </c>
      <c r="U156" s="59">
        <f t="shared" ca="1" si="34"/>
        <v>0</v>
      </c>
      <c r="V156" s="59">
        <f t="shared" ca="1" si="47"/>
        <v>0</v>
      </c>
      <c r="W156" s="59">
        <f t="shared" ca="1" si="47"/>
        <v>0</v>
      </c>
      <c r="X156" s="59">
        <f t="shared" ca="1" si="47"/>
        <v>0</v>
      </c>
      <c r="Y156" s="59">
        <f t="shared" ca="1" si="47"/>
        <v>0</v>
      </c>
      <c r="Z156" s="59">
        <f t="shared" ca="1" si="47"/>
        <v>0</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9" t="s">
        <v>122</v>
      </c>
      <c r="F157" s="59">
        <f t="shared" ref="F157:Z157" ca="1" si="48">F120-F119</f>
        <v>0</v>
      </c>
      <c r="G157" s="59">
        <f t="shared" ca="1" si="48"/>
        <v>0</v>
      </c>
      <c r="H157" s="59">
        <f t="shared" ca="1" si="48"/>
        <v>0</v>
      </c>
      <c r="I157" s="59">
        <f t="shared" ca="1" si="48"/>
        <v>0</v>
      </c>
      <c r="J157" s="59">
        <f t="shared" ca="1" si="48"/>
        <v>0</v>
      </c>
      <c r="K157" s="59">
        <f t="shared" ca="1" si="48"/>
        <v>0</v>
      </c>
      <c r="L157" s="59">
        <f t="shared" ca="1" si="48"/>
        <v>0</v>
      </c>
      <c r="M157" s="59">
        <f t="shared" ca="1" si="48"/>
        <v>0</v>
      </c>
      <c r="N157" s="59">
        <f t="shared" ca="1" si="48"/>
        <v>0</v>
      </c>
      <c r="O157" s="59">
        <f t="shared" ca="1" si="48"/>
        <v>0</v>
      </c>
      <c r="P157" s="59">
        <f t="shared" ca="1" si="48"/>
        <v>0</v>
      </c>
      <c r="Q157" s="59">
        <f t="shared" ca="1" si="48"/>
        <v>0</v>
      </c>
      <c r="R157" s="59">
        <f t="shared" ca="1" si="48"/>
        <v>0</v>
      </c>
      <c r="S157" s="59">
        <f t="shared" ca="1" si="48"/>
        <v>0</v>
      </c>
      <c r="T157" s="59">
        <f t="shared" ca="1" si="48"/>
        <v>0</v>
      </c>
      <c r="U157" s="59">
        <f t="shared" ca="1" si="48"/>
        <v>0</v>
      </c>
      <c r="V157" s="59">
        <f t="shared" ca="1" si="48"/>
        <v>0</v>
      </c>
      <c r="W157" s="59">
        <f t="shared" ca="1" si="48"/>
        <v>0</v>
      </c>
      <c r="X157" s="59">
        <f t="shared" ca="1" si="48"/>
        <v>0</v>
      </c>
      <c r="Y157" s="59">
        <f t="shared" ca="1" si="48"/>
        <v>0</v>
      </c>
      <c r="Z157" s="59">
        <f t="shared" ca="1" si="48"/>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9" t="s">
        <v>125</v>
      </c>
      <c r="F158" s="59">
        <f t="shared" ref="F158:Z158" ca="1" si="49">F121-F120</f>
        <v>0</v>
      </c>
      <c r="G158" s="59">
        <f t="shared" ca="1" si="49"/>
        <v>0</v>
      </c>
      <c r="H158" s="59">
        <f t="shared" ca="1" si="49"/>
        <v>0</v>
      </c>
      <c r="I158" s="59">
        <f t="shared" ca="1" si="49"/>
        <v>0</v>
      </c>
      <c r="J158" s="59">
        <f t="shared" ca="1" si="49"/>
        <v>0</v>
      </c>
      <c r="K158" s="59">
        <f t="shared" ca="1" si="49"/>
        <v>0</v>
      </c>
      <c r="L158" s="59">
        <f t="shared" ca="1" si="49"/>
        <v>0</v>
      </c>
      <c r="M158" s="59">
        <f t="shared" ca="1" si="49"/>
        <v>0</v>
      </c>
      <c r="N158" s="59">
        <f t="shared" ca="1" si="49"/>
        <v>0</v>
      </c>
      <c r="O158" s="59">
        <f t="shared" ca="1" si="49"/>
        <v>0</v>
      </c>
      <c r="P158" s="59">
        <f t="shared" ca="1" si="49"/>
        <v>0</v>
      </c>
      <c r="Q158" s="59">
        <f t="shared" ca="1" si="49"/>
        <v>0</v>
      </c>
      <c r="R158" s="59">
        <f t="shared" ca="1" si="49"/>
        <v>0</v>
      </c>
      <c r="S158" s="59">
        <f t="shared" ca="1" si="49"/>
        <v>0</v>
      </c>
      <c r="T158" s="59">
        <f t="shared" ca="1" si="49"/>
        <v>0</v>
      </c>
      <c r="U158" s="59">
        <f t="shared" ca="1" si="49"/>
        <v>0</v>
      </c>
      <c r="V158" s="59">
        <f t="shared" ca="1" si="49"/>
        <v>0</v>
      </c>
      <c r="W158" s="59">
        <f t="shared" ca="1" si="49"/>
        <v>0</v>
      </c>
      <c r="X158" s="59">
        <f t="shared" ca="1" si="49"/>
        <v>0</v>
      </c>
      <c r="Y158" s="59">
        <f t="shared" ca="1" si="49"/>
        <v>0</v>
      </c>
      <c r="Z158" s="59">
        <f t="shared" ca="1" si="49"/>
        <v>0</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9" t="s">
        <v>128</v>
      </c>
      <c r="F159" s="59">
        <f t="shared" ref="F159:Z159" ca="1" si="50">F122-F121</f>
        <v>0</v>
      </c>
      <c r="G159" s="59">
        <f t="shared" ca="1" si="50"/>
        <v>0</v>
      </c>
      <c r="H159" s="59">
        <f t="shared" ca="1" si="50"/>
        <v>0</v>
      </c>
      <c r="I159" s="59">
        <f t="shared" ca="1" si="50"/>
        <v>0</v>
      </c>
      <c r="J159" s="59">
        <f t="shared" ca="1" si="50"/>
        <v>0</v>
      </c>
      <c r="K159" s="59">
        <f t="shared" ca="1" si="50"/>
        <v>0</v>
      </c>
      <c r="L159" s="59">
        <f t="shared" ca="1" si="50"/>
        <v>0</v>
      </c>
      <c r="M159" s="59">
        <f t="shared" ca="1" si="50"/>
        <v>0</v>
      </c>
      <c r="N159" s="59">
        <f t="shared" ca="1" si="50"/>
        <v>0</v>
      </c>
      <c r="O159" s="59">
        <f t="shared" ca="1" si="50"/>
        <v>0</v>
      </c>
      <c r="P159" s="59">
        <f t="shared" ca="1" si="50"/>
        <v>0</v>
      </c>
      <c r="Q159" s="59">
        <f t="shared" ca="1" si="50"/>
        <v>0</v>
      </c>
      <c r="R159" s="59">
        <f t="shared" ca="1" si="50"/>
        <v>0</v>
      </c>
      <c r="S159" s="59">
        <f t="shared" ca="1" si="50"/>
        <v>0</v>
      </c>
      <c r="T159" s="59">
        <f t="shared" ca="1" si="50"/>
        <v>0</v>
      </c>
      <c r="U159" s="59">
        <f t="shared" ca="1" si="50"/>
        <v>0</v>
      </c>
      <c r="V159" s="59">
        <f t="shared" ca="1" si="50"/>
        <v>0</v>
      </c>
      <c r="W159" s="59">
        <f t="shared" ca="1" si="50"/>
        <v>0</v>
      </c>
      <c r="X159" s="59">
        <f t="shared" ca="1" si="50"/>
        <v>0</v>
      </c>
      <c r="Y159" s="59">
        <f t="shared" ca="1" si="50"/>
        <v>0</v>
      </c>
      <c r="Z159" s="59">
        <f t="shared" ca="1" si="50"/>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9" t="s">
        <v>534</v>
      </c>
      <c r="F160" s="59">
        <f t="shared" ref="F160:Z160" ca="1" si="51">F123-F122</f>
        <v>0</v>
      </c>
      <c r="G160" s="59">
        <f t="shared" ca="1" si="51"/>
        <v>0</v>
      </c>
      <c r="H160" s="59">
        <f t="shared" ca="1" si="51"/>
        <v>0</v>
      </c>
      <c r="I160" s="59">
        <f t="shared" ca="1" si="51"/>
        <v>0</v>
      </c>
      <c r="J160" s="59">
        <f t="shared" ca="1" si="51"/>
        <v>0</v>
      </c>
      <c r="K160" s="59">
        <f t="shared" ca="1" si="51"/>
        <v>0</v>
      </c>
      <c r="L160" s="59">
        <f t="shared" ca="1" si="51"/>
        <v>0</v>
      </c>
      <c r="M160" s="59">
        <f t="shared" ca="1" si="51"/>
        <v>0</v>
      </c>
      <c r="N160" s="59">
        <f t="shared" ca="1" si="51"/>
        <v>0</v>
      </c>
      <c r="O160" s="59">
        <f t="shared" ca="1" si="51"/>
        <v>0</v>
      </c>
      <c r="P160" s="59">
        <f t="shared" ca="1" si="51"/>
        <v>0</v>
      </c>
      <c r="Q160" s="59">
        <f t="shared" ca="1" si="51"/>
        <v>0</v>
      </c>
      <c r="R160" s="59">
        <f t="shared" ca="1" si="51"/>
        <v>0</v>
      </c>
      <c r="S160" s="59">
        <f t="shared" ca="1" si="51"/>
        <v>0</v>
      </c>
      <c r="T160" s="59">
        <f t="shared" ca="1" si="51"/>
        <v>0</v>
      </c>
      <c r="U160" s="59">
        <f t="shared" ca="1" si="51"/>
        <v>0</v>
      </c>
      <c r="V160" s="59">
        <f t="shared" ca="1" si="51"/>
        <v>0</v>
      </c>
      <c r="W160" s="59">
        <f t="shared" ca="1" si="51"/>
        <v>0</v>
      </c>
      <c r="X160" s="59">
        <f t="shared" ca="1" si="51"/>
        <v>0</v>
      </c>
      <c r="Y160" s="59">
        <f t="shared" ca="1" si="51"/>
        <v>0</v>
      </c>
      <c r="Z160" s="59">
        <f t="shared" ca="1" si="51"/>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9" t="s">
        <v>536</v>
      </c>
      <c r="F161" s="59">
        <f t="shared" ref="F161:Z161" ca="1" si="52">F124-F123</f>
        <v>0</v>
      </c>
      <c r="G161" s="59">
        <f t="shared" ca="1" si="52"/>
        <v>0</v>
      </c>
      <c r="H161" s="59">
        <f t="shared" ca="1" si="52"/>
        <v>0</v>
      </c>
      <c r="I161" s="59">
        <f t="shared" ca="1" si="52"/>
        <v>0</v>
      </c>
      <c r="J161" s="59">
        <f t="shared" ca="1" si="52"/>
        <v>0</v>
      </c>
      <c r="K161" s="59">
        <f t="shared" ca="1" si="52"/>
        <v>0</v>
      </c>
      <c r="L161" s="59">
        <f t="shared" ca="1" si="52"/>
        <v>0</v>
      </c>
      <c r="M161" s="59">
        <f t="shared" ca="1" si="52"/>
        <v>0</v>
      </c>
      <c r="N161" s="59">
        <f t="shared" ca="1" si="52"/>
        <v>0</v>
      </c>
      <c r="O161" s="59">
        <f t="shared" ca="1" si="52"/>
        <v>0</v>
      </c>
      <c r="P161" s="59">
        <f t="shared" ca="1" si="52"/>
        <v>0</v>
      </c>
      <c r="Q161" s="59">
        <f t="shared" ca="1" si="52"/>
        <v>0</v>
      </c>
      <c r="R161" s="59">
        <f t="shared" ca="1" si="52"/>
        <v>0</v>
      </c>
      <c r="S161" s="59">
        <f t="shared" ca="1" si="52"/>
        <v>0</v>
      </c>
      <c r="T161" s="59">
        <f t="shared" ca="1" si="52"/>
        <v>0</v>
      </c>
      <c r="U161" s="59">
        <f t="shared" ca="1" si="52"/>
        <v>0</v>
      </c>
      <c r="V161" s="59">
        <f t="shared" ca="1" si="52"/>
        <v>0</v>
      </c>
      <c r="W161" s="59">
        <f t="shared" ca="1" si="52"/>
        <v>0</v>
      </c>
      <c r="X161" s="59">
        <f t="shared" ca="1" si="52"/>
        <v>0</v>
      </c>
      <c r="Y161" s="59">
        <f t="shared" ca="1" si="52"/>
        <v>0</v>
      </c>
      <c r="Z161" s="59">
        <f t="shared" ca="1" si="52"/>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9" t="s">
        <v>539</v>
      </c>
      <c r="F162" s="59">
        <f t="shared" ref="F162:Z162" ca="1" si="53">F125-F124</f>
        <v>0</v>
      </c>
      <c r="G162" s="59">
        <f t="shared" ca="1" si="53"/>
        <v>0</v>
      </c>
      <c r="H162" s="59">
        <f t="shared" ca="1" si="53"/>
        <v>0</v>
      </c>
      <c r="I162" s="59">
        <f t="shared" ca="1" si="53"/>
        <v>0</v>
      </c>
      <c r="J162" s="59">
        <f t="shared" ca="1" si="53"/>
        <v>0</v>
      </c>
      <c r="K162" s="59">
        <f t="shared" ca="1" si="53"/>
        <v>0</v>
      </c>
      <c r="L162" s="59">
        <f t="shared" ca="1" si="53"/>
        <v>0</v>
      </c>
      <c r="M162" s="59">
        <f t="shared" ca="1" si="53"/>
        <v>0</v>
      </c>
      <c r="N162" s="59">
        <f t="shared" ca="1" si="53"/>
        <v>0</v>
      </c>
      <c r="O162" s="59">
        <f t="shared" ca="1" si="53"/>
        <v>0</v>
      </c>
      <c r="P162" s="59">
        <f t="shared" ca="1" si="53"/>
        <v>0</v>
      </c>
      <c r="Q162" s="59">
        <f t="shared" ca="1" si="53"/>
        <v>0</v>
      </c>
      <c r="R162" s="59">
        <f t="shared" ca="1" si="53"/>
        <v>0</v>
      </c>
      <c r="S162" s="59">
        <f t="shared" ca="1" si="53"/>
        <v>0</v>
      </c>
      <c r="T162" s="59">
        <f t="shared" ca="1" si="53"/>
        <v>0</v>
      </c>
      <c r="U162" s="59">
        <f t="shared" ca="1" si="53"/>
        <v>0</v>
      </c>
      <c r="V162" s="59">
        <f t="shared" ca="1" si="53"/>
        <v>0</v>
      </c>
      <c r="W162" s="59">
        <f t="shared" ca="1" si="53"/>
        <v>0</v>
      </c>
      <c r="X162" s="59">
        <f t="shared" ca="1" si="53"/>
        <v>0</v>
      </c>
      <c r="Y162" s="59">
        <f t="shared" ca="1" si="53"/>
        <v>0</v>
      </c>
      <c r="Z162" s="59">
        <f t="shared" ca="1" si="53"/>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9" t="s">
        <v>542</v>
      </c>
      <c r="F163" s="59">
        <f t="shared" ref="F163:Z163" ca="1" si="54">F126-F125</f>
        <v>0</v>
      </c>
      <c r="G163" s="59">
        <f t="shared" ca="1" si="54"/>
        <v>0</v>
      </c>
      <c r="H163" s="59">
        <f t="shared" ca="1" si="54"/>
        <v>0</v>
      </c>
      <c r="I163" s="59">
        <f t="shared" ca="1" si="54"/>
        <v>0</v>
      </c>
      <c r="J163" s="59">
        <f t="shared" ca="1" si="54"/>
        <v>0</v>
      </c>
      <c r="K163" s="59">
        <f t="shared" ca="1" si="54"/>
        <v>0</v>
      </c>
      <c r="L163" s="59">
        <f t="shared" ca="1" si="54"/>
        <v>0</v>
      </c>
      <c r="M163" s="59">
        <f t="shared" ca="1" si="54"/>
        <v>0</v>
      </c>
      <c r="N163" s="59">
        <f t="shared" ca="1" si="54"/>
        <v>0</v>
      </c>
      <c r="O163" s="59">
        <f t="shared" ca="1" si="54"/>
        <v>0</v>
      </c>
      <c r="P163" s="59">
        <f t="shared" ca="1" si="54"/>
        <v>0</v>
      </c>
      <c r="Q163" s="59">
        <f t="shared" ca="1" si="54"/>
        <v>0</v>
      </c>
      <c r="R163" s="59">
        <f t="shared" ca="1" si="54"/>
        <v>0</v>
      </c>
      <c r="S163" s="59">
        <f t="shared" ca="1" si="54"/>
        <v>0</v>
      </c>
      <c r="T163" s="59">
        <f t="shared" ca="1" si="54"/>
        <v>0</v>
      </c>
      <c r="U163" s="59">
        <f t="shared" ca="1" si="54"/>
        <v>0</v>
      </c>
      <c r="V163" s="59">
        <f t="shared" ca="1" si="54"/>
        <v>0</v>
      </c>
      <c r="W163" s="59">
        <f t="shared" ca="1" si="54"/>
        <v>0</v>
      </c>
      <c r="X163" s="59">
        <f t="shared" ca="1" si="54"/>
        <v>0</v>
      </c>
      <c r="Y163" s="59">
        <f t="shared" ca="1" si="54"/>
        <v>0</v>
      </c>
      <c r="Z163" s="59">
        <f t="shared" ca="1" si="54"/>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9" t="s">
        <v>545</v>
      </c>
      <c r="F164" s="59">
        <f t="shared" ref="F164:Z164" ca="1" si="55">F127-F126</f>
        <v>0</v>
      </c>
      <c r="G164" s="59">
        <f t="shared" ca="1" si="55"/>
        <v>0</v>
      </c>
      <c r="H164" s="59">
        <f t="shared" ca="1" si="55"/>
        <v>0</v>
      </c>
      <c r="I164" s="59">
        <f t="shared" ca="1" si="55"/>
        <v>0</v>
      </c>
      <c r="J164" s="59">
        <f t="shared" ca="1" si="55"/>
        <v>0</v>
      </c>
      <c r="K164" s="59">
        <f t="shared" ca="1" si="55"/>
        <v>0</v>
      </c>
      <c r="L164" s="59">
        <f t="shared" ca="1" si="55"/>
        <v>0</v>
      </c>
      <c r="M164" s="59">
        <f t="shared" ca="1" si="55"/>
        <v>0</v>
      </c>
      <c r="N164" s="59">
        <f t="shared" ca="1" si="55"/>
        <v>0</v>
      </c>
      <c r="O164" s="59">
        <f t="shared" ca="1" si="55"/>
        <v>0</v>
      </c>
      <c r="P164" s="59">
        <f t="shared" ca="1" si="55"/>
        <v>0</v>
      </c>
      <c r="Q164" s="59">
        <f t="shared" ca="1" si="55"/>
        <v>0</v>
      </c>
      <c r="R164" s="59">
        <f t="shared" ca="1" si="55"/>
        <v>0</v>
      </c>
      <c r="S164" s="59">
        <f t="shared" ca="1" si="55"/>
        <v>0</v>
      </c>
      <c r="T164" s="59">
        <f t="shared" ca="1" si="55"/>
        <v>0</v>
      </c>
      <c r="U164" s="59">
        <f t="shared" ca="1" si="55"/>
        <v>0</v>
      </c>
      <c r="V164" s="59">
        <f t="shared" ca="1" si="55"/>
        <v>0</v>
      </c>
      <c r="W164" s="59">
        <f t="shared" ca="1" si="55"/>
        <v>0</v>
      </c>
      <c r="X164" s="59">
        <f t="shared" ca="1" si="55"/>
        <v>0</v>
      </c>
      <c r="Y164" s="59">
        <f t="shared" ca="1" si="55"/>
        <v>0</v>
      </c>
      <c r="Z164" s="59">
        <f t="shared" ca="1" si="55"/>
        <v>0</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9" t="s">
        <v>548</v>
      </c>
      <c r="F165" s="59">
        <f t="shared" ref="F165:Z165" ca="1" si="56">F128-F127</f>
        <v>0</v>
      </c>
      <c r="G165" s="59">
        <f t="shared" ca="1" si="56"/>
        <v>0</v>
      </c>
      <c r="H165" s="59">
        <f t="shared" ca="1" si="56"/>
        <v>0</v>
      </c>
      <c r="I165" s="59">
        <f t="shared" ca="1" si="56"/>
        <v>0</v>
      </c>
      <c r="J165" s="59">
        <f t="shared" ca="1" si="56"/>
        <v>0</v>
      </c>
      <c r="K165" s="59">
        <f t="shared" ca="1" si="56"/>
        <v>0</v>
      </c>
      <c r="L165" s="59">
        <f t="shared" ca="1" si="56"/>
        <v>0</v>
      </c>
      <c r="M165" s="59">
        <f t="shared" ca="1" si="56"/>
        <v>0</v>
      </c>
      <c r="N165" s="59">
        <f t="shared" ca="1" si="56"/>
        <v>0</v>
      </c>
      <c r="O165" s="59">
        <f t="shared" ca="1" si="56"/>
        <v>0</v>
      </c>
      <c r="P165" s="59">
        <f t="shared" ca="1" si="56"/>
        <v>0</v>
      </c>
      <c r="Q165" s="59">
        <f t="shared" ca="1" si="56"/>
        <v>0</v>
      </c>
      <c r="R165" s="59">
        <f t="shared" ca="1" si="56"/>
        <v>0</v>
      </c>
      <c r="S165" s="59">
        <f t="shared" ca="1" si="56"/>
        <v>0</v>
      </c>
      <c r="T165" s="59">
        <f t="shared" ca="1" si="56"/>
        <v>0</v>
      </c>
      <c r="U165" s="59">
        <f t="shared" ca="1" si="56"/>
        <v>0</v>
      </c>
      <c r="V165" s="59">
        <f t="shared" ca="1" si="56"/>
        <v>0</v>
      </c>
      <c r="W165" s="59">
        <f t="shared" ca="1" si="56"/>
        <v>0</v>
      </c>
      <c r="X165" s="59">
        <f t="shared" ca="1" si="56"/>
        <v>0</v>
      </c>
      <c r="Y165" s="59">
        <f t="shared" ca="1" si="56"/>
        <v>0</v>
      </c>
      <c r="Z165" s="59">
        <f t="shared" ca="1" si="56"/>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9" t="s">
        <v>551</v>
      </c>
      <c r="F166" s="59">
        <f t="shared" ref="F166:Z166" ca="1" si="57">F129-F128</f>
        <v>0</v>
      </c>
      <c r="G166" s="59">
        <f t="shared" ca="1" si="57"/>
        <v>0</v>
      </c>
      <c r="H166" s="59">
        <f t="shared" ca="1" si="57"/>
        <v>0</v>
      </c>
      <c r="I166" s="59">
        <f t="shared" ca="1" si="57"/>
        <v>0</v>
      </c>
      <c r="J166" s="59">
        <f t="shared" ca="1" si="57"/>
        <v>0</v>
      </c>
      <c r="K166" s="59">
        <f t="shared" ca="1" si="57"/>
        <v>0</v>
      </c>
      <c r="L166" s="59">
        <f t="shared" ca="1" si="57"/>
        <v>0</v>
      </c>
      <c r="M166" s="59">
        <f t="shared" ca="1" si="57"/>
        <v>0</v>
      </c>
      <c r="N166" s="59">
        <f t="shared" ca="1" si="57"/>
        <v>0</v>
      </c>
      <c r="O166" s="59">
        <f t="shared" ca="1" si="57"/>
        <v>0</v>
      </c>
      <c r="P166" s="59">
        <f t="shared" ca="1" si="57"/>
        <v>0</v>
      </c>
      <c r="Q166" s="59">
        <f t="shared" ca="1" si="57"/>
        <v>0</v>
      </c>
      <c r="R166" s="59">
        <f t="shared" ca="1" si="57"/>
        <v>0</v>
      </c>
      <c r="S166" s="59">
        <f t="shared" ca="1" si="57"/>
        <v>0</v>
      </c>
      <c r="T166" s="59">
        <f t="shared" ca="1" si="57"/>
        <v>0</v>
      </c>
      <c r="U166" s="59">
        <f t="shared" ca="1" si="57"/>
        <v>0</v>
      </c>
      <c r="V166" s="59">
        <f t="shared" ca="1" si="57"/>
        <v>0</v>
      </c>
      <c r="W166" s="59">
        <f t="shared" ca="1" si="57"/>
        <v>0</v>
      </c>
      <c r="X166" s="59">
        <f t="shared" ca="1" si="57"/>
        <v>0</v>
      </c>
      <c r="Y166" s="59">
        <f t="shared" ca="1" si="57"/>
        <v>0</v>
      </c>
      <c r="Z166" s="59">
        <f t="shared" ca="1" si="57"/>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D167" s="9" t="s">
        <v>554</v>
      </c>
      <c r="F167" s="59">
        <f t="shared" ref="F167:Z167" ca="1" si="58">F130-F129</f>
        <v>0</v>
      </c>
      <c r="G167" s="59">
        <f t="shared" ca="1" si="58"/>
        <v>0</v>
      </c>
      <c r="H167" s="59">
        <f t="shared" ca="1" si="58"/>
        <v>0</v>
      </c>
      <c r="I167" s="59">
        <f t="shared" ca="1" si="58"/>
        <v>0</v>
      </c>
      <c r="J167" s="59">
        <f t="shared" ca="1" si="58"/>
        <v>0</v>
      </c>
      <c r="K167" s="59">
        <f t="shared" ca="1" si="58"/>
        <v>0</v>
      </c>
      <c r="L167" s="59">
        <f t="shared" ca="1" si="58"/>
        <v>0</v>
      </c>
      <c r="M167" s="59">
        <f t="shared" ca="1" si="58"/>
        <v>0</v>
      </c>
      <c r="N167" s="59">
        <f t="shared" ca="1" si="58"/>
        <v>0</v>
      </c>
      <c r="O167" s="59">
        <f t="shared" ca="1" si="58"/>
        <v>0</v>
      </c>
      <c r="P167" s="59">
        <f t="shared" ca="1" si="58"/>
        <v>0</v>
      </c>
      <c r="Q167" s="59">
        <f t="shared" ca="1" si="58"/>
        <v>0</v>
      </c>
      <c r="R167" s="59">
        <f t="shared" ca="1" si="58"/>
        <v>0</v>
      </c>
      <c r="S167" s="59">
        <f t="shared" ca="1" si="58"/>
        <v>0</v>
      </c>
      <c r="T167" s="59">
        <f t="shared" ca="1" si="58"/>
        <v>0</v>
      </c>
      <c r="U167" s="59">
        <f t="shared" ca="1" si="58"/>
        <v>0</v>
      </c>
      <c r="V167" s="59">
        <f t="shared" ca="1" si="58"/>
        <v>0</v>
      </c>
      <c r="W167" s="59">
        <f t="shared" ca="1" si="58"/>
        <v>0</v>
      </c>
      <c r="X167" s="59">
        <f t="shared" ca="1" si="58"/>
        <v>0</v>
      </c>
      <c r="Y167" s="59">
        <f t="shared" ca="1" si="58"/>
        <v>0</v>
      </c>
      <c r="Z167" s="59">
        <f t="shared" ca="1" si="58"/>
        <v>0</v>
      </c>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c r="D168" s="9" t="s">
        <v>557</v>
      </c>
      <c r="F168" s="59">
        <f t="shared" ref="F168:Z168" ca="1" si="59">F131-F130</f>
        <v>0</v>
      </c>
      <c r="G168" s="59">
        <f t="shared" ca="1" si="59"/>
        <v>0</v>
      </c>
      <c r="H168" s="59">
        <f t="shared" ca="1" si="59"/>
        <v>0</v>
      </c>
      <c r="I168" s="59">
        <f t="shared" ca="1" si="59"/>
        <v>0</v>
      </c>
      <c r="J168" s="59">
        <f t="shared" ca="1" si="59"/>
        <v>0</v>
      </c>
      <c r="K168" s="59">
        <f t="shared" ca="1" si="59"/>
        <v>0</v>
      </c>
      <c r="L168" s="59">
        <f t="shared" ca="1" si="59"/>
        <v>0</v>
      </c>
      <c r="M168" s="59">
        <f t="shared" ca="1" si="59"/>
        <v>0</v>
      </c>
      <c r="N168" s="59">
        <f t="shared" ca="1" si="59"/>
        <v>0</v>
      </c>
      <c r="O168" s="59">
        <f t="shared" ca="1" si="59"/>
        <v>0</v>
      </c>
      <c r="P168" s="59">
        <f t="shared" ca="1" si="59"/>
        <v>0</v>
      </c>
      <c r="Q168" s="59">
        <f t="shared" ca="1" si="59"/>
        <v>0</v>
      </c>
      <c r="R168" s="59">
        <f t="shared" ca="1" si="59"/>
        <v>0</v>
      </c>
      <c r="S168" s="59">
        <f t="shared" ca="1" si="59"/>
        <v>0</v>
      </c>
      <c r="T168" s="59">
        <f t="shared" ca="1" si="59"/>
        <v>0</v>
      </c>
      <c r="U168" s="59">
        <f t="shared" ca="1" si="59"/>
        <v>0</v>
      </c>
      <c r="V168" s="59">
        <f t="shared" ca="1" si="59"/>
        <v>0</v>
      </c>
      <c r="W168" s="59">
        <f t="shared" ca="1" si="59"/>
        <v>0</v>
      </c>
      <c r="X168" s="59">
        <f t="shared" ca="1" si="59"/>
        <v>0</v>
      </c>
      <c r="Y168" s="59">
        <f t="shared" ca="1" si="59"/>
        <v>0</v>
      </c>
      <c r="Z168" s="59">
        <f t="shared" ca="1" si="59"/>
        <v>0</v>
      </c>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c r="D169" s="9" t="s">
        <v>560</v>
      </c>
      <c r="F169" s="59">
        <f t="shared" ref="F169:Z169" ca="1" si="60">F132-F131</f>
        <v>0</v>
      </c>
      <c r="G169" s="59">
        <f t="shared" ca="1" si="60"/>
        <v>0</v>
      </c>
      <c r="H169" s="59">
        <f t="shared" ca="1" si="60"/>
        <v>0</v>
      </c>
      <c r="I169" s="59">
        <f t="shared" ca="1" si="60"/>
        <v>0</v>
      </c>
      <c r="J169" s="59">
        <f t="shared" ca="1" si="60"/>
        <v>0</v>
      </c>
      <c r="K169" s="59">
        <f t="shared" ca="1" si="60"/>
        <v>0</v>
      </c>
      <c r="L169" s="59">
        <f t="shared" ca="1" si="60"/>
        <v>0</v>
      </c>
      <c r="M169" s="59">
        <f t="shared" ca="1" si="60"/>
        <v>0</v>
      </c>
      <c r="N169" s="59">
        <f t="shared" ca="1" si="60"/>
        <v>0</v>
      </c>
      <c r="O169" s="59">
        <f t="shared" ca="1" si="60"/>
        <v>0</v>
      </c>
      <c r="P169" s="59">
        <f t="shared" ca="1" si="60"/>
        <v>0</v>
      </c>
      <c r="Q169" s="59">
        <f t="shared" ca="1" si="60"/>
        <v>0</v>
      </c>
      <c r="R169" s="59">
        <f t="shared" ca="1" si="60"/>
        <v>0</v>
      </c>
      <c r="S169" s="59">
        <f t="shared" ca="1" si="60"/>
        <v>0</v>
      </c>
      <c r="T169" s="59">
        <f t="shared" ca="1" si="60"/>
        <v>0</v>
      </c>
      <c r="U169" s="59">
        <f t="shared" ca="1" si="60"/>
        <v>0</v>
      </c>
      <c r="V169" s="59">
        <f t="shared" ca="1" si="60"/>
        <v>0</v>
      </c>
      <c r="W169" s="59">
        <f t="shared" ca="1" si="60"/>
        <v>0</v>
      </c>
      <c r="X169" s="59">
        <f t="shared" ca="1" si="60"/>
        <v>0</v>
      </c>
      <c r="Y169" s="59">
        <f t="shared" ca="1" si="60"/>
        <v>0</v>
      </c>
      <c r="Z169" s="59">
        <f t="shared" ca="1" si="60"/>
        <v>0</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D170" s="9" t="s">
        <v>563</v>
      </c>
      <c r="F170" s="59">
        <f t="shared" ref="F170:Z170" ca="1" si="61">F133-F132</f>
        <v>0.2683004333953658</v>
      </c>
      <c r="G170" s="59">
        <f t="shared" ca="1" si="61"/>
        <v>0.43111590350136586</v>
      </c>
      <c r="H170" s="59">
        <f t="shared" ca="1" si="61"/>
        <v>0.567888769203857</v>
      </c>
      <c r="I170" s="59">
        <f t="shared" ca="1" si="61"/>
        <v>0.68190955730414871</v>
      </c>
      <c r="J170" s="59">
        <f t="shared" ca="1" si="61"/>
        <v>0.8188044781999757</v>
      </c>
      <c r="K170" s="59">
        <f t="shared" ca="1" si="61"/>
        <v>0.83661845757148434</v>
      </c>
      <c r="L170" s="59">
        <f t="shared" ca="1" si="61"/>
        <v>0.84160148847532668</v>
      </c>
      <c r="M170" s="59">
        <f t="shared" ca="1" si="61"/>
        <v>0.84140256429262816</v>
      </c>
      <c r="N170" s="59">
        <f t="shared" ca="1" si="61"/>
        <v>0.83910998314595986</v>
      </c>
      <c r="O170" s="59">
        <f t="shared" ca="1" si="61"/>
        <v>0.83683549142260372</v>
      </c>
      <c r="P170" s="59">
        <f t="shared" ca="1" si="61"/>
        <v>0.83504555602789399</v>
      </c>
      <c r="Q170" s="59">
        <f t="shared" ca="1" si="61"/>
        <v>0.83380280079177904</v>
      </c>
      <c r="R170" s="59">
        <f t="shared" ca="1" si="61"/>
        <v>0.83251794089669318</v>
      </c>
      <c r="S170" s="59">
        <f t="shared" ca="1" si="61"/>
        <v>0.83172944086301381</v>
      </c>
      <c r="T170" s="59">
        <f t="shared" ca="1" si="61"/>
        <v>0.83069430298211522</v>
      </c>
      <c r="U170" s="59">
        <f t="shared" ca="1" si="61"/>
        <v>0.82942797071597596</v>
      </c>
      <c r="V170" s="59">
        <f t="shared" ca="1" si="61"/>
        <v>0.82793820674526319</v>
      </c>
      <c r="W170" s="59">
        <f t="shared" ca="1" si="61"/>
        <v>0.82687965811981012</v>
      </c>
      <c r="X170" s="59">
        <f t="shared" ca="1" si="61"/>
        <v>0.8259945778103388</v>
      </c>
      <c r="Y170" s="59">
        <f t="shared" ca="1" si="61"/>
        <v>0.82373331503423763</v>
      </c>
      <c r="Z170" s="59">
        <f t="shared" ca="1" si="61"/>
        <v>3.9550920385259332</v>
      </c>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E171" s="59"/>
      <c r="F171" s="59"/>
      <c r="G171" s="59"/>
      <c r="H171" s="59"/>
      <c r="I171" s="59"/>
      <c r="J171" s="59"/>
      <c r="K171" s="59"/>
      <c r="L171" s="59"/>
      <c r="M171" s="59"/>
      <c r="N171" s="59"/>
      <c r="O171" s="59"/>
      <c r="P171" s="59"/>
      <c r="Q171" s="59"/>
      <c r="R171" s="59"/>
      <c r="S171" s="59"/>
      <c r="T171" s="59"/>
      <c r="U171" s="59"/>
      <c r="V171" s="59"/>
      <c r="W171" s="59"/>
      <c r="X171" s="59"/>
      <c r="Y171" s="59"/>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ht="15">
      <c r="E172" s="73" t="s">
        <v>135</v>
      </c>
      <c r="F172" s="74">
        <f t="shared" ref="F172:Y172" ca="1" si="62">SUM(F139:F170)</f>
        <v>3.0005615326880171</v>
      </c>
      <c r="G172" s="74">
        <f t="shared" ca="1" si="62"/>
        <v>4.3881812087343182</v>
      </c>
      <c r="H172" s="74">
        <f t="shared" ca="1" si="62"/>
        <v>5.3037642003651317</v>
      </c>
      <c r="I172" s="74">
        <f t="shared" ca="1" si="62"/>
        <v>5.883568503035586</v>
      </c>
      <c r="J172" s="74">
        <f t="shared" ca="1" si="62"/>
        <v>6.8510646206427168</v>
      </c>
      <c r="K172" s="74">
        <f t="shared" ca="1" si="62"/>
        <v>6.8952958668830346</v>
      </c>
      <c r="L172" s="74">
        <f t="shared" ca="1" si="62"/>
        <v>6.8414575030294618</v>
      </c>
      <c r="M172" s="74">
        <f t="shared" ca="1" si="62"/>
        <v>6.7557992286056612</v>
      </c>
      <c r="N172" s="74">
        <f t="shared" ca="1" si="62"/>
        <v>6.6585916009774202</v>
      </c>
      <c r="O172" s="74">
        <f t="shared" ca="1" si="62"/>
        <v>6.5705091559489937</v>
      </c>
      <c r="P172" s="74">
        <f t="shared" ca="1" si="62"/>
        <v>6.4931268946436349</v>
      </c>
      <c r="Q172" s="74">
        <f t="shared" ca="1" si="62"/>
        <v>6.4254986789996797</v>
      </c>
      <c r="R172" s="74">
        <f t="shared" ca="1" si="62"/>
        <v>6.3578523013842485</v>
      </c>
      <c r="S172" s="74">
        <f t="shared" ca="1" si="62"/>
        <v>6.2981220471524848</v>
      </c>
      <c r="T172" s="74">
        <f t="shared" ca="1" si="62"/>
        <v>6.2347632809604541</v>
      </c>
      <c r="U172" s="74">
        <f t="shared" ca="1" si="62"/>
        <v>6.155737078276573</v>
      </c>
      <c r="V172" s="74">
        <f t="shared" ca="1" si="62"/>
        <v>6.0737171427632628</v>
      </c>
      <c r="W172" s="74">
        <f t="shared" ca="1" si="62"/>
        <v>5.9984813771332899</v>
      </c>
      <c r="X172" s="74">
        <f t="shared" ca="1" si="62"/>
        <v>5.9262125377233605</v>
      </c>
      <c r="Y172" s="74">
        <f t="shared" ca="1" si="62"/>
        <v>5.9097831841034143</v>
      </c>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row>
    <row r="173" spans="4:79" ht="15">
      <c r="E173" s="73" t="s">
        <v>136</v>
      </c>
      <c r="F173" s="74">
        <f ca="1">F172</f>
        <v>3.0005615326880171</v>
      </c>
      <c r="G173" s="74">
        <f t="shared" ref="G173:Y173" ca="1" si="63">F173+G172</f>
        <v>7.3887427414223357</v>
      </c>
      <c r="H173" s="74">
        <f t="shared" ca="1" si="63"/>
        <v>12.692506941787467</v>
      </c>
      <c r="I173" s="74">
        <f t="shared" ca="1" si="63"/>
        <v>18.576075444823054</v>
      </c>
      <c r="J173" s="74">
        <f t="shared" ca="1" si="63"/>
        <v>25.427140065465771</v>
      </c>
      <c r="K173" s="74">
        <f t="shared" ca="1" si="63"/>
        <v>32.322435932348803</v>
      </c>
      <c r="L173" s="74">
        <f t="shared" ca="1" si="63"/>
        <v>39.163893435378263</v>
      </c>
      <c r="M173" s="74">
        <f t="shared" ca="1" si="63"/>
        <v>45.919692663983923</v>
      </c>
      <c r="N173" s="74">
        <f t="shared" ca="1" si="63"/>
        <v>52.57828426496134</v>
      </c>
      <c r="O173" s="74">
        <f t="shared" ca="1" si="63"/>
        <v>59.148793420910337</v>
      </c>
      <c r="P173" s="74">
        <f t="shared" ca="1" si="63"/>
        <v>65.641920315553975</v>
      </c>
      <c r="Q173" s="74">
        <f t="shared" ca="1" si="63"/>
        <v>72.067418994553648</v>
      </c>
      <c r="R173" s="74">
        <f t="shared" ca="1" si="63"/>
        <v>78.425271295937904</v>
      </c>
      <c r="S173" s="74">
        <f t="shared" ca="1" si="63"/>
        <v>84.723393343090393</v>
      </c>
      <c r="T173" s="74">
        <f t="shared" ca="1" si="63"/>
        <v>90.958156624050844</v>
      </c>
      <c r="U173" s="74">
        <f t="shared" ca="1" si="63"/>
        <v>97.113893702327417</v>
      </c>
      <c r="V173" s="74">
        <f t="shared" ca="1" si="63"/>
        <v>103.18761084509067</v>
      </c>
      <c r="W173" s="74">
        <f t="shared" ca="1" si="63"/>
        <v>109.18609222222396</v>
      </c>
      <c r="X173" s="74">
        <f t="shared" ca="1" si="63"/>
        <v>115.11230475994732</v>
      </c>
      <c r="Y173" s="74">
        <f t="shared" ca="1" si="63"/>
        <v>121.02208794405074</v>
      </c>
      <c r="Z173" s="74">
        <f ca="1">SUM(Z139:Z170)</f>
        <v>27.548133739474505</v>
      </c>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row>
    <row r="174" spans="4:79">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row>
    <row r="175" spans="4:79">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row>
    <row r="176" spans="4:79" customFormat="1"/>
    <row r="177" customFormat="1"/>
    <row r="178" customFormat="1"/>
    <row r="179" customFormat="1"/>
    <row r="180" customFormat="1"/>
    <row r="181" customFormat="1"/>
    <row r="182" customFormat="1"/>
    <row r="183" customFormat="1"/>
  </sheetData>
  <mergeCells count="1">
    <mergeCell ref="B1:S6"/>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10"/>
  <dimension ref="A2:W57"/>
  <sheetViews>
    <sheetView topLeftCell="A12" workbookViewId="0">
      <selection activeCell="B32" sqref="B32"/>
    </sheetView>
  </sheetViews>
  <sheetFormatPr defaultRowHeight="12.75"/>
  <cols>
    <col min="1" max="1" width="58.28515625" customWidth="1"/>
    <col min="2" max="2" width="15" bestFit="1" customWidth="1"/>
    <col min="3" max="3" width="19.42578125" customWidth="1"/>
    <col min="4" max="4" width="19.7109375" customWidth="1"/>
    <col min="5" max="5" width="17.28515625" customWidth="1"/>
    <col min="6" max="8" width="15" bestFit="1" customWidth="1"/>
    <col min="9" max="10" width="12.28515625" bestFit="1" customWidth="1"/>
    <col min="11" max="17" width="15" bestFit="1" customWidth="1"/>
    <col min="18" max="18" width="12.28515625" bestFit="1" customWidth="1"/>
    <col min="19" max="21" width="15" bestFit="1" customWidth="1"/>
    <col min="22" max="22" width="12.28515625" bestFit="1" customWidth="1"/>
  </cols>
  <sheetData>
    <row r="2" spans="1:12">
      <c r="A2" t="s">
        <v>583</v>
      </c>
    </row>
    <row r="3" spans="1:12" ht="25.5">
      <c r="B3" s="344" t="s">
        <v>48</v>
      </c>
      <c r="C3" s="344" t="s">
        <v>49</v>
      </c>
      <c r="D3" s="344" t="s">
        <v>50</v>
      </c>
      <c r="E3" s="344" t="s">
        <v>51</v>
      </c>
    </row>
    <row r="4" spans="1:12">
      <c r="A4" t="s">
        <v>151</v>
      </c>
      <c r="B4" s="345">
        <f>[3]SF!$I$114</f>
        <v>1.6655502145549572</v>
      </c>
      <c r="C4" s="345">
        <f>[3]MF!$I$105</f>
        <v>0.71239882016544165</v>
      </c>
      <c r="D4" s="346">
        <f t="shared" ref="D4:D5" si="0">C4</f>
        <v>0.71239882016544165</v>
      </c>
      <c r="E4" s="345">
        <f>[3]MH!$I$103</f>
        <v>1.1331497454290105</v>
      </c>
    </row>
    <row r="5" spans="1:12">
      <c r="A5" t="s">
        <v>153</v>
      </c>
      <c r="B5" s="345">
        <f>[3]SF!$I$120</f>
        <v>1.0109839382712824</v>
      </c>
      <c r="C5" s="345">
        <f>[3]MF!$I$111</f>
        <v>0.45062457275939666</v>
      </c>
      <c r="D5" s="346">
        <f t="shared" si="0"/>
        <v>0.45062457275939666</v>
      </c>
      <c r="E5" s="345">
        <f>[3]MH!$I$109</f>
        <v>0.72198913200149617</v>
      </c>
    </row>
    <row r="6" spans="1:12">
      <c r="B6" s="88"/>
      <c r="C6" s="88"/>
      <c r="D6" s="88"/>
      <c r="E6" s="88"/>
    </row>
    <row r="7" spans="1:12" ht="13.5" thickBot="1">
      <c r="B7" s="88"/>
      <c r="C7" s="88"/>
      <c r="D7" s="88"/>
      <c r="E7" s="88"/>
      <c r="G7" s="408" t="s">
        <v>599</v>
      </c>
      <c r="K7" s="408" t="str">
        <f>"Table 7. Home Electronic Saturations – Manufactured Home "&amp;$A$1</f>
        <v xml:space="preserve">Table 7. Home Electronic Saturations – Manufactured Home </v>
      </c>
    </row>
    <row r="8" spans="1:12" ht="25.5" thickTop="1" thickBot="1">
      <c r="B8" s="88"/>
      <c r="C8" s="88"/>
      <c r="D8" s="88"/>
      <c r="E8" s="88"/>
      <c r="G8" s="409" t="s">
        <v>584</v>
      </c>
      <c r="H8" s="410" t="s">
        <v>585</v>
      </c>
      <c r="K8" s="409" t="s">
        <v>584</v>
      </c>
      <c r="L8" s="410" t="s">
        <v>585</v>
      </c>
    </row>
    <row r="9" spans="1:12" ht="13.5" thickTop="1">
      <c r="B9" s="88"/>
      <c r="C9" s="88"/>
      <c r="D9" s="88"/>
      <c r="E9" s="88"/>
      <c r="G9" s="411" t="s">
        <v>586</v>
      </c>
      <c r="H9" s="412">
        <v>2.3118480858910098</v>
      </c>
      <c r="K9" s="411" t="s">
        <v>586</v>
      </c>
      <c r="L9" s="412">
        <v>2.0454162110233614</v>
      </c>
    </row>
    <row r="10" spans="1:12">
      <c r="A10" t="s">
        <v>600</v>
      </c>
      <c r="B10" s="88"/>
      <c r="C10" s="88"/>
      <c r="D10" s="88"/>
      <c r="E10" s="88"/>
      <c r="G10" s="413" t="s">
        <v>587</v>
      </c>
      <c r="H10" s="414">
        <v>1.2299348610484766</v>
      </c>
      <c r="K10" s="413" t="s">
        <v>587</v>
      </c>
      <c r="L10" s="414">
        <v>1.2017363375341947</v>
      </c>
    </row>
    <row r="11" spans="1:12" ht="24.95" customHeight="1">
      <c r="A11" s="347">
        <f>L18/L16</f>
        <v>0.36932553418001896</v>
      </c>
      <c r="B11" s="88" t="s">
        <v>303</v>
      </c>
      <c r="G11" s="413" t="s">
        <v>588</v>
      </c>
      <c r="H11" s="414">
        <v>0.85476535228092898</v>
      </c>
      <c r="K11" s="413" t="s">
        <v>588</v>
      </c>
      <c r="L11" s="414">
        <v>0.68893002817508286</v>
      </c>
    </row>
    <row r="12" spans="1:12" ht="24.95" customHeight="1">
      <c r="A12" s="347">
        <f>L17/L16</f>
        <v>0.62345513946410258</v>
      </c>
      <c r="B12" t="s">
        <v>157</v>
      </c>
      <c r="G12" s="413" t="s">
        <v>589</v>
      </c>
      <c r="H12" s="414">
        <v>0.22714787256159141</v>
      </c>
      <c r="K12" s="413" t="s">
        <v>589</v>
      </c>
      <c r="L12" s="414">
        <v>0.14688392936292438</v>
      </c>
    </row>
    <row r="13" spans="1:12" s="86" customFormat="1">
      <c r="G13" s="415" t="s">
        <v>590</v>
      </c>
      <c r="H13" s="416">
        <v>1.5593582913801154</v>
      </c>
      <c r="K13" s="415" t="s">
        <v>590</v>
      </c>
      <c r="L13" s="416">
        <v>1.3170555258448282</v>
      </c>
    </row>
    <row r="14" spans="1:12" s="86" customFormat="1">
      <c r="B14" s="87"/>
      <c r="G14" s="413" t="s">
        <v>591</v>
      </c>
      <c r="H14" s="414">
        <v>1.065193147991123</v>
      </c>
      <c r="K14" s="413" t="s">
        <v>591</v>
      </c>
      <c r="L14" s="414">
        <v>0.974207999499351</v>
      </c>
    </row>
    <row r="15" spans="1:12" s="86" customFormat="1">
      <c r="B15" s="87"/>
      <c r="G15" s="413" t="s">
        <v>592</v>
      </c>
      <c r="H15" s="414">
        <v>0.49416514338899842</v>
      </c>
      <c r="K15" s="413" t="s">
        <v>592</v>
      </c>
      <c r="L15" s="414">
        <v>0.34284752634547461</v>
      </c>
    </row>
    <row r="16" spans="1:12" ht="24.95" customHeight="1">
      <c r="B16" s="88"/>
      <c r="C16" s="88"/>
      <c r="D16" s="88"/>
      <c r="E16" s="88"/>
      <c r="G16" s="415" t="s">
        <v>151</v>
      </c>
      <c r="H16" s="416">
        <v>1.6851241092395322</v>
      </c>
      <c r="K16" s="415" t="s">
        <v>151</v>
      </c>
      <c r="L16" s="416">
        <v>1.1331497454290094</v>
      </c>
    </row>
    <row r="17" spans="1:23" ht="24.95" customHeight="1">
      <c r="B17" s="344" t="s">
        <v>48</v>
      </c>
      <c r="C17" s="344" t="s">
        <v>49</v>
      </c>
      <c r="D17" s="344" t="s">
        <v>50</v>
      </c>
      <c r="E17" s="344" t="s">
        <v>51</v>
      </c>
      <c r="G17" s="413" t="s">
        <v>157</v>
      </c>
      <c r="H17" s="414">
        <v>0.96428380745963449</v>
      </c>
      <c r="K17" s="413" t="s">
        <v>157</v>
      </c>
      <c r="L17" s="414">
        <v>0.70646803257015534</v>
      </c>
    </row>
    <row r="18" spans="1:23" ht="24.95" customHeight="1">
      <c r="A18" t="s">
        <v>157</v>
      </c>
      <c r="B18" s="345">
        <f>H17</f>
        <v>0.96428380745963449</v>
      </c>
      <c r="C18" s="345">
        <f t="shared" ref="C18:D18" si="1">C4*$A$12</f>
        <v>0.44414870578030757</v>
      </c>
      <c r="D18" s="345">
        <f t="shared" si="1"/>
        <v>0.44414870578030757</v>
      </c>
      <c r="E18" s="345">
        <f>L17</f>
        <v>0.70646803257015534</v>
      </c>
      <c r="G18" s="413" t="s">
        <v>158</v>
      </c>
      <c r="H18" s="414">
        <v>0.68337823408954967</v>
      </c>
      <c r="K18" s="413" t="s">
        <v>158</v>
      </c>
      <c r="L18" s="414">
        <v>0.41850113503652137</v>
      </c>
    </row>
    <row r="19" spans="1:23" ht="24.95" customHeight="1">
      <c r="A19" t="s">
        <v>158</v>
      </c>
      <c r="B19" s="345">
        <f>H18</f>
        <v>0.68337823408954967</v>
      </c>
      <c r="C19" s="345">
        <f t="shared" ref="C19:D19" si="2">C4*$A$11</f>
        <v>0.263107074806817</v>
      </c>
      <c r="D19" s="345">
        <f t="shared" si="2"/>
        <v>0.263107074806817</v>
      </c>
      <c r="E19" s="345">
        <f>L18</f>
        <v>0.41850113503652137</v>
      </c>
      <c r="G19" s="415" t="s">
        <v>593</v>
      </c>
      <c r="H19" s="416">
        <v>1.0228652330906021</v>
      </c>
      <c r="K19" s="415" t="s">
        <v>593</v>
      </c>
      <c r="L19" s="416">
        <v>0.72198913200149573</v>
      </c>
    </row>
    <row r="20" spans="1:23" ht="24.95" customHeight="1">
      <c r="A20" t="s">
        <v>153</v>
      </c>
      <c r="B20" s="345">
        <f>H19</f>
        <v>1.0228652330906021</v>
      </c>
      <c r="C20" s="345">
        <f t="shared" ref="C20:D20" si="3">C5</f>
        <v>0.45062457275939666</v>
      </c>
      <c r="D20" s="345">
        <f t="shared" si="3"/>
        <v>0.45062457275939666</v>
      </c>
      <c r="E20" s="345">
        <f>L19</f>
        <v>0.72198913200149573</v>
      </c>
      <c r="G20" s="413" t="s">
        <v>594</v>
      </c>
      <c r="H20" s="414">
        <v>0.72536012306295872</v>
      </c>
      <c r="K20" s="413" t="s">
        <v>594</v>
      </c>
      <c r="L20" s="414">
        <v>0.58083170146255547</v>
      </c>
    </row>
    <row r="21" spans="1:23" ht="24.95" customHeight="1">
      <c r="G21" s="413" t="s">
        <v>595</v>
      </c>
      <c r="H21" s="414">
        <v>0.2975051100276494</v>
      </c>
      <c r="K21" s="413" t="s">
        <v>595</v>
      </c>
      <c r="L21" s="414">
        <v>0.14115743053893987</v>
      </c>
    </row>
    <row r="22" spans="1:23" ht="24.95" customHeight="1">
      <c r="G22" s="415" t="s">
        <v>596</v>
      </c>
      <c r="H22" s="416">
        <v>0.49891412032738564</v>
      </c>
      <c r="K22" s="415" t="s">
        <v>596</v>
      </c>
      <c r="L22" s="416">
        <v>0.37198577618876111</v>
      </c>
    </row>
    <row r="23" spans="1:23" ht="24.95" customHeight="1">
      <c r="G23" s="413" t="s">
        <v>172</v>
      </c>
      <c r="H23" s="422" t="s">
        <v>597</v>
      </c>
      <c r="K23" s="413" t="s">
        <v>172</v>
      </c>
      <c r="L23" s="422" t="s">
        <v>597</v>
      </c>
    </row>
    <row r="24" spans="1:23" ht="24.95" customHeight="1" thickBot="1">
      <c r="G24" s="417" t="s">
        <v>598</v>
      </c>
      <c r="H24" s="423"/>
      <c r="K24" s="417" t="s">
        <v>598</v>
      </c>
      <c r="L24" s="423"/>
    </row>
    <row r="25" spans="1:23" ht="24.95" customHeight="1" thickTop="1">
      <c r="B25" t="s">
        <v>602</v>
      </c>
    </row>
    <row r="26" spans="1:23" ht="24.95" customHeight="1">
      <c r="A26" t="s">
        <v>601</v>
      </c>
      <c r="B26">
        <v>2012</v>
      </c>
      <c r="C26">
        <v>2016</v>
      </c>
      <c r="D26">
        <v>2017</v>
      </c>
      <c r="E26">
        <v>2018</v>
      </c>
      <c r="F26">
        <v>2019</v>
      </c>
      <c r="G26">
        <v>2020</v>
      </c>
      <c r="H26">
        <v>2021</v>
      </c>
      <c r="I26">
        <v>2022</v>
      </c>
      <c r="J26">
        <v>2023</v>
      </c>
      <c r="K26">
        <v>2024</v>
      </c>
      <c r="L26">
        <v>2025</v>
      </c>
      <c r="M26">
        <v>2026</v>
      </c>
      <c r="N26">
        <v>2027</v>
      </c>
      <c r="O26">
        <v>2028</v>
      </c>
      <c r="P26">
        <v>2029</v>
      </c>
      <c r="Q26">
        <v>2030</v>
      </c>
      <c r="R26">
        <v>2031</v>
      </c>
      <c r="S26">
        <v>2032</v>
      </c>
      <c r="T26">
        <v>2033</v>
      </c>
      <c r="U26">
        <v>2034</v>
      </c>
      <c r="V26">
        <v>2035</v>
      </c>
    </row>
    <row r="27" spans="1:23" ht="24.95" customHeight="1">
      <c r="A27" s="333" t="s">
        <v>340</v>
      </c>
      <c r="B27" s="367">
        <v>0.85575573624861834</v>
      </c>
      <c r="C27" s="366">
        <v>0.84327263361238769</v>
      </c>
      <c r="D27" s="366">
        <v>0.83516699825349738</v>
      </c>
      <c r="E27" s="366">
        <v>0.82706136289460708</v>
      </c>
      <c r="F27" s="366">
        <v>0.81895572753571677</v>
      </c>
      <c r="G27" s="366">
        <v>0.81085009217682646</v>
      </c>
      <c r="H27" s="366">
        <v>0.80354248599455702</v>
      </c>
      <c r="I27" s="366">
        <v>0.79623487981228758</v>
      </c>
      <c r="J27" s="366">
        <v>0.78892727363001813</v>
      </c>
      <c r="K27" s="366">
        <v>0.78161966744774869</v>
      </c>
      <c r="L27" s="366">
        <v>0.77431206126547925</v>
      </c>
      <c r="M27" s="366">
        <v>0.7670044550832098</v>
      </c>
      <c r="N27" s="366">
        <v>0.75969684890094036</v>
      </c>
      <c r="O27" s="366">
        <v>0.75238924271867091</v>
      </c>
      <c r="P27" s="366">
        <v>0.74508163653640147</v>
      </c>
      <c r="Q27" s="366">
        <v>0.73777403035413158</v>
      </c>
      <c r="R27" s="366">
        <v>0.72886505918563937</v>
      </c>
      <c r="S27" s="366">
        <v>0.71995608801714717</v>
      </c>
      <c r="T27" s="366">
        <v>0.71104711684865496</v>
      </c>
      <c r="U27" s="366">
        <v>0.70213814568016275</v>
      </c>
      <c r="V27" s="366">
        <v>0.70213814568016253</v>
      </c>
    </row>
    <row r="28" spans="1:23" ht="24.95" customHeight="1">
      <c r="A28" s="333" t="s">
        <v>341</v>
      </c>
      <c r="B28" s="367">
        <v>1.5219155893466187</v>
      </c>
      <c r="C28" s="366">
        <v>2.1387824040780932</v>
      </c>
      <c r="D28" s="366">
        <v>2.3499158972778207</v>
      </c>
      <c r="E28" s="366">
        <v>2.5610493904775482</v>
      </c>
      <c r="F28" s="366">
        <v>2.7721828836772757</v>
      </c>
      <c r="G28" s="366">
        <v>2.9833163768770032</v>
      </c>
      <c r="H28" s="366">
        <v>2.9871207706676617</v>
      </c>
      <c r="I28" s="366">
        <v>2.9909251644583201</v>
      </c>
      <c r="J28" s="366">
        <v>2.9947295582489786</v>
      </c>
      <c r="K28" s="366">
        <v>2.998533952039637</v>
      </c>
      <c r="L28" s="366">
        <v>3.0023383458302955</v>
      </c>
      <c r="M28" s="366">
        <v>3.0061427396209539</v>
      </c>
      <c r="N28" s="366">
        <v>3.0099471334116124</v>
      </c>
      <c r="O28" s="366">
        <v>3.0137515272022708</v>
      </c>
      <c r="P28" s="366">
        <v>3.0175559209929292</v>
      </c>
      <c r="Q28" s="366">
        <v>3.0213603147835864</v>
      </c>
      <c r="R28" s="366">
        <v>3.0255446725205579</v>
      </c>
      <c r="S28" s="366">
        <v>3.0297290302575295</v>
      </c>
      <c r="T28" s="366">
        <v>3.0339133879945011</v>
      </c>
      <c r="U28" s="366">
        <v>3.0380977457314726</v>
      </c>
      <c r="V28" s="366">
        <v>3.0380977457314726</v>
      </c>
      <c r="W28" s="366">
        <v>1.8497569865948933</v>
      </c>
    </row>
    <row r="29" spans="1:23" ht="24.95" customHeight="1">
      <c r="A29" s="333" t="s">
        <v>160</v>
      </c>
      <c r="B29" s="367">
        <v>0.62403876488103971</v>
      </c>
      <c r="C29" s="366">
        <v>0.5969785192028273</v>
      </c>
      <c r="D29" s="366">
        <v>0.59039684530152925</v>
      </c>
      <c r="E29" s="366">
        <v>0.58382583515544673</v>
      </c>
      <c r="F29" s="366">
        <v>0.57729922474833295</v>
      </c>
      <c r="G29" s="366">
        <v>0.57085928752032578</v>
      </c>
      <c r="H29" s="366">
        <v>0.56448398033121039</v>
      </c>
      <c r="I29" s="366">
        <v>0.55818670845010432</v>
      </c>
      <c r="J29" s="366">
        <v>0.55198042050271034</v>
      </c>
      <c r="K29" s="366">
        <v>0.54583987402206768</v>
      </c>
      <c r="L29" s="366">
        <v>0.53975615344226391</v>
      </c>
      <c r="M29" s="366">
        <v>0.53371485203074476</v>
      </c>
      <c r="N29" s="366">
        <v>0.52774756694753844</v>
      </c>
      <c r="O29" s="366">
        <v>0.52184872634104573</v>
      </c>
      <c r="P29" s="366">
        <v>0.51602484362379264</v>
      </c>
      <c r="Q29" s="366">
        <v>0.51027781618931178</v>
      </c>
      <c r="R29" s="366">
        <v>0.50459797184132105</v>
      </c>
      <c r="S29" s="366">
        <v>0.49898755200131201</v>
      </c>
      <c r="T29" s="366">
        <v>0.49345296572344932</v>
      </c>
      <c r="U29" s="366">
        <v>0.48800034249653784</v>
      </c>
      <c r="V29" s="366">
        <v>0.48261651595143956</v>
      </c>
      <c r="W29" s="366">
        <v>0.70743882503319511</v>
      </c>
    </row>
    <row r="30" spans="1:23" ht="24.95" customHeight="1"/>
    <row r="31" spans="1:23" ht="24.95" customHeight="1">
      <c r="A31" t="s">
        <v>603</v>
      </c>
      <c r="B31">
        <v>2016</v>
      </c>
      <c r="C31">
        <v>2017</v>
      </c>
      <c r="D31">
        <v>2018</v>
      </c>
      <c r="E31">
        <v>2019</v>
      </c>
      <c r="F31">
        <v>2020</v>
      </c>
      <c r="G31">
        <v>2021</v>
      </c>
      <c r="H31">
        <v>2022</v>
      </c>
      <c r="I31">
        <v>2023</v>
      </c>
      <c r="J31">
        <v>2024</v>
      </c>
      <c r="K31">
        <v>2025</v>
      </c>
      <c r="L31">
        <v>2026</v>
      </c>
      <c r="M31">
        <v>2027</v>
      </c>
      <c r="N31">
        <v>2028</v>
      </c>
      <c r="O31">
        <v>2029</v>
      </c>
      <c r="P31">
        <v>2030</v>
      </c>
      <c r="Q31">
        <v>2031</v>
      </c>
      <c r="R31">
        <v>2032</v>
      </c>
      <c r="S31">
        <v>2033</v>
      </c>
      <c r="T31">
        <v>2034</v>
      </c>
      <c r="U31">
        <v>2035</v>
      </c>
    </row>
    <row r="32" spans="1:23" ht="24.95" customHeight="1">
      <c r="A32" s="333" t="s">
        <v>157</v>
      </c>
      <c r="B32" s="366">
        <f>C27/$B27</f>
        <v>0.98541277363684066</v>
      </c>
      <c r="C32" s="418">
        <f t="shared" ref="C32:U34" si="4">D27/$B27</f>
        <v>0.9759408705977527</v>
      </c>
      <c r="D32" s="366">
        <f t="shared" si="4"/>
        <v>0.96646896755866463</v>
      </c>
      <c r="E32" s="366">
        <f t="shared" si="4"/>
        <v>0.95699706451957656</v>
      </c>
      <c r="F32" s="366">
        <f t="shared" si="4"/>
        <v>0.9475251614804886</v>
      </c>
      <c r="G32" s="366">
        <f t="shared" si="4"/>
        <v>0.93898580162261158</v>
      </c>
      <c r="H32" s="366">
        <f t="shared" si="4"/>
        <v>0.93044644176473457</v>
      </c>
      <c r="I32" s="366">
        <f t="shared" si="4"/>
        <v>0.92190708190685755</v>
      </c>
      <c r="J32" s="366">
        <f t="shared" si="4"/>
        <v>0.91336772204898053</v>
      </c>
      <c r="K32" s="366">
        <f t="shared" si="4"/>
        <v>0.90482836219110352</v>
      </c>
      <c r="L32" s="366">
        <f t="shared" si="4"/>
        <v>0.8962890023332265</v>
      </c>
      <c r="M32" s="366">
        <f t="shared" si="4"/>
        <v>0.88774964247534949</v>
      </c>
      <c r="N32" s="366">
        <f t="shared" si="4"/>
        <v>0.87921028261747247</v>
      </c>
      <c r="O32" s="366">
        <f t="shared" si="4"/>
        <v>0.87067092275959546</v>
      </c>
      <c r="P32" s="366">
        <f t="shared" si="4"/>
        <v>0.86213156290171788</v>
      </c>
      <c r="Q32" s="366">
        <f t="shared" si="4"/>
        <v>0.85172091557430818</v>
      </c>
      <c r="R32" s="366">
        <f t="shared" si="4"/>
        <v>0.84131026824689847</v>
      </c>
      <c r="S32" s="366">
        <f t="shared" si="4"/>
        <v>0.83089962091948877</v>
      </c>
      <c r="T32" s="366">
        <f t="shared" si="4"/>
        <v>0.82048897359207906</v>
      </c>
      <c r="U32" s="366">
        <f t="shared" si="4"/>
        <v>0.82048897359207873</v>
      </c>
    </row>
    <row r="33" spans="1:21" ht="24.95" customHeight="1">
      <c r="A33" s="333" t="s">
        <v>158</v>
      </c>
      <c r="B33" s="366">
        <f>C28/$B28</f>
        <v>1.4053226204196414</v>
      </c>
      <c r="C33" s="366">
        <f t="shared" ref="C33:Q33" si="5">D28/$B28</f>
        <v>1.5440514005685919</v>
      </c>
      <c r="D33" s="366">
        <f t="shared" si="5"/>
        <v>1.6827801807175424</v>
      </c>
      <c r="E33" s="366">
        <f t="shared" si="5"/>
        <v>1.8215089608664929</v>
      </c>
      <c r="F33" s="366">
        <f t="shared" si="5"/>
        <v>1.9602377410154435</v>
      </c>
      <c r="G33" s="366">
        <f t="shared" si="5"/>
        <v>1.9627374813540595</v>
      </c>
      <c r="H33" s="366">
        <f t="shared" si="5"/>
        <v>1.9652372216926757</v>
      </c>
      <c r="I33" s="366">
        <f t="shared" si="5"/>
        <v>1.9677369620312917</v>
      </c>
      <c r="J33" s="366">
        <f t="shared" si="5"/>
        <v>1.9702367023699079</v>
      </c>
      <c r="K33" s="366">
        <f t="shared" si="5"/>
        <v>1.9727364427085239</v>
      </c>
      <c r="L33" s="366">
        <f t="shared" si="5"/>
        <v>1.9752361830471401</v>
      </c>
      <c r="M33" s="366">
        <f t="shared" si="5"/>
        <v>1.9777359233857561</v>
      </c>
      <c r="N33" s="366">
        <f t="shared" si="5"/>
        <v>1.9802356637243723</v>
      </c>
      <c r="O33" s="366">
        <f t="shared" si="5"/>
        <v>1.9827354040629883</v>
      </c>
      <c r="P33" s="366">
        <f t="shared" si="5"/>
        <v>1.9852351444016036</v>
      </c>
      <c r="Q33" s="366">
        <f t="shared" si="5"/>
        <v>1.9879845463830683</v>
      </c>
      <c r="R33" s="366">
        <f t="shared" si="4"/>
        <v>1.990733948364533</v>
      </c>
      <c r="S33" s="366">
        <f t="shared" si="4"/>
        <v>1.9934833503459977</v>
      </c>
      <c r="T33" s="366">
        <f t="shared" si="4"/>
        <v>1.9962327523274623</v>
      </c>
      <c r="U33" s="366">
        <f t="shared" si="4"/>
        <v>1.9962327523274623</v>
      </c>
    </row>
    <row r="34" spans="1:21" ht="24.95" customHeight="1">
      <c r="A34" s="333" t="s">
        <v>153</v>
      </c>
      <c r="B34" s="366">
        <f>C29/$B29</f>
        <v>0.95663691552339558</v>
      </c>
      <c r="C34" s="366">
        <f t="shared" si="4"/>
        <v>0.94609001640158752</v>
      </c>
      <c r="D34" s="366">
        <f t="shared" si="4"/>
        <v>0.93556020556950692</v>
      </c>
      <c r="E34" s="366">
        <f t="shared" si="4"/>
        <v>0.92510154374525644</v>
      </c>
      <c r="F34" s="366">
        <f t="shared" si="4"/>
        <v>0.91478177261816174</v>
      </c>
      <c r="G34" s="366">
        <f t="shared" si="4"/>
        <v>0.90456556883740669</v>
      </c>
      <c r="H34" s="366">
        <f t="shared" si="4"/>
        <v>0.89447441387156656</v>
      </c>
      <c r="I34" s="366">
        <f t="shared" si="4"/>
        <v>0.8845290574343313</v>
      </c>
      <c r="J34" s="366">
        <f t="shared" si="4"/>
        <v>0.87468904936718306</v>
      </c>
      <c r="K34" s="366">
        <f t="shared" si="4"/>
        <v>0.86494010279178324</v>
      </c>
      <c r="L34" s="366">
        <f t="shared" si="4"/>
        <v>0.85525913142989862</v>
      </c>
      <c r="M34" s="366">
        <f t="shared" si="4"/>
        <v>0.84569676861042886</v>
      </c>
      <c r="N34" s="366">
        <f t="shared" si="4"/>
        <v>0.83624408563869512</v>
      </c>
      <c r="O34" s="366">
        <f t="shared" si="4"/>
        <v>0.82691152002738533</v>
      </c>
      <c r="P34" s="366">
        <f t="shared" si="4"/>
        <v>0.81770211228237699</v>
      </c>
      <c r="Q34" s="366">
        <f t="shared" si="4"/>
        <v>0.80860036305198502</v>
      </c>
      <c r="R34" s="366">
        <f t="shared" si="4"/>
        <v>0.79960986413469659</v>
      </c>
      <c r="S34" s="366">
        <f t="shared" si="4"/>
        <v>0.79074088581262425</v>
      </c>
      <c r="T34" s="366">
        <f t="shared" si="4"/>
        <v>0.78200325037430196</v>
      </c>
      <c r="U34" s="366">
        <f t="shared" si="4"/>
        <v>0.77337585917990304</v>
      </c>
    </row>
    <row r="35" spans="1:21" ht="24.95" customHeight="1"/>
    <row r="36" spans="1:21" ht="24.95" customHeight="1"/>
    <row r="37" spans="1:21" ht="24.95" customHeight="1"/>
    <row r="38" spans="1:21" ht="24.95" customHeight="1"/>
    <row r="39" spans="1:21" ht="24.95" customHeight="1"/>
    <row r="40" spans="1:21" ht="24.95" customHeight="1"/>
    <row r="41" spans="1:21" ht="24.95" customHeight="1"/>
    <row r="42" spans="1:21" ht="24.95" customHeight="1"/>
    <row r="43" spans="1:21" ht="24.95" customHeight="1"/>
    <row r="44" spans="1:21" ht="24.95" customHeight="1"/>
    <row r="45" spans="1:21" ht="24.95" customHeight="1"/>
    <row r="46" spans="1:21" ht="24.95" customHeight="1"/>
    <row r="47" spans="1:21" ht="24.95" customHeight="1"/>
    <row r="48" spans="1:21"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2">
    <mergeCell ref="H23:H24"/>
    <mergeCell ref="L23:L2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sheetPr published="0" codeName="Sheet11"/>
  <dimension ref="A1:EA7"/>
  <sheetViews>
    <sheetView workbookViewId="0">
      <selection sqref="A1:EA7"/>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3"/>
      <c r="B2" s="44"/>
      <c r="C2" s="45"/>
      <c r="D2" s="45"/>
      <c r="E2" s="45"/>
      <c r="F2" s="45"/>
      <c r="G2" s="45"/>
      <c r="H2" s="45"/>
      <c r="I2" s="45"/>
      <c r="J2" s="45"/>
      <c r="K2" s="45"/>
      <c r="L2" s="45"/>
      <c r="M2" s="45"/>
      <c r="N2" s="45"/>
      <c r="O2" s="46" t="s">
        <v>568</v>
      </c>
      <c r="P2" s="47"/>
      <c r="Q2" s="47"/>
      <c r="R2" s="47"/>
      <c r="S2" s="47"/>
      <c r="T2" s="47"/>
      <c r="U2" s="47"/>
      <c r="V2" s="47"/>
      <c r="W2" s="47"/>
      <c r="X2" s="47"/>
      <c r="Y2" s="47"/>
      <c r="Z2" s="41"/>
      <c r="AA2" s="45"/>
      <c r="AB2" s="46" t="s">
        <v>569</v>
      </c>
      <c r="AC2" s="47"/>
      <c r="AD2" s="47"/>
      <c r="AE2" s="47"/>
      <c r="AF2" s="47"/>
      <c r="AG2" s="47"/>
      <c r="AH2" s="47"/>
      <c r="AI2" s="47"/>
      <c r="AJ2" s="47"/>
      <c r="AK2" s="47"/>
      <c r="AL2" s="47"/>
      <c r="AM2" s="41"/>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7" t="s">
        <v>21</v>
      </c>
      <c r="B3" s="38" t="s">
        <v>22</v>
      </c>
      <c r="C3" s="39" t="s">
        <v>46</v>
      </c>
      <c r="D3" s="39" t="s">
        <v>25</v>
      </c>
      <c r="E3" s="39" t="s">
        <v>26</v>
      </c>
      <c r="F3" s="39" t="s">
        <v>27</v>
      </c>
      <c r="G3" s="39" t="s">
        <v>28</v>
      </c>
      <c r="H3" s="39" t="s">
        <v>29</v>
      </c>
      <c r="I3" s="39" t="s">
        <v>30</v>
      </c>
      <c r="J3" s="39" t="s">
        <v>31</v>
      </c>
      <c r="K3" s="39" t="s">
        <v>24</v>
      </c>
      <c r="L3" s="39" t="s">
        <v>23</v>
      </c>
      <c r="M3" s="39" t="s">
        <v>32</v>
      </c>
      <c r="N3" s="39" t="s">
        <v>570</v>
      </c>
      <c r="O3" s="39" t="s">
        <v>33</v>
      </c>
      <c r="P3" s="39" t="s">
        <v>34</v>
      </c>
      <c r="Q3" s="39" t="s">
        <v>35</v>
      </c>
      <c r="R3" s="39" t="s">
        <v>36</v>
      </c>
      <c r="S3" s="39" t="s">
        <v>37</v>
      </c>
      <c r="T3" s="39" t="s">
        <v>38</v>
      </c>
      <c r="U3" s="39" t="s">
        <v>39</v>
      </c>
      <c r="V3" s="39" t="s">
        <v>40</v>
      </c>
      <c r="W3" s="39" t="s">
        <v>41</v>
      </c>
      <c r="X3" s="39" t="s">
        <v>42</v>
      </c>
      <c r="Y3" s="39" t="s">
        <v>43</v>
      </c>
      <c r="Z3" s="39" t="s">
        <v>44</v>
      </c>
      <c r="AA3" s="39"/>
      <c r="AB3" s="39" t="s">
        <v>33</v>
      </c>
      <c r="AC3" s="39" t="s">
        <v>34</v>
      </c>
      <c r="AD3" s="39" t="s">
        <v>35</v>
      </c>
      <c r="AE3" s="39" t="s">
        <v>36</v>
      </c>
      <c r="AF3" s="39" t="s">
        <v>37</v>
      </c>
      <c r="AG3" s="39" t="s">
        <v>38</v>
      </c>
      <c r="AH3" s="39" t="s">
        <v>39</v>
      </c>
      <c r="AI3" s="39" t="s">
        <v>40</v>
      </c>
      <c r="AJ3" s="39" t="s">
        <v>41</v>
      </c>
      <c r="AK3" s="39" t="s">
        <v>42</v>
      </c>
      <c r="AL3" s="39" t="s">
        <v>43</v>
      </c>
      <c r="AM3" s="39"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293</v>
      </c>
      <c r="B4" s="9"/>
      <c r="C4" s="42">
        <v>68.243112182874043</v>
      </c>
      <c r="D4" s="42">
        <v>13.80118387577151</v>
      </c>
      <c r="E4" s="42">
        <v>2.7602367751543024</v>
      </c>
      <c r="F4" s="42">
        <v>16.561420650925811</v>
      </c>
      <c r="G4" s="42">
        <v>45.631458220373787</v>
      </c>
      <c r="H4" s="42">
        <v>42.089294175153469</v>
      </c>
      <c r="I4" s="42">
        <v>2125.9001862830955</v>
      </c>
      <c r="J4" s="42">
        <v>4.5423572105321206</v>
      </c>
      <c r="K4" s="42">
        <v>40.942640426147406</v>
      </c>
      <c r="L4" s="387">
        <v>0.92237451566606321</v>
      </c>
      <c r="M4" s="42">
        <v>0.64831858632339023</v>
      </c>
      <c r="N4" s="42">
        <v>9.9264974994726762E-3</v>
      </c>
      <c r="O4" s="42">
        <v>3.1598767626640925</v>
      </c>
      <c r="P4" s="42">
        <v>2.8127261832766339</v>
      </c>
      <c r="Q4" s="42">
        <v>3.2742343488808552</v>
      </c>
      <c r="R4" s="42">
        <v>3.6988773154737404</v>
      </c>
      <c r="S4" s="42">
        <v>3.9368363329781544</v>
      </c>
      <c r="T4" s="42">
        <v>3.4494410997694311</v>
      </c>
      <c r="U4" s="42">
        <v>3.4650295415446108</v>
      </c>
      <c r="V4" s="42">
        <v>3.4535010801942221</v>
      </c>
      <c r="W4" s="42">
        <v>3.194669919735571</v>
      </c>
      <c r="X4" s="42">
        <v>3.3944170546579295</v>
      </c>
      <c r="Y4" s="42">
        <v>3.3719273378323549</v>
      </c>
      <c r="Z4" s="42">
        <v>3.75936450132297</v>
      </c>
      <c r="AA4" s="42"/>
      <c r="AB4" s="42">
        <v>2.0599232374814878</v>
      </c>
      <c r="AC4" s="42">
        <v>1.84723883420545</v>
      </c>
      <c r="AD4" s="42">
        <v>1.8815472154761894</v>
      </c>
      <c r="AE4" s="42">
        <v>2.5816529101948102</v>
      </c>
      <c r="AF4" s="42">
        <v>2.8027837054323852</v>
      </c>
      <c r="AG4" s="42">
        <v>2.2485983032821681</v>
      </c>
      <c r="AH4" s="42">
        <v>2.6449213050718057</v>
      </c>
      <c r="AI4" s="42">
        <v>1.8775024247019763</v>
      </c>
      <c r="AJ4" s="42">
        <v>2.2673141410859179</v>
      </c>
      <c r="AK4" s="42">
        <v>1.9448282299410675</v>
      </c>
      <c r="AL4" s="42">
        <v>2.4618079867507596</v>
      </c>
      <c r="AM4" s="36">
        <v>2.6540924109194575</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292</v>
      </c>
      <c r="B5" s="9"/>
      <c r="C5" s="42">
        <v>31.923177973133928</v>
      </c>
      <c r="D5" s="42">
        <v>8</v>
      </c>
      <c r="E5" s="42">
        <v>1.6</v>
      </c>
      <c r="F5" s="42">
        <v>9.6</v>
      </c>
      <c r="G5" s="42">
        <v>26.45075009860944</v>
      </c>
      <c r="H5" s="42">
        <v>21.391012357837905</v>
      </c>
      <c r="I5" s="42">
        <v>2634.3241913688526</v>
      </c>
      <c r="J5" s="42">
        <v>4.1809610863086801</v>
      </c>
      <c r="K5" s="42">
        <v>49.286628448437469</v>
      </c>
      <c r="L5" s="387">
        <v>0.80871099224374987</v>
      </c>
      <c r="M5" s="42">
        <v>0.30327022831763456</v>
      </c>
      <c r="N5" s="42">
        <v>6.5680040394164047E-3</v>
      </c>
      <c r="O5" s="42">
        <v>2.3985249402326483</v>
      </c>
      <c r="P5" s="42">
        <v>1.9986503596346596</v>
      </c>
      <c r="Q5" s="42">
        <v>2.1279992687755698</v>
      </c>
      <c r="R5" s="42">
        <v>1.4484143731435781</v>
      </c>
      <c r="S5" s="42">
        <v>1.8148349868441274</v>
      </c>
      <c r="T5" s="42">
        <v>1.4118423652458438</v>
      </c>
      <c r="U5" s="42">
        <v>1.2537841312280011</v>
      </c>
      <c r="V5" s="42">
        <v>1.519776986115438</v>
      </c>
      <c r="W5" s="42">
        <v>1.1071870245466546</v>
      </c>
      <c r="X5" s="42">
        <v>1.4058079444603557</v>
      </c>
      <c r="Y5" s="42">
        <v>1.3896846074698526</v>
      </c>
      <c r="Z5" s="42">
        <v>1.8849045667862157</v>
      </c>
      <c r="AA5" s="42"/>
      <c r="AB5" s="42">
        <v>1.6878097579957494</v>
      </c>
      <c r="AC5" s="42">
        <v>1.3654615402915222</v>
      </c>
      <c r="AD5" s="42">
        <v>1.1795851735799314</v>
      </c>
      <c r="AE5" s="42">
        <v>0.9624523592640275</v>
      </c>
      <c r="AF5" s="42">
        <v>1.0814495861570319</v>
      </c>
      <c r="AG5" s="42">
        <v>0.73088363207029627</v>
      </c>
      <c r="AH5" s="42">
        <v>0.78294028286687412</v>
      </c>
      <c r="AI5" s="42">
        <v>0.78370765322851277</v>
      </c>
      <c r="AJ5" s="42">
        <v>0.67847787319628061</v>
      </c>
      <c r="AK5" s="42">
        <v>0.73565330182574018</v>
      </c>
      <c r="AL5" s="42">
        <v>0.93370729927689988</v>
      </c>
      <c r="AM5" s="36">
        <v>1.239637958898117</v>
      </c>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294</v>
      </c>
      <c r="B6" s="9"/>
      <c r="C6" s="42">
        <v>19.719286947809731</v>
      </c>
      <c r="D6" s="42">
        <v>55.697634927220747</v>
      </c>
      <c r="E6" s="42">
        <v>11.139526985444149</v>
      </c>
      <c r="F6" s="42">
        <v>66.837161912664897</v>
      </c>
      <c r="G6" s="42">
        <v>223.35096658527823</v>
      </c>
      <c r="H6" s="42">
        <v>12.161972728420093</v>
      </c>
      <c r="I6" s="42">
        <v>29691.41530850215</v>
      </c>
      <c r="J6" s="42">
        <v>170.52554289021407</v>
      </c>
      <c r="K6" s="42">
        <v>825.16686960542836</v>
      </c>
      <c r="L6" s="387">
        <v>5.4452295033057298E-2</v>
      </c>
      <c r="M6" s="42">
        <v>0.187335832560661</v>
      </c>
      <c r="N6" s="42">
        <v>2.8683254077609358E-3</v>
      </c>
      <c r="O6" s="42">
        <v>0.91306674929644316</v>
      </c>
      <c r="P6" s="42">
        <v>0.81275535273095034</v>
      </c>
      <c r="Q6" s="42">
        <v>0.94611111062662823</v>
      </c>
      <c r="R6" s="42">
        <v>1.0688144317497186</v>
      </c>
      <c r="S6" s="42">
        <v>1.1375742230003585</v>
      </c>
      <c r="T6" s="42">
        <v>0.99673823013294338</v>
      </c>
      <c r="U6" s="42">
        <v>1.0012426108184296</v>
      </c>
      <c r="V6" s="42">
        <v>0.99791138763467646</v>
      </c>
      <c r="W6" s="42">
        <v>0.92312045620057936</v>
      </c>
      <c r="X6" s="42">
        <v>0.9808386777843443</v>
      </c>
      <c r="Y6" s="42">
        <v>0.97434012920892066</v>
      </c>
      <c r="Z6" s="42">
        <v>1.0862925938128754</v>
      </c>
      <c r="AA6" s="42"/>
      <c r="AB6" s="42">
        <v>0.5952280913201452</v>
      </c>
      <c r="AC6" s="42">
        <v>0.53377156269224402</v>
      </c>
      <c r="AD6" s="42">
        <v>0.54368519050540154</v>
      </c>
      <c r="AE6" s="42">
        <v>0.7459852416952818</v>
      </c>
      <c r="AF6" s="42">
        <v>0.8098824096996069</v>
      </c>
      <c r="AG6" s="42">
        <v>0.64974696719512592</v>
      </c>
      <c r="AH6" s="42">
        <v>0.7642670520260233</v>
      </c>
      <c r="AI6" s="42">
        <v>0.54251642215106821</v>
      </c>
      <c r="AJ6" s="42">
        <v>0.65515502911252232</v>
      </c>
      <c r="AK6" s="42">
        <v>0.56197064734736812</v>
      </c>
      <c r="AL6" s="42">
        <v>0.71135527891898587</v>
      </c>
      <c r="AM6" s="36">
        <v>0.76691710214908848</v>
      </c>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c r="B7" s="9"/>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2"/>
  <dimension ref="A1:EA88"/>
  <sheetViews>
    <sheetView workbookViewId="0">
      <selection activeCell="A13" sqref="A13:EA88"/>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424" t="s">
        <v>4</v>
      </c>
      <c r="J6" s="425"/>
      <c r="K6" s="425"/>
      <c r="L6" s="425"/>
      <c r="M6" s="425"/>
      <c r="N6" s="426"/>
      <c r="O6" s="427" t="s">
        <v>5</v>
      </c>
      <c r="P6" s="428"/>
      <c r="Q6" s="363" t="s">
        <v>331</v>
      </c>
      <c r="R6" s="429" t="s">
        <v>332</v>
      </c>
      <c r="S6" s="429"/>
      <c r="T6" s="429"/>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364" t="s">
        <v>333</v>
      </c>
      <c r="R7" s="365" t="s">
        <v>334</v>
      </c>
      <c r="S7" s="365" t="s">
        <v>335</v>
      </c>
      <c r="T7" s="365" t="s">
        <v>336</v>
      </c>
    </row>
    <row r="8" spans="1:131">
      <c r="A8" t="str">
        <f>Composite!B7</f>
        <v>ENERGY STAR Monitors</v>
      </c>
      <c r="B8" t="str">
        <f>Composite!C7</f>
        <v>ENERGY STAR LCD Display</v>
      </c>
      <c r="C8" s="48">
        <f>Composite!D7</f>
        <v>29.693683763540115</v>
      </c>
      <c r="D8">
        <f>Composite!E7</f>
        <v>5</v>
      </c>
      <c r="E8" s="48">
        <f>Composite!F7</f>
        <v>8</v>
      </c>
      <c r="F8">
        <f>Composite!G7</f>
        <v>0</v>
      </c>
      <c r="G8" t="s">
        <v>344</v>
      </c>
      <c r="H8">
        <f>Composite!I7</f>
        <v>0</v>
      </c>
      <c r="I8">
        <f>Composite!J7</f>
        <v>0</v>
      </c>
      <c r="J8">
        <f>Composite!K7</f>
        <v>0</v>
      </c>
      <c r="K8">
        <f>Composite!L7</f>
        <v>0</v>
      </c>
      <c r="L8">
        <f>Composite!M7</f>
        <v>0</v>
      </c>
      <c r="M8">
        <f>Composite!N7</f>
        <v>0</v>
      </c>
      <c r="N8">
        <f>Composite!O7</f>
        <v>0</v>
      </c>
      <c r="O8">
        <f>Composite!P7</f>
        <v>0</v>
      </c>
      <c r="Q8" t="s">
        <v>337</v>
      </c>
    </row>
    <row r="9" spans="1:131">
      <c r="A9" t="str">
        <f>Composite!B8</f>
        <v>ENERGY STAR Desktops</v>
      </c>
      <c r="B9" t="str">
        <f>Composite!C8</f>
        <v>ENERGY STAR Desktop</v>
      </c>
      <c r="C9" s="48">
        <f>Composite!D8</f>
        <v>63.574979092327354</v>
      </c>
      <c r="D9">
        <f>Composite!E8</f>
        <v>5</v>
      </c>
      <c r="E9" s="48">
        <f>Composite!F8</f>
        <v>13.80118387577151</v>
      </c>
      <c r="F9">
        <f>Composite!G8</f>
        <v>0</v>
      </c>
      <c r="G9" t="s">
        <v>343</v>
      </c>
      <c r="H9">
        <f>Composite!I8</f>
        <v>0</v>
      </c>
      <c r="I9">
        <f>Composite!J8</f>
        <v>0</v>
      </c>
      <c r="J9">
        <f>Composite!K8</f>
        <v>0</v>
      </c>
      <c r="K9">
        <f>Composite!L8</f>
        <v>0</v>
      </c>
      <c r="L9">
        <f>Composite!M8</f>
        <v>0</v>
      </c>
      <c r="M9">
        <f>Composite!N8</f>
        <v>0</v>
      </c>
      <c r="N9">
        <f>Composite!O8</f>
        <v>0</v>
      </c>
      <c r="O9">
        <f>Composite!P8</f>
        <v>0</v>
      </c>
      <c r="Q9" t="s">
        <v>337</v>
      </c>
    </row>
    <row r="10" spans="1:131">
      <c r="A10" t="str">
        <f>Composite!B9</f>
        <v>ENERGY STAR Laptops</v>
      </c>
      <c r="B10" t="str">
        <f>Composite!C9</f>
        <v>ENERGY STAR Notebook</v>
      </c>
      <c r="C10" s="48">
        <f>Composite!D9</f>
        <v>18.370399815048557</v>
      </c>
      <c r="D10">
        <f>Composite!E9</f>
        <v>4</v>
      </c>
      <c r="E10" s="48">
        <f>Composite!F9</f>
        <v>55.697634927220747</v>
      </c>
      <c r="F10">
        <f>Composite!G9</f>
        <v>0</v>
      </c>
      <c r="G10" t="s">
        <v>343</v>
      </c>
      <c r="H10">
        <f>Composite!I9</f>
        <v>0</v>
      </c>
      <c r="I10">
        <f>Composite!J9</f>
        <v>0</v>
      </c>
      <c r="J10">
        <f>Composite!K9</f>
        <v>0</v>
      </c>
      <c r="K10">
        <f>Composite!L9</f>
        <v>0</v>
      </c>
      <c r="L10">
        <f>Composite!M9</f>
        <v>0</v>
      </c>
      <c r="M10">
        <f>Composite!N9</f>
        <v>0</v>
      </c>
      <c r="N10">
        <f>Composite!O9</f>
        <v>0</v>
      </c>
      <c r="O10">
        <f>Composite!P9</f>
        <v>0</v>
      </c>
      <c r="Q10" t="s">
        <v>337</v>
      </c>
    </row>
    <row r="13" spans="1:13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row>
    <row r="14" spans="1:131">
      <c r="A14" s="368" t="s">
        <v>345</v>
      </c>
      <c r="B14" s="36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row>
    <row r="15" spans="1:131">
      <c r="A15" s="9" t="s">
        <v>346</v>
      </c>
      <c r="B15" s="9" t="s">
        <v>347</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s="9" t="s">
        <v>348</v>
      </c>
      <c r="B16" s="9" t="s">
        <v>605</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ht="13.5" thickBot="1">
      <c r="A18" s="34" t="s">
        <v>349</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5"/>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371" t="s">
        <v>350</v>
      </c>
      <c r="C19" s="372"/>
      <c r="D19" s="372" t="s">
        <v>350</v>
      </c>
      <c r="E19" s="373"/>
      <c r="F19" s="9"/>
      <c r="G19" s="371" t="s">
        <v>351</v>
      </c>
      <c r="H19" s="372"/>
      <c r="I19" s="372"/>
      <c r="J19" s="372"/>
      <c r="K19" s="372"/>
      <c r="L19" s="372"/>
      <c r="M19" s="372"/>
      <c r="N19" s="372"/>
      <c r="O19" s="373"/>
      <c r="P19" s="9"/>
      <c r="Q19" s="371" t="s">
        <v>352</v>
      </c>
      <c r="R19" s="372"/>
      <c r="S19" s="372"/>
      <c r="T19" s="372"/>
      <c r="U19" s="373"/>
      <c r="V19" s="9"/>
      <c r="W19" s="371" t="s">
        <v>353</v>
      </c>
      <c r="X19" s="373"/>
      <c r="Y19" s="9"/>
      <c r="Z19" s="371" t="s">
        <v>354</v>
      </c>
      <c r="AA19" s="372"/>
      <c r="AB19" s="373"/>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c r="A20" s="9"/>
      <c r="B20" s="374" t="s">
        <v>355</v>
      </c>
      <c r="C20" s="375" t="s">
        <v>356</v>
      </c>
      <c r="D20" s="375" t="s">
        <v>355</v>
      </c>
      <c r="E20" s="376" t="s">
        <v>356</v>
      </c>
      <c r="F20" s="9"/>
      <c r="G20" s="374" t="s">
        <v>357</v>
      </c>
      <c r="H20" s="375" t="s">
        <v>565</v>
      </c>
      <c r="I20" s="375"/>
      <c r="J20" s="375"/>
      <c r="K20" s="375" t="s">
        <v>358</v>
      </c>
      <c r="L20" s="375"/>
      <c r="M20" s="375"/>
      <c r="N20" s="375"/>
      <c r="O20" s="376"/>
      <c r="P20" s="9"/>
      <c r="Q20" s="374"/>
      <c r="R20" s="375" t="s">
        <v>359</v>
      </c>
      <c r="S20" s="375" t="s">
        <v>360</v>
      </c>
      <c r="T20" s="375" t="s">
        <v>361</v>
      </c>
      <c r="U20" s="376" t="s">
        <v>362</v>
      </c>
      <c r="V20" s="9"/>
      <c r="W20" s="374" t="s">
        <v>363</v>
      </c>
      <c r="X20" s="376">
        <v>20</v>
      </c>
      <c r="Y20" s="9"/>
      <c r="Z20" s="374"/>
      <c r="AA20" s="375" t="s">
        <v>356</v>
      </c>
      <c r="AB20" s="376" t="s">
        <v>364</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c r="A21" s="9"/>
      <c r="B21" s="374" t="s">
        <v>365</v>
      </c>
      <c r="C21" s="375" t="s">
        <v>366</v>
      </c>
      <c r="D21" s="375" t="s">
        <v>365</v>
      </c>
      <c r="E21" s="376" t="s">
        <v>366</v>
      </c>
      <c r="F21" s="9"/>
      <c r="G21" s="374" t="s">
        <v>367</v>
      </c>
      <c r="H21" s="375" t="s">
        <v>368</v>
      </c>
      <c r="I21" s="375"/>
      <c r="J21" s="375"/>
      <c r="K21" s="375" t="s">
        <v>369</v>
      </c>
      <c r="L21" s="375"/>
      <c r="M21" s="375"/>
      <c r="N21" s="375"/>
      <c r="O21" s="376"/>
      <c r="P21" s="9"/>
      <c r="Q21" s="374" t="s">
        <v>370</v>
      </c>
      <c r="R21" s="375">
        <v>4.3096045197740109E-2</v>
      </c>
      <c r="S21" s="375">
        <v>4.387844424080023E-2</v>
      </c>
      <c r="T21" s="375">
        <v>5.3289007766645871E-2</v>
      </c>
      <c r="U21" s="376">
        <v>5.447903102274565E-2</v>
      </c>
      <c r="V21" s="9"/>
      <c r="W21" s="374" t="s">
        <v>371</v>
      </c>
      <c r="X21" s="376">
        <v>2016</v>
      </c>
      <c r="Y21" s="9"/>
      <c r="Z21" s="374" t="s">
        <v>372</v>
      </c>
      <c r="AA21" s="375">
        <v>4.03890184699085E-3</v>
      </c>
      <c r="AB21" s="376">
        <v>0.01</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374" t="s">
        <v>373</v>
      </c>
      <c r="C22" s="375" t="s">
        <v>374</v>
      </c>
      <c r="D22" s="375" t="s">
        <v>373</v>
      </c>
      <c r="E22" s="376" t="s">
        <v>374</v>
      </c>
      <c r="F22" s="9"/>
      <c r="G22" s="374" t="s">
        <v>375</v>
      </c>
      <c r="H22" s="375" t="s">
        <v>376</v>
      </c>
      <c r="I22" s="375"/>
      <c r="J22" s="375"/>
      <c r="K22" s="375" t="s">
        <v>377</v>
      </c>
      <c r="L22" s="375"/>
      <c r="M22" s="375"/>
      <c r="N22" s="375"/>
      <c r="O22" s="376"/>
      <c r="P22" s="9"/>
      <c r="Q22" s="374" t="s">
        <v>378</v>
      </c>
      <c r="R22" s="375">
        <v>12</v>
      </c>
      <c r="S22" s="375">
        <v>12</v>
      </c>
      <c r="T22" s="375">
        <v>1</v>
      </c>
      <c r="U22" s="376">
        <v>1</v>
      </c>
      <c r="V22" s="9"/>
      <c r="W22" s="374" t="s">
        <v>379</v>
      </c>
      <c r="X22" s="376">
        <v>2016</v>
      </c>
      <c r="Y22" s="9"/>
      <c r="Z22" s="374" t="s">
        <v>380</v>
      </c>
      <c r="AA22" s="375">
        <v>26</v>
      </c>
      <c r="AB22" s="376">
        <v>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ht="13.5" thickBot="1">
      <c r="A23" s="9"/>
      <c r="B23" s="377" t="s">
        <v>381</v>
      </c>
      <c r="C23" s="378" t="s">
        <v>374</v>
      </c>
      <c r="D23" s="378" t="s">
        <v>381</v>
      </c>
      <c r="E23" s="379" t="s">
        <v>374</v>
      </c>
      <c r="F23" s="9"/>
      <c r="G23" s="374" t="s">
        <v>382</v>
      </c>
      <c r="H23" s="375" t="s">
        <v>383</v>
      </c>
      <c r="I23" s="375"/>
      <c r="J23" s="375"/>
      <c r="K23" s="375" t="s">
        <v>369</v>
      </c>
      <c r="L23" s="375"/>
      <c r="M23" s="375"/>
      <c r="N23" s="375"/>
      <c r="O23" s="376"/>
      <c r="P23" s="9"/>
      <c r="Q23" s="374"/>
      <c r="R23" s="375" t="s">
        <v>359</v>
      </c>
      <c r="S23" s="375" t="s">
        <v>360</v>
      </c>
      <c r="T23" s="375" t="s">
        <v>361</v>
      </c>
      <c r="U23" s="376" t="s">
        <v>362</v>
      </c>
      <c r="V23" s="9"/>
      <c r="W23" s="374" t="s">
        <v>384</v>
      </c>
      <c r="X23" s="376">
        <v>2012</v>
      </c>
      <c r="Y23" s="9"/>
      <c r="Z23" s="374" t="s">
        <v>385</v>
      </c>
      <c r="AA23" s="375">
        <v>0.9</v>
      </c>
      <c r="AB23" s="376" t="s">
        <v>386</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9"/>
      <c r="C24" s="9"/>
      <c r="D24" s="9"/>
      <c r="E24" s="9"/>
      <c r="F24" s="9"/>
      <c r="G24" s="374" t="s">
        <v>387</v>
      </c>
      <c r="H24" s="375" t="s">
        <v>376</v>
      </c>
      <c r="I24" s="375"/>
      <c r="J24" s="375"/>
      <c r="K24" s="375"/>
      <c r="L24" s="375"/>
      <c r="M24" s="375"/>
      <c r="N24" s="375"/>
      <c r="O24" s="376"/>
      <c r="P24" s="9"/>
      <c r="Q24" s="374" t="s">
        <v>388</v>
      </c>
      <c r="R24" s="375">
        <v>0.35</v>
      </c>
      <c r="S24" s="375">
        <v>0.19500000000000001</v>
      </c>
      <c r="T24" s="375">
        <v>0.45499999999999996</v>
      </c>
      <c r="U24" s="376">
        <v>0</v>
      </c>
      <c r="V24" s="9"/>
      <c r="W24" s="374" t="s">
        <v>389</v>
      </c>
      <c r="X24" s="376">
        <v>0.04</v>
      </c>
      <c r="Y24" s="9"/>
      <c r="Z24" s="374" t="s">
        <v>390</v>
      </c>
      <c r="AA24" s="375">
        <v>4.7399348199455904E-2</v>
      </c>
      <c r="AB24" s="376">
        <v>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c r="A25" s="9"/>
      <c r="B25" s="9" t="s">
        <v>391</v>
      </c>
      <c r="C25" s="9" t="s">
        <v>356</v>
      </c>
      <c r="D25" s="9"/>
      <c r="E25" s="9"/>
      <c r="F25" s="9"/>
      <c r="G25" s="374" t="s">
        <v>392</v>
      </c>
      <c r="H25" s="375" t="s">
        <v>393</v>
      </c>
      <c r="I25" s="375"/>
      <c r="J25" s="375"/>
      <c r="K25" s="375" t="s">
        <v>394</v>
      </c>
      <c r="L25" s="375"/>
      <c r="M25" s="375"/>
      <c r="N25" s="375"/>
      <c r="O25" s="376"/>
      <c r="P25" s="9"/>
      <c r="Q25" s="374" t="s">
        <v>395</v>
      </c>
      <c r="R25" s="375">
        <v>1</v>
      </c>
      <c r="S25" s="375">
        <v>0</v>
      </c>
      <c r="T25" s="375">
        <v>0</v>
      </c>
      <c r="U25" s="376">
        <v>0</v>
      </c>
      <c r="V25" s="9"/>
      <c r="W25" s="374" t="s">
        <v>396</v>
      </c>
      <c r="X25" s="376">
        <v>0</v>
      </c>
      <c r="Y25" s="9"/>
      <c r="Z25" s="374" t="s">
        <v>397</v>
      </c>
      <c r="AA25" s="375">
        <v>31</v>
      </c>
      <c r="AB25" s="376">
        <v>0</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t="s">
        <v>398</v>
      </c>
      <c r="C26" s="9" t="s">
        <v>399</v>
      </c>
      <c r="D26" s="9"/>
      <c r="E26" s="9"/>
      <c r="F26" s="9"/>
      <c r="G26" s="374" t="s">
        <v>400</v>
      </c>
      <c r="H26" s="375" t="s">
        <v>394</v>
      </c>
      <c r="I26" s="375"/>
      <c r="J26" s="375"/>
      <c r="K26" s="375" t="s">
        <v>401</v>
      </c>
      <c r="L26" s="375"/>
      <c r="M26" s="375"/>
      <c r="N26" s="375"/>
      <c r="O26" s="376"/>
      <c r="P26" s="9"/>
      <c r="Q26" s="374" t="s">
        <v>402</v>
      </c>
      <c r="R26" s="375">
        <v>1</v>
      </c>
      <c r="S26" s="375">
        <v>0</v>
      </c>
      <c r="T26" s="375">
        <v>0</v>
      </c>
      <c r="U26" s="376">
        <v>0</v>
      </c>
      <c r="V26" s="9"/>
      <c r="W26" s="374" t="s">
        <v>403</v>
      </c>
      <c r="X26" s="376">
        <v>0.2</v>
      </c>
      <c r="Y26" s="9"/>
      <c r="Z26" s="374" t="s">
        <v>404</v>
      </c>
      <c r="AA26" s="375">
        <v>0.7</v>
      </c>
      <c r="AB26" s="376" t="s">
        <v>386</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t="s">
        <v>405</v>
      </c>
      <c r="C27" s="9" t="s">
        <v>406</v>
      </c>
      <c r="D27" s="9"/>
      <c r="E27" s="9"/>
      <c r="F27" s="9"/>
      <c r="G27" s="374" t="s">
        <v>407</v>
      </c>
      <c r="H27" s="375" t="s">
        <v>401</v>
      </c>
      <c r="I27" s="375"/>
      <c r="J27" s="375"/>
      <c r="K27" s="375" t="s">
        <v>408</v>
      </c>
      <c r="L27" s="375"/>
      <c r="M27" s="375"/>
      <c r="N27" s="375"/>
      <c r="O27" s="376"/>
      <c r="P27" s="9"/>
      <c r="Q27" s="374" t="s">
        <v>409</v>
      </c>
      <c r="R27" s="375"/>
      <c r="S27" s="375">
        <v>0.3</v>
      </c>
      <c r="T27" s="375">
        <v>0.7</v>
      </c>
      <c r="U27" s="376">
        <v>0</v>
      </c>
      <c r="V27" s="9"/>
      <c r="W27" s="374" t="s">
        <v>410</v>
      </c>
      <c r="X27" s="376">
        <v>0</v>
      </c>
      <c r="Y27" s="9"/>
      <c r="Z27" s="374" t="s">
        <v>411</v>
      </c>
      <c r="AA27" s="375">
        <v>0</v>
      </c>
      <c r="AB27" s="376">
        <v>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ht="13.5" thickBot="1">
      <c r="A28" s="9"/>
      <c r="B28" s="9" t="s">
        <v>412</v>
      </c>
      <c r="C28" s="9" t="s">
        <v>413</v>
      </c>
      <c r="D28" s="9"/>
      <c r="E28" s="9"/>
      <c r="F28" s="9"/>
      <c r="G28" s="377" t="s">
        <v>414</v>
      </c>
      <c r="H28" s="378" t="s">
        <v>408</v>
      </c>
      <c r="I28" s="378"/>
      <c r="J28" s="378"/>
      <c r="K28" s="378"/>
      <c r="L28" s="378"/>
      <c r="M28" s="378"/>
      <c r="N28" s="378"/>
      <c r="O28" s="379"/>
      <c r="P28" s="9"/>
      <c r="Q28" s="377" t="s">
        <v>415</v>
      </c>
      <c r="R28" s="378"/>
      <c r="S28" s="378">
        <v>20</v>
      </c>
      <c r="T28" s="378"/>
      <c r="U28" s="379"/>
      <c r="V28" s="9"/>
      <c r="W28" s="377" t="s">
        <v>416</v>
      </c>
      <c r="X28" s="379">
        <v>2018</v>
      </c>
      <c r="Y28" s="9"/>
      <c r="Z28" s="377" t="s">
        <v>417</v>
      </c>
      <c r="AA28" s="378">
        <v>0</v>
      </c>
      <c r="AB28" s="379">
        <v>0</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ht="13.5" thickBot="1">
      <c r="A36" s="34" t="s">
        <v>418</v>
      </c>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ht="26.25" thickBot="1">
      <c r="A37" s="380" t="s">
        <v>419</v>
      </c>
      <c r="B37" s="381"/>
      <c r="C37" s="382" t="s">
        <v>420</v>
      </c>
      <c r="D37" s="383"/>
      <c r="E37" s="383"/>
      <c r="F37" s="383"/>
      <c r="G37" s="383"/>
      <c r="H37" s="383"/>
      <c r="I37" s="383"/>
      <c r="J37" s="383"/>
      <c r="K37" s="384"/>
      <c r="L37" s="382" t="s">
        <v>421</v>
      </c>
      <c r="M37" s="383"/>
      <c r="N37" s="383"/>
      <c r="O37" s="383"/>
      <c r="P37" s="383"/>
      <c r="Q37" s="384"/>
      <c r="R37" s="382" t="s">
        <v>422</v>
      </c>
      <c r="S37" s="383"/>
      <c r="T37" s="383"/>
      <c r="U37" s="384"/>
      <c r="V37" s="382" t="s">
        <v>423</v>
      </c>
      <c r="W37" s="383"/>
      <c r="X37" s="383"/>
      <c r="Y37" s="384"/>
      <c r="Z37" s="382" t="s">
        <v>424</v>
      </c>
      <c r="AA37" s="383"/>
      <c r="AB37" s="383"/>
      <c r="AC37" s="384"/>
      <c r="AD37" s="382" t="s">
        <v>425</v>
      </c>
      <c r="AE37" s="383"/>
      <c r="AF37" s="383"/>
      <c r="AG37" s="384"/>
      <c r="AH37" s="382" t="s">
        <v>426</v>
      </c>
      <c r="AI37" s="383"/>
      <c r="AJ37" s="383"/>
      <c r="AK37" s="383"/>
      <c r="AL37" s="384"/>
      <c r="AM37" s="382" t="s">
        <v>427</v>
      </c>
      <c r="AN37" s="383"/>
      <c r="AO37" s="383"/>
      <c r="AP37" s="383"/>
      <c r="AQ37" s="383"/>
      <c r="AR37" s="383"/>
      <c r="AS37" s="384"/>
      <c r="AT37" s="382" t="s">
        <v>428</v>
      </c>
      <c r="AU37" s="383"/>
      <c r="AV37" s="383"/>
      <c r="AW37" s="383"/>
      <c r="AX37" s="383"/>
      <c r="AY37" s="383"/>
      <c r="AZ37" s="384"/>
      <c r="BA37" s="382" t="s">
        <v>429</v>
      </c>
      <c r="BB37" s="383"/>
      <c r="BC37" s="383"/>
      <c r="BD37" s="383"/>
      <c r="BE37" s="383"/>
      <c r="BF37" s="384"/>
      <c r="BG37" s="382" t="s">
        <v>430</v>
      </c>
      <c r="BH37" s="384"/>
      <c r="BI37" s="382" t="s">
        <v>431</v>
      </c>
      <c r="BJ37" s="383"/>
      <c r="BK37" s="383"/>
      <c r="BL37" s="383"/>
      <c r="BM37" s="384"/>
      <c r="BN37" s="382" t="s">
        <v>432</v>
      </c>
      <c r="BO37" s="383"/>
      <c r="BP37" s="383"/>
      <c r="BQ37" s="383"/>
      <c r="BR37" s="383"/>
      <c r="BS37" s="383"/>
      <c r="BT37" s="383"/>
      <c r="BU37" s="383"/>
      <c r="BV37" s="383"/>
      <c r="BW37" s="383"/>
      <c r="BX37" s="383"/>
      <c r="BY37" s="383"/>
      <c r="BZ37" s="383"/>
      <c r="CA37" s="383"/>
      <c r="CB37" s="383"/>
      <c r="CC37" s="384"/>
      <c r="CD37" s="382" t="s">
        <v>433</v>
      </c>
      <c r="CE37" s="384"/>
      <c r="CF37" s="382" t="s">
        <v>434</v>
      </c>
      <c r="CG37" s="383"/>
      <c r="CH37" s="383"/>
      <c r="CI37" s="383"/>
      <c r="CJ37" s="383"/>
      <c r="CK37" s="384"/>
      <c r="CL37" s="385"/>
      <c r="CM37" s="382" t="s">
        <v>5</v>
      </c>
      <c r="CN37" s="383"/>
      <c r="CO37" s="383"/>
      <c r="CP37" s="384"/>
      <c r="CQ37" s="382" t="s">
        <v>435</v>
      </c>
      <c r="CR37" s="383"/>
      <c r="CS37" s="383"/>
      <c r="CT37" s="383"/>
      <c r="CU37" s="384"/>
      <c r="CV37" s="382" t="s">
        <v>436</v>
      </c>
      <c r="CW37" s="384"/>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204">
      <c r="A38" s="37" t="s">
        <v>21</v>
      </c>
      <c r="B38" s="38" t="s">
        <v>22</v>
      </c>
      <c r="C38" s="39" t="s">
        <v>322</v>
      </c>
      <c r="D38" s="39" t="s">
        <v>437</v>
      </c>
      <c r="E38" s="39" t="s">
        <v>438</v>
      </c>
      <c r="F38" s="39" t="s">
        <v>439</v>
      </c>
      <c r="G38" s="39" t="s">
        <v>440</v>
      </c>
      <c r="H38" s="39" t="s">
        <v>441</v>
      </c>
      <c r="I38" s="39" t="s">
        <v>442</v>
      </c>
      <c r="J38" s="39" t="s">
        <v>443</v>
      </c>
      <c r="K38" s="39" t="s">
        <v>444</v>
      </c>
      <c r="L38" s="39" t="s">
        <v>445</v>
      </c>
      <c r="M38" s="39" t="s">
        <v>446</v>
      </c>
      <c r="N38" s="39" t="s">
        <v>447</v>
      </c>
      <c r="O38" s="39" t="s">
        <v>448</v>
      </c>
      <c r="P38" s="39" t="s">
        <v>449</v>
      </c>
      <c r="Q38" s="39" t="s">
        <v>450</v>
      </c>
      <c r="R38" s="39" t="s">
        <v>451</v>
      </c>
      <c r="S38" s="39" t="s">
        <v>452</v>
      </c>
      <c r="T38" s="39" t="s">
        <v>453</v>
      </c>
      <c r="U38" s="39" t="s">
        <v>359</v>
      </c>
      <c r="V38" s="39" t="s">
        <v>451</v>
      </c>
      <c r="W38" s="39" t="s">
        <v>452</v>
      </c>
      <c r="X38" s="39" t="s">
        <v>453</v>
      </c>
      <c r="Y38" s="39" t="s">
        <v>359</v>
      </c>
      <c r="Z38" s="39" t="s">
        <v>451</v>
      </c>
      <c r="AA38" s="39" t="s">
        <v>452</v>
      </c>
      <c r="AB38" s="39" t="s">
        <v>453</v>
      </c>
      <c r="AC38" s="39" t="s">
        <v>359</v>
      </c>
      <c r="AD38" s="39" t="s">
        <v>451</v>
      </c>
      <c r="AE38" s="39" t="s">
        <v>452</v>
      </c>
      <c r="AF38" s="39" t="s">
        <v>453</v>
      </c>
      <c r="AG38" s="39" t="s">
        <v>359</v>
      </c>
      <c r="AH38" s="39" t="s">
        <v>451</v>
      </c>
      <c r="AI38" s="39" t="s">
        <v>452</v>
      </c>
      <c r="AJ38" s="39" t="s">
        <v>453</v>
      </c>
      <c r="AK38" s="39" t="s">
        <v>359</v>
      </c>
      <c r="AL38" s="39" t="s">
        <v>454</v>
      </c>
      <c r="AM38" s="39" t="s">
        <v>455</v>
      </c>
      <c r="AN38" s="39" t="s">
        <v>456</v>
      </c>
      <c r="AO38" s="39" t="s">
        <v>457</v>
      </c>
      <c r="AP38" s="39" t="s">
        <v>458</v>
      </c>
      <c r="AQ38" s="39" t="s">
        <v>459</v>
      </c>
      <c r="AR38" s="39" t="s">
        <v>460</v>
      </c>
      <c r="AS38" s="39" t="s">
        <v>461</v>
      </c>
      <c r="AT38" s="39" t="s">
        <v>462</v>
      </c>
      <c r="AU38" s="39" t="s">
        <v>463</v>
      </c>
      <c r="AV38" s="39" t="s">
        <v>464</v>
      </c>
      <c r="AW38" s="39" t="s">
        <v>465</v>
      </c>
      <c r="AX38" s="39" t="s">
        <v>466</v>
      </c>
      <c r="AY38" s="39" t="s">
        <v>467</v>
      </c>
      <c r="AZ38" s="39" t="s">
        <v>468</v>
      </c>
      <c r="BA38" s="39" t="s">
        <v>469</v>
      </c>
      <c r="BB38" s="39" t="s">
        <v>470</v>
      </c>
      <c r="BC38" s="39" t="s">
        <v>471</v>
      </c>
      <c r="BD38" s="39" t="s">
        <v>472</v>
      </c>
      <c r="BE38" s="39" t="s">
        <v>473</v>
      </c>
      <c r="BF38" s="39" t="s">
        <v>474</v>
      </c>
      <c r="BG38" s="39" t="s">
        <v>475</v>
      </c>
      <c r="BH38" s="39" t="s">
        <v>476</v>
      </c>
      <c r="BI38" s="39" t="s">
        <v>477</v>
      </c>
      <c r="BJ38" s="39" t="s">
        <v>478</v>
      </c>
      <c r="BK38" s="39" t="s">
        <v>479</v>
      </c>
      <c r="BL38" s="39" t="s">
        <v>480</v>
      </c>
      <c r="BM38" s="39" t="s">
        <v>481</v>
      </c>
      <c r="BN38" s="39" t="s">
        <v>482</v>
      </c>
      <c r="BO38" s="39" t="s">
        <v>483</v>
      </c>
      <c r="BP38" s="39" t="s">
        <v>484</v>
      </c>
      <c r="BQ38" s="39" t="s">
        <v>485</v>
      </c>
      <c r="BR38" s="39" t="s">
        <v>486</v>
      </c>
      <c r="BS38" s="39" t="s">
        <v>487</v>
      </c>
      <c r="BT38" s="39" t="s">
        <v>488</v>
      </c>
      <c r="BU38" s="39" t="s">
        <v>489</v>
      </c>
      <c r="BV38" s="39" t="s">
        <v>490</v>
      </c>
      <c r="BW38" s="39" t="s">
        <v>491</v>
      </c>
      <c r="BX38" s="39" t="s">
        <v>492</v>
      </c>
      <c r="BY38" s="39" t="s">
        <v>493</v>
      </c>
      <c r="BZ38" s="39" t="s">
        <v>494</v>
      </c>
      <c r="CA38" s="39" t="s">
        <v>495</v>
      </c>
      <c r="CB38" s="39" t="s">
        <v>496</v>
      </c>
      <c r="CC38" s="39" t="s">
        <v>497</v>
      </c>
      <c r="CD38" s="39" t="s">
        <v>23</v>
      </c>
      <c r="CE38" s="39" t="s">
        <v>24</v>
      </c>
      <c r="CF38" s="39" t="s">
        <v>498</v>
      </c>
      <c r="CG38" s="39" t="s">
        <v>499</v>
      </c>
      <c r="CH38" s="39" t="s">
        <v>500</v>
      </c>
      <c r="CI38" s="39" t="s">
        <v>501</v>
      </c>
      <c r="CJ38" s="39" t="s">
        <v>502</v>
      </c>
      <c r="CK38" s="39" t="s">
        <v>503</v>
      </c>
      <c r="CL38" s="39"/>
      <c r="CM38" s="39" t="s">
        <v>504</v>
      </c>
      <c r="CN38" s="39" t="s">
        <v>505</v>
      </c>
      <c r="CO38" s="39" t="s">
        <v>506</v>
      </c>
      <c r="CP38" s="39" t="s">
        <v>507</v>
      </c>
      <c r="CQ38" s="39" t="s">
        <v>508</v>
      </c>
      <c r="CR38" s="39" t="s">
        <v>509</v>
      </c>
      <c r="CS38" s="39" t="s">
        <v>510</v>
      </c>
      <c r="CT38" s="39" t="s">
        <v>511</v>
      </c>
      <c r="CU38" s="39" t="s">
        <v>512</v>
      </c>
      <c r="CV38" s="39" t="s">
        <v>513</v>
      </c>
      <c r="CW38" s="386" t="s">
        <v>514</v>
      </c>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t="s">
        <v>292</v>
      </c>
      <c r="B39" s="9" t="s">
        <v>299</v>
      </c>
      <c r="C39" s="36">
        <v>5</v>
      </c>
      <c r="D39" s="36">
        <v>29.693683763540115</v>
      </c>
      <c r="E39" s="36">
        <v>0</v>
      </c>
      <c r="F39" s="36">
        <v>8</v>
      </c>
      <c r="G39" s="36">
        <v>0</v>
      </c>
      <c r="H39" s="36">
        <v>0</v>
      </c>
      <c r="I39" s="36" t="s">
        <v>344</v>
      </c>
      <c r="J39" s="36"/>
      <c r="K39" s="36"/>
      <c r="L39" s="36">
        <v>31.923177973133928</v>
      </c>
      <c r="M39" s="36">
        <v>6.5680040394164047E-3</v>
      </c>
      <c r="N39" s="36">
        <v>6.5205991316391295E-3</v>
      </c>
      <c r="O39" s="36">
        <v>0</v>
      </c>
      <c r="P39" s="36">
        <v>0</v>
      </c>
      <c r="Q39" s="36">
        <v>0</v>
      </c>
      <c r="R39" s="36">
        <v>1.5953068680173779</v>
      </c>
      <c r="S39" s="36">
        <v>3.6865115271832609</v>
      </c>
      <c r="T39" s="36">
        <v>0</v>
      </c>
      <c r="U39" s="36">
        <v>19.568931703408801</v>
      </c>
      <c r="V39" s="36" t="s">
        <v>515</v>
      </c>
      <c r="W39" s="36" t="s">
        <v>515</v>
      </c>
      <c r="X39" s="36" t="s">
        <v>515</v>
      </c>
      <c r="Y39" s="36" t="s">
        <v>515</v>
      </c>
      <c r="Z39" s="36">
        <v>0</v>
      </c>
      <c r="AA39" s="36">
        <v>0</v>
      </c>
      <c r="AB39" s="36">
        <v>0</v>
      </c>
      <c r="AC39" s="36">
        <v>0</v>
      </c>
      <c r="AD39" s="36">
        <v>0</v>
      </c>
      <c r="AE39" s="36">
        <v>0</v>
      </c>
      <c r="AF39" s="36">
        <v>0</v>
      </c>
      <c r="AG39" s="36">
        <v>0</v>
      </c>
      <c r="AH39" s="36">
        <v>1.5953068680173779</v>
      </c>
      <c r="AI39" s="36">
        <v>3.6865115271832609</v>
      </c>
      <c r="AJ39" s="36">
        <v>0</v>
      </c>
      <c r="AK39" s="36">
        <v>19.568931703408801</v>
      </c>
      <c r="AL39" s="36">
        <v>24.850750098609439</v>
      </c>
      <c r="AM39" s="36">
        <v>16.323088906164447</v>
      </c>
      <c r="AN39" s="36">
        <v>2.3207942765991088</v>
      </c>
      <c r="AO39" s="36">
        <v>0</v>
      </c>
      <c r="AP39" s="36">
        <v>0</v>
      </c>
      <c r="AQ39" s="36">
        <v>18.643883182763556</v>
      </c>
      <c r="AR39" s="36">
        <v>1.5953068680173779</v>
      </c>
      <c r="AS39" s="40">
        <v>11.686706524327748</v>
      </c>
      <c r="AT39" s="36">
        <v>16.323088906164447</v>
      </c>
      <c r="AU39" s="36">
        <v>2.747129175074349</v>
      </c>
      <c r="AV39" s="36">
        <v>0</v>
      </c>
      <c r="AW39" s="36">
        <v>0</v>
      </c>
      <c r="AX39" s="36">
        <v>19.070218081238796</v>
      </c>
      <c r="AY39" s="36">
        <v>3.6865115271832609</v>
      </c>
      <c r="AZ39" s="40">
        <v>5.1729712332704159</v>
      </c>
      <c r="BA39" s="36">
        <v>16.323088906164447</v>
      </c>
      <c r="BB39" s="36">
        <v>5.0679234516734581</v>
      </c>
      <c r="BC39" s="36">
        <v>0</v>
      </c>
      <c r="BD39" s="36">
        <v>0</v>
      </c>
      <c r="BE39" s="36">
        <v>21.391012357837905</v>
      </c>
      <c r="BF39" s="36">
        <v>5.2818183952006388</v>
      </c>
      <c r="BG39" s="36">
        <v>0.49301997264866976</v>
      </c>
      <c r="BH39" s="40">
        <v>4.049933329263081</v>
      </c>
      <c r="BI39" s="36">
        <v>3.6771236171659165</v>
      </c>
      <c r="BJ39" s="36">
        <v>8.4972733919254306</v>
      </c>
      <c r="BK39" s="36">
        <v>0</v>
      </c>
      <c r="BL39" s="36">
        <v>45.105667362128798</v>
      </c>
      <c r="BM39" s="36">
        <v>57.280064371220142</v>
      </c>
      <c r="BN39" s="36">
        <v>16.323088906164447</v>
      </c>
      <c r="BO39" s="36">
        <v>0</v>
      </c>
      <c r="BP39" s="36">
        <v>5.0679234516734581</v>
      </c>
      <c r="BQ39" s="36">
        <v>0</v>
      </c>
      <c r="BR39" s="36">
        <v>0</v>
      </c>
      <c r="BS39" s="36">
        <v>0</v>
      </c>
      <c r="BT39" s="36">
        <v>0</v>
      </c>
      <c r="BU39" s="36">
        <v>0</v>
      </c>
      <c r="BV39" s="36">
        <v>0</v>
      </c>
      <c r="BW39" s="36">
        <v>0</v>
      </c>
      <c r="BX39" s="36">
        <v>24.850750098609439</v>
      </c>
      <c r="BY39" s="36"/>
      <c r="BZ39" s="36">
        <v>0</v>
      </c>
      <c r="CA39" s="36">
        <v>0</v>
      </c>
      <c r="CB39" s="36">
        <v>21.391012357837905</v>
      </c>
      <c r="CC39" s="36">
        <v>24.850750098609439</v>
      </c>
      <c r="CD39" s="387">
        <v>0.86077934359956687</v>
      </c>
      <c r="CE39" s="36">
        <v>45.598687334777466</v>
      </c>
      <c r="CF39" s="36">
        <v>0.30327022831763456</v>
      </c>
      <c r="CG39" s="36">
        <v>0</v>
      </c>
      <c r="CH39" s="36">
        <v>0.30327022831763456</v>
      </c>
      <c r="CI39" s="36">
        <v>1.5163509537238615E-2</v>
      </c>
      <c r="CJ39" s="36">
        <v>0</v>
      </c>
      <c r="CK39" s="36">
        <v>1.5163509537238615E-2</v>
      </c>
      <c r="CL39" s="36"/>
      <c r="CM39" s="36">
        <v>0</v>
      </c>
      <c r="CN39" s="36"/>
      <c r="CO39" s="36">
        <v>0</v>
      </c>
      <c r="CP39" s="36">
        <v>0</v>
      </c>
      <c r="CQ39" s="36">
        <v>0</v>
      </c>
      <c r="CR39" s="36">
        <v>0</v>
      </c>
      <c r="CS39" s="36">
        <v>0</v>
      </c>
      <c r="CT39" s="36">
        <v>0</v>
      </c>
      <c r="CU39" s="36">
        <v>0</v>
      </c>
      <c r="CV39" s="36">
        <v>9999</v>
      </c>
      <c r="CW39" s="40">
        <v>9999</v>
      </c>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c r="A40" s="9" t="s">
        <v>293</v>
      </c>
      <c r="B40" s="9" t="s">
        <v>300</v>
      </c>
      <c r="C40" s="36">
        <v>5</v>
      </c>
      <c r="D40" s="36">
        <v>63.574979092327354</v>
      </c>
      <c r="E40" s="36">
        <v>0</v>
      </c>
      <c r="F40" s="36">
        <v>13.80118387577151</v>
      </c>
      <c r="G40" s="36">
        <v>0</v>
      </c>
      <c r="H40" s="36">
        <v>0</v>
      </c>
      <c r="I40" s="36" t="s">
        <v>343</v>
      </c>
      <c r="J40" s="36"/>
      <c r="K40" s="36"/>
      <c r="L40" s="36">
        <v>68.243112182874043</v>
      </c>
      <c r="M40" s="36">
        <v>9.9264974994726762E-3</v>
      </c>
      <c r="N40" s="36">
        <v>9.8548524919955405E-3</v>
      </c>
      <c r="O40" s="36">
        <v>0</v>
      </c>
      <c r="P40" s="36">
        <v>0</v>
      </c>
      <c r="Q40" s="36">
        <v>0</v>
      </c>
      <c r="R40" s="36">
        <v>2.752140427973623</v>
      </c>
      <c r="S40" s="36">
        <v>6.3597779308509281</v>
      </c>
      <c r="T40" s="36">
        <v>0</v>
      </c>
      <c r="U40" s="36">
        <v>33.759303086394929</v>
      </c>
      <c r="V40" s="36" t="s">
        <v>515</v>
      </c>
      <c r="W40" s="36" t="s">
        <v>515</v>
      </c>
      <c r="X40" s="36" t="s">
        <v>515</v>
      </c>
      <c r="Y40" s="36" t="s">
        <v>515</v>
      </c>
      <c r="Z40" s="36">
        <v>0</v>
      </c>
      <c r="AA40" s="36">
        <v>0</v>
      </c>
      <c r="AB40" s="36">
        <v>0</v>
      </c>
      <c r="AC40" s="36">
        <v>0</v>
      </c>
      <c r="AD40" s="36">
        <v>0</v>
      </c>
      <c r="AE40" s="36">
        <v>0</v>
      </c>
      <c r="AF40" s="36">
        <v>0</v>
      </c>
      <c r="AG40" s="36">
        <v>0</v>
      </c>
      <c r="AH40" s="36">
        <v>2.752140427973623</v>
      </c>
      <c r="AI40" s="36">
        <v>6.3597779308509281</v>
      </c>
      <c r="AJ40" s="36">
        <v>0</v>
      </c>
      <c r="AK40" s="36">
        <v>33.759303086394929</v>
      </c>
      <c r="AL40" s="36">
        <v>42.871221445219483</v>
      </c>
      <c r="AM40" s="36">
        <v>34.429930817784786</v>
      </c>
      <c r="AN40" s="36">
        <v>3.5075128524888233</v>
      </c>
      <c r="AO40" s="36">
        <v>0</v>
      </c>
      <c r="AP40" s="36">
        <v>0</v>
      </c>
      <c r="AQ40" s="36">
        <v>37.937443670273609</v>
      </c>
      <c r="AR40" s="36">
        <v>2.752140427973623</v>
      </c>
      <c r="AS40" s="40">
        <v>13.784704909918647</v>
      </c>
      <c r="AT40" s="36">
        <v>34.429930817784786</v>
      </c>
      <c r="AU40" s="36">
        <v>4.1518505048798611</v>
      </c>
      <c r="AV40" s="36">
        <v>0</v>
      </c>
      <c r="AW40" s="36">
        <v>0</v>
      </c>
      <c r="AX40" s="36">
        <v>38.581781322664646</v>
      </c>
      <c r="AY40" s="36">
        <v>6.3597779308509281</v>
      </c>
      <c r="AZ40" s="40">
        <v>6.0665296402106392</v>
      </c>
      <c r="BA40" s="36">
        <v>34.429930817784786</v>
      </c>
      <c r="BB40" s="36">
        <v>7.6593633573686848</v>
      </c>
      <c r="BC40" s="36">
        <v>0</v>
      </c>
      <c r="BD40" s="36">
        <v>0</v>
      </c>
      <c r="BE40" s="36">
        <v>42.089294175153469</v>
      </c>
      <c r="BF40" s="36">
        <v>9.1119183588245516</v>
      </c>
      <c r="BG40" s="36">
        <v>1.5661879424448262</v>
      </c>
      <c r="BH40" s="40">
        <v>4.6191474196420517</v>
      </c>
      <c r="BI40" s="36">
        <v>2.9674395461011973</v>
      </c>
      <c r="BJ40" s="36">
        <v>6.8573014460327411</v>
      </c>
      <c r="BK40" s="36">
        <v>0</v>
      </c>
      <c r="BL40" s="36">
        <v>36.400283215615282</v>
      </c>
      <c r="BM40" s="36">
        <v>46.225024207749222</v>
      </c>
      <c r="BN40" s="36">
        <v>34.429930817784786</v>
      </c>
      <c r="BO40" s="36">
        <v>0</v>
      </c>
      <c r="BP40" s="36">
        <v>7.6593633573686848</v>
      </c>
      <c r="BQ40" s="36">
        <v>0</v>
      </c>
      <c r="BR40" s="36">
        <v>0</v>
      </c>
      <c r="BS40" s="36">
        <v>0</v>
      </c>
      <c r="BT40" s="36">
        <v>0</v>
      </c>
      <c r="BU40" s="36">
        <v>0</v>
      </c>
      <c r="BV40" s="36">
        <v>0</v>
      </c>
      <c r="BW40" s="36">
        <v>0</v>
      </c>
      <c r="BX40" s="36">
        <v>42.871221445219483</v>
      </c>
      <c r="BY40" s="36"/>
      <c r="BZ40" s="36">
        <v>0</v>
      </c>
      <c r="CA40" s="36">
        <v>0</v>
      </c>
      <c r="CB40" s="36">
        <v>42.089294175153469</v>
      </c>
      <c r="CC40" s="36">
        <v>42.871221445219483</v>
      </c>
      <c r="CD40" s="387">
        <v>0.98176102187652492</v>
      </c>
      <c r="CE40" s="36">
        <v>37.966471158060109</v>
      </c>
      <c r="CF40" s="36">
        <v>0.64831858632339023</v>
      </c>
      <c r="CG40" s="36">
        <v>0</v>
      </c>
      <c r="CH40" s="36">
        <v>0.64831858632339023</v>
      </c>
      <c r="CI40" s="36">
        <v>3.2415478286865168E-2</v>
      </c>
      <c r="CJ40" s="36">
        <v>0</v>
      </c>
      <c r="CK40" s="36">
        <v>3.2415478286865168E-2</v>
      </c>
      <c r="CL40" s="36"/>
      <c r="CM40" s="36">
        <v>0</v>
      </c>
      <c r="CN40" s="36"/>
      <c r="CO40" s="36">
        <v>0</v>
      </c>
      <c r="CP40" s="36">
        <v>0</v>
      </c>
      <c r="CQ40" s="36">
        <v>0</v>
      </c>
      <c r="CR40" s="36">
        <v>0</v>
      </c>
      <c r="CS40" s="36">
        <v>0</v>
      </c>
      <c r="CT40" s="36">
        <v>0</v>
      </c>
      <c r="CU40" s="36">
        <v>0</v>
      </c>
      <c r="CV40" s="36">
        <v>9999</v>
      </c>
      <c r="CW40" s="40">
        <v>9999</v>
      </c>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t="s">
        <v>294</v>
      </c>
      <c r="B41" s="9" t="s">
        <v>301</v>
      </c>
      <c r="C41" s="36">
        <v>4</v>
      </c>
      <c r="D41" s="36">
        <v>18.370399815048557</v>
      </c>
      <c r="E41" s="36">
        <v>0</v>
      </c>
      <c r="F41" s="36">
        <v>55.697634927220747</v>
      </c>
      <c r="G41" s="36">
        <v>0</v>
      </c>
      <c r="H41" s="36">
        <v>0</v>
      </c>
      <c r="I41" s="36" t="s">
        <v>343</v>
      </c>
      <c r="J41" s="36"/>
      <c r="K41" s="36"/>
      <c r="L41" s="36">
        <v>19.719286947809731</v>
      </c>
      <c r="M41" s="36">
        <v>2.8683254077609358E-3</v>
      </c>
      <c r="N41" s="36">
        <v>2.8476231212498267E-3</v>
      </c>
      <c r="O41" s="36">
        <v>0</v>
      </c>
      <c r="P41" s="36">
        <v>0</v>
      </c>
      <c r="Q41" s="36">
        <v>0</v>
      </c>
      <c r="R41" s="36">
        <v>11.10685244146498</v>
      </c>
      <c r="S41" s="36">
        <v>25.666246649505535</v>
      </c>
      <c r="T41" s="36">
        <v>0</v>
      </c>
      <c r="U41" s="36">
        <v>175.43834050886358</v>
      </c>
      <c r="V41" s="36" t="s">
        <v>515</v>
      </c>
      <c r="W41" s="36" t="s">
        <v>515</v>
      </c>
      <c r="X41" s="36" t="s">
        <v>515</v>
      </c>
      <c r="Y41" s="36" t="s">
        <v>515</v>
      </c>
      <c r="Z41" s="36">
        <v>0</v>
      </c>
      <c r="AA41" s="36">
        <v>0</v>
      </c>
      <c r="AB41" s="36">
        <v>0</v>
      </c>
      <c r="AC41" s="36">
        <v>0</v>
      </c>
      <c r="AD41" s="36">
        <v>0</v>
      </c>
      <c r="AE41" s="36">
        <v>0</v>
      </c>
      <c r="AF41" s="36">
        <v>0</v>
      </c>
      <c r="AG41" s="36">
        <v>0</v>
      </c>
      <c r="AH41" s="36">
        <v>11.10685244146498</v>
      </c>
      <c r="AI41" s="36">
        <v>25.666246649505535</v>
      </c>
      <c r="AJ41" s="36">
        <v>0</v>
      </c>
      <c r="AK41" s="36">
        <v>175.43834050886358</v>
      </c>
      <c r="AL41" s="36">
        <v>212.21143959983408</v>
      </c>
      <c r="AM41" s="36">
        <v>9.9487503379061408</v>
      </c>
      <c r="AN41" s="36">
        <v>1.0135184372308739</v>
      </c>
      <c r="AO41" s="36">
        <v>0</v>
      </c>
      <c r="AP41" s="36">
        <v>0</v>
      </c>
      <c r="AQ41" s="36">
        <v>10.962268775137014</v>
      </c>
      <c r="AR41" s="36">
        <v>11.10685244146498</v>
      </c>
      <c r="AS41" s="387">
        <v>0.98698248067218441</v>
      </c>
      <c r="AT41" s="36">
        <v>9.9487503379061408</v>
      </c>
      <c r="AU41" s="36">
        <v>1.1997039532830793</v>
      </c>
      <c r="AV41" s="36">
        <v>0</v>
      </c>
      <c r="AW41" s="36">
        <v>0</v>
      </c>
      <c r="AX41" s="36">
        <v>11.148454291189219</v>
      </c>
      <c r="AY41" s="36">
        <v>25.666246649505535</v>
      </c>
      <c r="AZ41" s="387">
        <v>0.43436247003431633</v>
      </c>
      <c r="BA41" s="36">
        <v>9.9487503379061408</v>
      </c>
      <c r="BB41" s="36">
        <v>2.2132223905139532</v>
      </c>
      <c r="BC41" s="36">
        <v>0</v>
      </c>
      <c r="BD41" s="36">
        <v>0</v>
      </c>
      <c r="BE41" s="36">
        <v>12.161972728420093</v>
      </c>
      <c r="BF41" s="36">
        <v>36.773099090970518</v>
      </c>
      <c r="BG41" s="36">
        <v>128.95883230928118</v>
      </c>
      <c r="BH41" s="387">
        <v>0.33073015408174872</v>
      </c>
      <c r="BI41" s="36">
        <v>41.444786794158048</v>
      </c>
      <c r="BJ41" s="36">
        <v>95.772598564812228</v>
      </c>
      <c r="BK41" s="36">
        <v>0</v>
      </c>
      <c r="BL41" s="36">
        <v>654.64132671521429</v>
      </c>
      <c r="BM41" s="36">
        <v>791.85871207418461</v>
      </c>
      <c r="BN41" s="36">
        <v>9.9487503379061408</v>
      </c>
      <c r="BO41" s="36">
        <v>0</v>
      </c>
      <c r="BP41" s="36">
        <v>2.2132223905139532</v>
      </c>
      <c r="BQ41" s="36">
        <v>0</v>
      </c>
      <c r="BR41" s="36">
        <v>0</v>
      </c>
      <c r="BS41" s="36">
        <v>0</v>
      </c>
      <c r="BT41" s="36">
        <v>0</v>
      </c>
      <c r="BU41" s="36">
        <v>0</v>
      </c>
      <c r="BV41" s="36">
        <v>0</v>
      </c>
      <c r="BW41" s="36">
        <v>0</v>
      </c>
      <c r="BX41" s="36">
        <v>212.21143959983408</v>
      </c>
      <c r="BY41" s="36"/>
      <c r="BZ41" s="36">
        <v>0</v>
      </c>
      <c r="CA41" s="36">
        <v>0</v>
      </c>
      <c r="CB41" s="36">
        <v>12.161972728420093</v>
      </c>
      <c r="CC41" s="36">
        <v>212.21143959983408</v>
      </c>
      <c r="CD41" s="387">
        <v>5.7310636746792994E-2</v>
      </c>
      <c r="CE41" s="36">
        <v>783.6001590244955</v>
      </c>
      <c r="CF41" s="36">
        <v>0.187335832560661</v>
      </c>
      <c r="CG41" s="36">
        <v>0</v>
      </c>
      <c r="CH41" s="36">
        <v>0.187335832560661</v>
      </c>
      <c r="CI41" s="36">
        <v>9.3666613002096194E-3</v>
      </c>
      <c r="CJ41" s="36">
        <v>0</v>
      </c>
      <c r="CK41" s="36">
        <v>9.3666613002096194E-3</v>
      </c>
      <c r="CL41" s="36"/>
      <c r="CM41" s="36">
        <v>0</v>
      </c>
      <c r="CN41" s="36"/>
      <c r="CO41" s="36">
        <v>0</v>
      </c>
      <c r="CP41" s="36">
        <v>0</v>
      </c>
      <c r="CQ41" s="36">
        <v>0</v>
      </c>
      <c r="CR41" s="36">
        <v>0</v>
      </c>
      <c r="CS41" s="36">
        <v>0</v>
      </c>
      <c r="CT41" s="36">
        <v>0</v>
      </c>
      <c r="CU41" s="36">
        <v>0</v>
      </c>
      <c r="CV41" s="36">
        <v>9999</v>
      </c>
      <c r="CW41" s="40">
        <v>9999</v>
      </c>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c r="B42" s="9"/>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c r="B43" s="9"/>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ht="13.5" thickBot="1">
      <c r="A44" s="34" t="s">
        <v>516</v>
      </c>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ht="26.25" thickBot="1">
      <c r="A45" s="380" t="s">
        <v>419</v>
      </c>
      <c r="B45" s="381"/>
      <c r="C45" s="382" t="s">
        <v>420</v>
      </c>
      <c r="D45" s="383"/>
      <c r="E45" s="383"/>
      <c r="F45" s="383"/>
      <c r="G45" s="383"/>
      <c r="H45" s="383"/>
      <c r="I45" s="383"/>
      <c r="J45" s="383"/>
      <c r="K45" s="384"/>
      <c r="L45" s="382" t="s">
        <v>421</v>
      </c>
      <c r="M45" s="383"/>
      <c r="N45" s="383"/>
      <c r="O45" s="383"/>
      <c r="P45" s="383"/>
      <c r="Q45" s="384"/>
      <c r="R45" s="382" t="s">
        <v>422</v>
      </c>
      <c r="S45" s="383"/>
      <c r="T45" s="383"/>
      <c r="U45" s="384"/>
      <c r="V45" s="382" t="s">
        <v>423</v>
      </c>
      <c r="W45" s="383"/>
      <c r="X45" s="383"/>
      <c r="Y45" s="384"/>
      <c r="Z45" s="382" t="s">
        <v>424</v>
      </c>
      <c r="AA45" s="383"/>
      <c r="AB45" s="383"/>
      <c r="AC45" s="384"/>
      <c r="AD45" s="382" t="s">
        <v>425</v>
      </c>
      <c r="AE45" s="383"/>
      <c r="AF45" s="383"/>
      <c r="AG45" s="384"/>
      <c r="AH45" s="382" t="s">
        <v>426</v>
      </c>
      <c r="AI45" s="383"/>
      <c r="AJ45" s="383"/>
      <c r="AK45" s="383"/>
      <c r="AL45" s="384"/>
      <c r="AM45" s="382" t="s">
        <v>427</v>
      </c>
      <c r="AN45" s="383"/>
      <c r="AO45" s="383"/>
      <c r="AP45" s="383"/>
      <c r="AQ45" s="383"/>
      <c r="AR45" s="383"/>
      <c r="AS45" s="384"/>
      <c r="AT45" s="382" t="s">
        <v>428</v>
      </c>
      <c r="AU45" s="383"/>
      <c r="AV45" s="383"/>
      <c r="AW45" s="383"/>
      <c r="AX45" s="383"/>
      <c r="AY45" s="383"/>
      <c r="AZ45" s="384"/>
      <c r="BA45" s="382" t="s">
        <v>429</v>
      </c>
      <c r="BB45" s="383"/>
      <c r="BC45" s="383"/>
      <c r="BD45" s="383"/>
      <c r="BE45" s="383"/>
      <c r="BF45" s="384"/>
      <c r="BG45" s="382" t="s">
        <v>430</v>
      </c>
      <c r="BH45" s="384"/>
      <c r="BI45" s="382" t="s">
        <v>431</v>
      </c>
      <c r="BJ45" s="383"/>
      <c r="BK45" s="383"/>
      <c r="BL45" s="383"/>
      <c r="BM45" s="384"/>
      <c r="BN45" s="382" t="s">
        <v>432</v>
      </c>
      <c r="BO45" s="383"/>
      <c r="BP45" s="383"/>
      <c r="BQ45" s="383"/>
      <c r="BR45" s="383"/>
      <c r="BS45" s="383"/>
      <c r="BT45" s="383"/>
      <c r="BU45" s="383"/>
      <c r="BV45" s="383"/>
      <c r="BW45" s="383"/>
      <c r="BX45" s="383"/>
      <c r="BY45" s="383"/>
      <c r="BZ45" s="383"/>
      <c r="CA45" s="383"/>
      <c r="CB45" s="383"/>
      <c r="CC45" s="384"/>
      <c r="CD45" s="382" t="s">
        <v>433</v>
      </c>
      <c r="CE45" s="384"/>
      <c r="CF45" s="382" t="s">
        <v>434</v>
      </c>
      <c r="CG45" s="383"/>
      <c r="CH45" s="383"/>
      <c r="CI45" s="383"/>
      <c r="CJ45" s="383"/>
      <c r="CK45" s="384"/>
      <c r="CL45" s="385"/>
      <c r="CM45" s="382" t="s">
        <v>5</v>
      </c>
      <c r="CN45" s="383"/>
      <c r="CO45" s="383"/>
      <c r="CP45" s="384"/>
      <c r="CQ45" s="382" t="s">
        <v>435</v>
      </c>
      <c r="CR45" s="383"/>
      <c r="CS45" s="383"/>
      <c r="CT45" s="383"/>
      <c r="CU45" s="384"/>
      <c r="CV45" s="382" t="s">
        <v>436</v>
      </c>
      <c r="CW45" s="384"/>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ht="204">
      <c r="A46" s="37" t="s">
        <v>21</v>
      </c>
      <c r="B46" s="38" t="s">
        <v>22</v>
      </c>
      <c r="C46" s="39" t="s">
        <v>322</v>
      </c>
      <c r="D46" s="39" t="s">
        <v>437</v>
      </c>
      <c r="E46" s="39" t="s">
        <v>438</v>
      </c>
      <c r="F46" s="39" t="s">
        <v>439</v>
      </c>
      <c r="G46" s="39" t="s">
        <v>440</v>
      </c>
      <c r="H46" s="39" t="s">
        <v>441</v>
      </c>
      <c r="I46" s="39" t="s">
        <v>442</v>
      </c>
      <c r="J46" s="39" t="s">
        <v>443</v>
      </c>
      <c r="K46" s="39" t="s">
        <v>444</v>
      </c>
      <c r="L46" s="39" t="s">
        <v>445</v>
      </c>
      <c r="M46" s="39" t="s">
        <v>446</v>
      </c>
      <c r="N46" s="39" t="s">
        <v>447</v>
      </c>
      <c r="O46" s="39" t="s">
        <v>448</v>
      </c>
      <c r="P46" s="39" t="s">
        <v>449</v>
      </c>
      <c r="Q46" s="39" t="s">
        <v>450</v>
      </c>
      <c r="R46" s="39" t="s">
        <v>451</v>
      </c>
      <c r="S46" s="39" t="s">
        <v>452</v>
      </c>
      <c r="T46" s="39" t="s">
        <v>453</v>
      </c>
      <c r="U46" s="39" t="s">
        <v>359</v>
      </c>
      <c r="V46" s="39" t="s">
        <v>451</v>
      </c>
      <c r="W46" s="39" t="s">
        <v>452</v>
      </c>
      <c r="X46" s="39" t="s">
        <v>453</v>
      </c>
      <c r="Y46" s="39" t="s">
        <v>359</v>
      </c>
      <c r="Z46" s="39" t="s">
        <v>451</v>
      </c>
      <c r="AA46" s="39" t="s">
        <v>452</v>
      </c>
      <c r="AB46" s="39" t="s">
        <v>453</v>
      </c>
      <c r="AC46" s="39" t="s">
        <v>359</v>
      </c>
      <c r="AD46" s="39" t="s">
        <v>451</v>
      </c>
      <c r="AE46" s="39" t="s">
        <v>452</v>
      </c>
      <c r="AF46" s="39" t="s">
        <v>453</v>
      </c>
      <c r="AG46" s="39" t="s">
        <v>359</v>
      </c>
      <c r="AH46" s="39" t="s">
        <v>451</v>
      </c>
      <c r="AI46" s="39" t="s">
        <v>452</v>
      </c>
      <c r="AJ46" s="39" t="s">
        <v>453</v>
      </c>
      <c r="AK46" s="39" t="s">
        <v>359</v>
      </c>
      <c r="AL46" s="39" t="s">
        <v>454</v>
      </c>
      <c r="AM46" s="39" t="s">
        <v>455</v>
      </c>
      <c r="AN46" s="39" t="s">
        <v>456</v>
      </c>
      <c r="AO46" s="39" t="s">
        <v>457</v>
      </c>
      <c r="AP46" s="39" t="s">
        <v>458</v>
      </c>
      <c r="AQ46" s="39" t="s">
        <v>459</v>
      </c>
      <c r="AR46" s="39" t="s">
        <v>460</v>
      </c>
      <c r="AS46" s="39" t="s">
        <v>461</v>
      </c>
      <c r="AT46" s="39" t="s">
        <v>462</v>
      </c>
      <c r="AU46" s="39" t="s">
        <v>463</v>
      </c>
      <c r="AV46" s="39" t="s">
        <v>464</v>
      </c>
      <c r="AW46" s="39" t="s">
        <v>465</v>
      </c>
      <c r="AX46" s="39" t="s">
        <v>466</v>
      </c>
      <c r="AY46" s="39" t="s">
        <v>467</v>
      </c>
      <c r="AZ46" s="39" t="s">
        <v>468</v>
      </c>
      <c r="BA46" s="39" t="s">
        <v>469</v>
      </c>
      <c r="BB46" s="39" t="s">
        <v>470</v>
      </c>
      <c r="BC46" s="39" t="s">
        <v>471</v>
      </c>
      <c r="BD46" s="39" t="s">
        <v>472</v>
      </c>
      <c r="BE46" s="39" t="s">
        <v>473</v>
      </c>
      <c r="BF46" s="39" t="s">
        <v>474</v>
      </c>
      <c r="BG46" s="39" t="s">
        <v>475</v>
      </c>
      <c r="BH46" s="39" t="s">
        <v>476</v>
      </c>
      <c r="BI46" s="39" t="s">
        <v>477</v>
      </c>
      <c r="BJ46" s="39" t="s">
        <v>478</v>
      </c>
      <c r="BK46" s="39" t="s">
        <v>479</v>
      </c>
      <c r="BL46" s="39" t="s">
        <v>480</v>
      </c>
      <c r="BM46" s="39" t="s">
        <v>481</v>
      </c>
      <c r="BN46" s="39" t="s">
        <v>482</v>
      </c>
      <c r="BO46" s="39" t="s">
        <v>483</v>
      </c>
      <c r="BP46" s="39" t="s">
        <v>484</v>
      </c>
      <c r="BQ46" s="39" t="s">
        <v>485</v>
      </c>
      <c r="BR46" s="39" t="s">
        <v>486</v>
      </c>
      <c r="BS46" s="39" t="s">
        <v>487</v>
      </c>
      <c r="BT46" s="39" t="s">
        <v>488</v>
      </c>
      <c r="BU46" s="39" t="s">
        <v>489</v>
      </c>
      <c r="BV46" s="39" t="s">
        <v>490</v>
      </c>
      <c r="BW46" s="39" t="s">
        <v>491</v>
      </c>
      <c r="BX46" s="39" t="s">
        <v>492</v>
      </c>
      <c r="BY46" s="39" t="s">
        <v>493</v>
      </c>
      <c r="BZ46" s="39" t="s">
        <v>494</v>
      </c>
      <c r="CA46" s="39" t="s">
        <v>495</v>
      </c>
      <c r="CB46" s="39" t="s">
        <v>496</v>
      </c>
      <c r="CC46" s="39" t="s">
        <v>497</v>
      </c>
      <c r="CD46" s="39" t="s">
        <v>23</v>
      </c>
      <c r="CE46" s="39" t="s">
        <v>24</v>
      </c>
      <c r="CF46" s="39" t="s">
        <v>498</v>
      </c>
      <c r="CG46" s="39" t="s">
        <v>499</v>
      </c>
      <c r="CH46" s="39" t="s">
        <v>500</v>
      </c>
      <c r="CI46" s="39" t="s">
        <v>501</v>
      </c>
      <c r="CJ46" s="39" t="s">
        <v>502</v>
      </c>
      <c r="CK46" s="39" t="s">
        <v>503</v>
      </c>
      <c r="CL46" s="39"/>
      <c r="CM46" s="39" t="s">
        <v>504</v>
      </c>
      <c r="CN46" s="39" t="s">
        <v>505</v>
      </c>
      <c r="CO46" s="39" t="s">
        <v>506</v>
      </c>
      <c r="CP46" s="39" t="s">
        <v>507</v>
      </c>
      <c r="CQ46" s="39" t="s">
        <v>508</v>
      </c>
      <c r="CR46" s="39" t="s">
        <v>509</v>
      </c>
      <c r="CS46" s="39" t="s">
        <v>510</v>
      </c>
      <c r="CT46" s="39" t="s">
        <v>511</v>
      </c>
      <c r="CU46" s="39" t="s">
        <v>512</v>
      </c>
      <c r="CV46" s="39" t="s">
        <v>513</v>
      </c>
      <c r="CW46" s="39" t="s">
        <v>514</v>
      </c>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t="s">
        <v>293</v>
      </c>
      <c r="B47" s="9"/>
      <c r="C47" s="36">
        <v>5</v>
      </c>
      <c r="D47" s="36">
        <v>63.574979092327354</v>
      </c>
      <c r="E47" s="36">
        <v>0</v>
      </c>
      <c r="F47" s="36">
        <v>13.80118387577151</v>
      </c>
      <c r="G47" s="36">
        <v>0</v>
      </c>
      <c r="H47" s="36">
        <v>0</v>
      </c>
      <c r="I47" s="36"/>
      <c r="J47" s="36"/>
      <c r="K47" s="36"/>
      <c r="L47" s="36">
        <v>68.243112182874043</v>
      </c>
      <c r="M47" s="36">
        <v>9.9264974994726762E-3</v>
      </c>
      <c r="N47" s="36">
        <v>9.8548524919955405E-3</v>
      </c>
      <c r="O47" s="36">
        <v>0</v>
      </c>
      <c r="P47" s="36">
        <v>0</v>
      </c>
      <c r="Q47" s="36">
        <v>0</v>
      </c>
      <c r="R47" s="36">
        <v>2.752140427973623</v>
      </c>
      <c r="S47" s="36">
        <v>6.3597779308509281</v>
      </c>
      <c r="T47" s="36">
        <v>0</v>
      </c>
      <c r="U47" s="36">
        <v>33.759303086394929</v>
      </c>
      <c r="V47" s="36">
        <v>0.82807103254629066</v>
      </c>
      <c r="W47" s="36">
        <v>1.9321657426080114</v>
      </c>
      <c r="X47" s="36">
        <v>0</v>
      </c>
      <c r="Y47" s="36">
        <v>0</v>
      </c>
      <c r="Z47" s="36">
        <v>0</v>
      </c>
      <c r="AA47" s="36">
        <v>0</v>
      </c>
      <c r="AB47" s="36">
        <v>0</v>
      </c>
      <c r="AC47" s="36">
        <v>0</v>
      </c>
      <c r="AD47" s="36">
        <v>0</v>
      </c>
      <c r="AE47" s="36">
        <v>0</v>
      </c>
      <c r="AF47" s="36">
        <v>0</v>
      </c>
      <c r="AG47" s="36">
        <v>0</v>
      </c>
      <c r="AH47" s="36">
        <v>3.5802114605199136</v>
      </c>
      <c r="AI47" s="36">
        <v>8.29194367345894</v>
      </c>
      <c r="AJ47" s="36">
        <v>0</v>
      </c>
      <c r="AK47" s="36">
        <v>33.759303086394929</v>
      </c>
      <c r="AL47" s="36">
        <v>45.631458220373787</v>
      </c>
      <c r="AM47" s="36">
        <v>34.429930817784786</v>
      </c>
      <c r="AN47" s="36">
        <v>3.5075128524888233</v>
      </c>
      <c r="AO47" s="36">
        <v>0</v>
      </c>
      <c r="AP47" s="36">
        <v>0</v>
      </c>
      <c r="AQ47" s="36">
        <v>37.937443670273609</v>
      </c>
      <c r="AR47" s="36">
        <v>3.5802114605199136</v>
      </c>
      <c r="AS47" s="40">
        <v>10.596425403533114</v>
      </c>
      <c r="AT47" s="36">
        <v>34.429930817784786</v>
      </c>
      <c r="AU47" s="36">
        <v>4.1518505048798611</v>
      </c>
      <c r="AV47" s="36">
        <v>0</v>
      </c>
      <c r="AW47" s="36">
        <v>0</v>
      </c>
      <c r="AX47" s="36">
        <v>38.581781322664646</v>
      </c>
      <c r="AY47" s="36">
        <v>8.29194367345894</v>
      </c>
      <c r="AZ47" s="40">
        <v>4.6529237102946288</v>
      </c>
      <c r="BA47" s="36">
        <v>34.429930817784786</v>
      </c>
      <c r="BB47" s="36">
        <v>7.6593633573686848</v>
      </c>
      <c r="BC47" s="36">
        <v>0</v>
      </c>
      <c r="BD47" s="36">
        <v>0</v>
      </c>
      <c r="BE47" s="36">
        <v>42.089294175153469</v>
      </c>
      <c r="BF47" s="36">
        <v>11.872155133978854</v>
      </c>
      <c r="BG47" s="36">
        <v>4.5423572105321206</v>
      </c>
      <c r="BH47" s="40">
        <v>3.5452109326546166</v>
      </c>
      <c r="BI47" s="36">
        <v>3.860290326527386</v>
      </c>
      <c r="BJ47" s="36">
        <v>8.9406199336938492</v>
      </c>
      <c r="BK47" s="36">
        <v>0</v>
      </c>
      <c r="BL47" s="36">
        <v>36.400283215615282</v>
      </c>
      <c r="BM47" s="36">
        <v>49.201193475836519</v>
      </c>
      <c r="BN47" s="36">
        <v>34.429930817784786</v>
      </c>
      <c r="BO47" s="36">
        <v>0</v>
      </c>
      <c r="BP47" s="36">
        <v>7.6593633573686848</v>
      </c>
      <c r="BQ47" s="36">
        <v>0</v>
      </c>
      <c r="BR47" s="36">
        <v>0</v>
      </c>
      <c r="BS47" s="36">
        <v>0</v>
      </c>
      <c r="BT47" s="36">
        <v>0</v>
      </c>
      <c r="BU47" s="36">
        <v>0</v>
      </c>
      <c r="BV47" s="36">
        <v>0</v>
      </c>
      <c r="BW47" s="36">
        <v>0</v>
      </c>
      <c r="BX47" s="36">
        <v>42.871221445219483</v>
      </c>
      <c r="BY47" s="36">
        <v>2.7602367751543024</v>
      </c>
      <c r="BZ47" s="36">
        <v>0</v>
      </c>
      <c r="CA47" s="36">
        <v>0</v>
      </c>
      <c r="CB47" s="36">
        <v>42.089294175153469</v>
      </c>
      <c r="CC47" s="36">
        <v>45.631458220373787</v>
      </c>
      <c r="CD47" s="387">
        <v>0.92237451566606321</v>
      </c>
      <c r="CE47" s="36">
        <v>40.942640426147406</v>
      </c>
      <c r="CF47" s="36">
        <v>0.64831858632339023</v>
      </c>
      <c r="CG47" s="36">
        <v>0</v>
      </c>
      <c r="CH47" s="36">
        <v>0.64831858632339023</v>
      </c>
      <c r="CI47" s="36">
        <v>3.2415478286865168E-2</v>
      </c>
      <c r="CJ47" s="36">
        <v>0</v>
      </c>
      <c r="CK47" s="36">
        <v>3.2415478286865168E-2</v>
      </c>
      <c r="CL47" s="36"/>
      <c r="CM47" s="36">
        <v>0</v>
      </c>
      <c r="CN47" s="36"/>
      <c r="CO47" s="36">
        <v>0</v>
      </c>
      <c r="CP47" s="36">
        <v>0</v>
      </c>
      <c r="CQ47" s="36">
        <v>0</v>
      </c>
      <c r="CR47" s="36">
        <v>0</v>
      </c>
      <c r="CS47" s="36">
        <v>0</v>
      </c>
      <c r="CT47" s="36">
        <v>0</v>
      </c>
      <c r="CU47" s="36">
        <v>0</v>
      </c>
      <c r="CV47" s="36">
        <v>9999</v>
      </c>
      <c r="CW47" s="40">
        <v>9999</v>
      </c>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c r="A48" s="9" t="s">
        <v>292</v>
      </c>
      <c r="B48" s="9"/>
      <c r="C48" s="36">
        <v>5</v>
      </c>
      <c r="D48" s="36">
        <v>29.693683763540115</v>
      </c>
      <c r="E48" s="36">
        <v>0</v>
      </c>
      <c r="F48" s="36">
        <v>8</v>
      </c>
      <c r="G48" s="36">
        <v>0</v>
      </c>
      <c r="H48" s="36">
        <v>0</v>
      </c>
      <c r="I48" s="36"/>
      <c r="J48" s="36"/>
      <c r="K48" s="36"/>
      <c r="L48" s="36">
        <v>31.923177973133928</v>
      </c>
      <c r="M48" s="36">
        <v>6.5680040394164047E-3</v>
      </c>
      <c r="N48" s="36">
        <v>6.5205991316391295E-3</v>
      </c>
      <c r="O48" s="36">
        <v>0</v>
      </c>
      <c r="P48" s="36">
        <v>0</v>
      </c>
      <c r="Q48" s="36">
        <v>0</v>
      </c>
      <c r="R48" s="36">
        <v>1.5953068680173779</v>
      </c>
      <c r="S48" s="36">
        <v>3.6865115271832609</v>
      </c>
      <c r="T48" s="36">
        <v>0</v>
      </c>
      <c r="U48" s="36">
        <v>19.568931703408801</v>
      </c>
      <c r="V48" s="36">
        <v>0.48</v>
      </c>
      <c r="W48" s="36">
        <v>1.1199999999999999</v>
      </c>
      <c r="X48" s="36">
        <v>0</v>
      </c>
      <c r="Y48" s="36">
        <v>0</v>
      </c>
      <c r="Z48" s="36">
        <v>0</v>
      </c>
      <c r="AA48" s="36">
        <v>0</v>
      </c>
      <c r="AB48" s="36">
        <v>0</v>
      </c>
      <c r="AC48" s="36">
        <v>0</v>
      </c>
      <c r="AD48" s="36">
        <v>0</v>
      </c>
      <c r="AE48" s="36">
        <v>0</v>
      </c>
      <c r="AF48" s="36">
        <v>0</v>
      </c>
      <c r="AG48" s="36">
        <v>0</v>
      </c>
      <c r="AH48" s="36">
        <v>2.0753068680173778</v>
      </c>
      <c r="AI48" s="36">
        <v>4.806511527183261</v>
      </c>
      <c r="AJ48" s="36">
        <v>0</v>
      </c>
      <c r="AK48" s="36">
        <v>19.568931703408801</v>
      </c>
      <c r="AL48" s="36">
        <v>26.45075009860944</v>
      </c>
      <c r="AM48" s="36">
        <v>16.323088906164447</v>
      </c>
      <c r="AN48" s="36">
        <v>2.3207942765991088</v>
      </c>
      <c r="AO48" s="36">
        <v>0</v>
      </c>
      <c r="AP48" s="36">
        <v>0</v>
      </c>
      <c r="AQ48" s="36">
        <v>18.643883182763556</v>
      </c>
      <c r="AR48" s="36">
        <v>2.0753068680173778</v>
      </c>
      <c r="AS48" s="40">
        <v>8.9836753639112601</v>
      </c>
      <c r="AT48" s="36">
        <v>16.323088906164447</v>
      </c>
      <c r="AU48" s="36">
        <v>2.747129175074349</v>
      </c>
      <c r="AV48" s="36">
        <v>0</v>
      </c>
      <c r="AW48" s="36">
        <v>0</v>
      </c>
      <c r="AX48" s="36">
        <v>19.070218081238796</v>
      </c>
      <c r="AY48" s="36">
        <v>4.806511527183261</v>
      </c>
      <c r="AZ48" s="40">
        <v>3.9675798078059397</v>
      </c>
      <c r="BA48" s="36">
        <v>16.323088906164447</v>
      </c>
      <c r="BB48" s="36">
        <v>5.0679234516734581</v>
      </c>
      <c r="BC48" s="36">
        <v>0</v>
      </c>
      <c r="BD48" s="36">
        <v>0</v>
      </c>
      <c r="BE48" s="36">
        <v>21.391012357837905</v>
      </c>
      <c r="BF48" s="36">
        <v>6.8818183952006384</v>
      </c>
      <c r="BG48" s="36">
        <v>4.1809610863086801</v>
      </c>
      <c r="BH48" s="40">
        <v>3.1083372343501448</v>
      </c>
      <c r="BI48" s="36">
        <v>4.7835059512639182</v>
      </c>
      <c r="BJ48" s="36">
        <v>11.078832171487436</v>
      </c>
      <c r="BK48" s="36">
        <v>0</v>
      </c>
      <c r="BL48" s="36">
        <v>45.105667362128798</v>
      </c>
      <c r="BM48" s="36">
        <v>60.968005484880145</v>
      </c>
      <c r="BN48" s="36">
        <v>16.323088906164447</v>
      </c>
      <c r="BO48" s="36">
        <v>0</v>
      </c>
      <c r="BP48" s="36">
        <v>5.0679234516734581</v>
      </c>
      <c r="BQ48" s="36">
        <v>0</v>
      </c>
      <c r="BR48" s="36">
        <v>0</v>
      </c>
      <c r="BS48" s="36">
        <v>0</v>
      </c>
      <c r="BT48" s="36">
        <v>0</v>
      </c>
      <c r="BU48" s="36">
        <v>0</v>
      </c>
      <c r="BV48" s="36">
        <v>0</v>
      </c>
      <c r="BW48" s="36">
        <v>0</v>
      </c>
      <c r="BX48" s="36">
        <v>24.850750098609439</v>
      </c>
      <c r="BY48" s="36">
        <v>1.6</v>
      </c>
      <c r="BZ48" s="36">
        <v>0</v>
      </c>
      <c r="CA48" s="36">
        <v>0</v>
      </c>
      <c r="CB48" s="36">
        <v>21.391012357837905</v>
      </c>
      <c r="CC48" s="36">
        <v>26.45075009860944</v>
      </c>
      <c r="CD48" s="387">
        <v>0.80871099224374987</v>
      </c>
      <c r="CE48" s="36">
        <v>49.286628448437469</v>
      </c>
      <c r="CF48" s="36">
        <v>0.30327022831763456</v>
      </c>
      <c r="CG48" s="36">
        <v>0</v>
      </c>
      <c r="CH48" s="36">
        <v>0.30327022831763456</v>
      </c>
      <c r="CI48" s="36">
        <v>1.5163509537238615E-2</v>
      </c>
      <c r="CJ48" s="36">
        <v>0</v>
      </c>
      <c r="CK48" s="36">
        <v>1.5163509537238615E-2</v>
      </c>
      <c r="CL48" s="36"/>
      <c r="CM48" s="36">
        <v>0</v>
      </c>
      <c r="CN48" s="36"/>
      <c r="CO48" s="36">
        <v>0</v>
      </c>
      <c r="CP48" s="36">
        <v>0</v>
      </c>
      <c r="CQ48" s="36">
        <v>0</v>
      </c>
      <c r="CR48" s="36">
        <v>0</v>
      </c>
      <c r="CS48" s="36">
        <v>0</v>
      </c>
      <c r="CT48" s="36">
        <v>0</v>
      </c>
      <c r="CU48" s="36">
        <v>0</v>
      </c>
      <c r="CV48" s="36">
        <v>9999</v>
      </c>
      <c r="CW48" s="40">
        <v>9999</v>
      </c>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t="s">
        <v>294</v>
      </c>
      <c r="B49" s="9"/>
      <c r="C49" s="36">
        <v>4</v>
      </c>
      <c r="D49" s="36">
        <v>18.370399815048557</v>
      </c>
      <c r="E49" s="36">
        <v>0</v>
      </c>
      <c r="F49" s="36">
        <v>55.697634927220747</v>
      </c>
      <c r="G49" s="36">
        <v>0</v>
      </c>
      <c r="H49" s="36">
        <v>0</v>
      </c>
      <c r="I49" s="36"/>
      <c r="J49" s="36"/>
      <c r="K49" s="36"/>
      <c r="L49" s="36">
        <v>19.719286947809731</v>
      </c>
      <c r="M49" s="36">
        <v>2.8683254077609358E-3</v>
      </c>
      <c r="N49" s="36">
        <v>2.8476231212498267E-3</v>
      </c>
      <c r="O49" s="36">
        <v>0</v>
      </c>
      <c r="P49" s="36">
        <v>0</v>
      </c>
      <c r="Q49" s="36">
        <v>0</v>
      </c>
      <c r="R49" s="36">
        <v>11.10685244146498</v>
      </c>
      <c r="S49" s="36">
        <v>25.666246649505535</v>
      </c>
      <c r="T49" s="36">
        <v>0</v>
      </c>
      <c r="U49" s="36">
        <v>175.43834050886358</v>
      </c>
      <c r="V49" s="36">
        <v>3.3418580956332451</v>
      </c>
      <c r="W49" s="36">
        <v>7.7976688898109048</v>
      </c>
      <c r="X49" s="36">
        <v>0</v>
      </c>
      <c r="Y49" s="36">
        <v>0</v>
      </c>
      <c r="Z49" s="36">
        <v>0</v>
      </c>
      <c r="AA49" s="36">
        <v>0</v>
      </c>
      <c r="AB49" s="36">
        <v>0</v>
      </c>
      <c r="AC49" s="36">
        <v>0</v>
      </c>
      <c r="AD49" s="36">
        <v>0</v>
      </c>
      <c r="AE49" s="36">
        <v>0</v>
      </c>
      <c r="AF49" s="36">
        <v>0</v>
      </c>
      <c r="AG49" s="36">
        <v>0</v>
      </c>
      <c r="AH49" s="36">
        <v>14.448710537098226</v>
      </c>
      <c r="AI49" s="36">
        <v>33.463915539316439</v>
      </c>
      <c r="AJ49" s="36">
        <v>0</v>
      </c>
      <c r="AK49" s="36">
        <v>175.43834050886358</v>
      </c>
      <c r="AL49" s="36">
        <v>223.35096658527823</v>
      </c>
      <c r="AM49" s="36">
        <v>9.9487503379061408</v>
      </c>
      <c r="AN49" s="36">
        <v>1.0135184372308739</v>
      </c>
      <c r="AO49" s="36">
        <v>0</v>
      </c>
      <c r="AP49" s="36">
        <v>0</v>
      </c>
      <c r="AQ49" s="36">
        <v>10.962268775137014</v>
      </c>
      <c r="AR49" s="36">
        <v>14.448710537098226</v>
      </c>
      <c r="AS49" s="387">
        <v>0.75870222100377105</v>
      </c>
      <c r="AT49" s="36">
        <v>9.9487503379061408</v>
      </c>
      <c r="AU49" s="36">
        <v>1.1997039532830793</v>
      </c>
      <c r="AV49" s="36">
        <v>0</v>
      </c>
      <c r="AW49" s="36">
        <v>0</v>
      </c>
      <c r="AX49" s="36">
        <v>11.148454291189219</v>
      </c>
      <c r="AY49" s="36">
        <v>33.463915539316439</v>
      </c>
      <c r="AZ49" s="387">
        <v>0.33314853063416938</v>
      </c>
      <c r="BA49" s="36">
        <v>9.9487503379061408</v>
      </c>
      <c r="BB49" s="36">
        <v>2.2132223905139532</v>
      </c>
      <c r="BC49" s="36">
        <v>0</v>
      </c>
      <c r="BD49" s="36">
        <v>0</v>
      </c>
      <c r="BE49" s="36">
        <v>12.161972728420093</v>
      </c>
      <c r="BF49" s="36">
        <v>47.912626076414668</v>
      </c>
      <c r="BG49" s="36">
        <v>170.52554289021407</v>
      </c>
      <c r="BH49" s="387">
        <v>0.25383648788157137</v>
      </c>
      <c r="BI49" s="36">
        <v>53.914799968437926</v>
      </c>
      <c r="BJ49" s="36">
        <v>124.86929597146526</v>
      </c>
      <c r="BK49" s="36">
        <v>0</v>
      </c>
      <c r="BL49" s="36">
        <v>654.64132671521429</v>
      </c>
      <c r="BM49" s="36">
        <v>833.42542265511736</v>
      </c>
      <c r="BN49" s="36">
        <v>9.9487503379061408</v>
      </c>
      <c r="BO49" s="36">
        <v>0</v>
      </c>
      <c r="BP49" s="36">
        <v>2.2132223905139532</v>
      </c>
      <c r="BQ49" s="36">
        <v>0</v>
      </c>
      <c r="BR49" s="36">
        <v>0</v>
      </c>
      <c r="BS49" s="36">
        <v>0</v>
      </c>
      <c r="BT49" s="36">
        <v>0</v>
      </c>
      <c r="BU49" s="36">
        <v>0</v>
      </c>
      <c r="BV49" s="36">
        <v>0</v>
      </c>
      <c r="BW49" s="36">
        <v>0</v>
      </c>
      <c r="BX49" s="36">
        <v>212.21143959983408</v>
      </c>
      <c r="BY49" s="36">
        <v>11.139526985444149</v>
      </c>
      <c r="BZ49" s="36">
        <v>0</v>
      </c>
      <c r="CA49" s="36">
        <v>0</v>
      </c>
      <c r="CB49" s="36">
        <v>12.161972728420093</v>
      </c>
      <c r="CC49" s="36">
        <v>223.35096658527823</v>
      </c>
      <c r="CD49" s="387">
        <v>5.4452295033057298E-2</v>
      </c>
      <c r="CE49" s="36">
        <v>825.16686960542836</v>
      </c>
      <c r="CF49" s="36">
        <v>0.187335832560661</v>
      </c>
      <c r="CG49" s="36">
        <v>0</v>
      </c>
      <c r="CH49" s="36">
        <v>0.187335832560661</v>
      </c>
      <c r="CI49" s="36">
        <v>9.3666613002096194E-3</v>
      </c>
      <c r="CJ49" s="36">
        <v>0</v>
      </c>
      <c r="CK49" s="36">
        <v>9.3666613002096194E-3</v>
      </c>
      <c r="CL49" s="36"/>
      <c r="CM49" s="36">
        <v>0</v>
      </c>
      <c r="CN49" s="36"/>
      <c r="CO49" s="36">
        <v>0</v>
      </c>
      <c r="CP49" s="36">
        <v>0</v>
      </c>
      <c r="CQ49" s="36">
        <v>0</v>
      </c>
      <c r="CR49" s="36">
        <v>0</v>
      </c>
      <c r="CS49" s="36">
        <v>0</v>
      </c>
      <c r="CT49" s="36">
        <v>0</v>
      </c>
      <c r="CU49" s="36">
        <v>0</v>
      </c>
      <c r="CV49" s="36">
        <v>9999</v>
      </c>
      <c r="CW49" s="40">
        <v>9999</v>
      </c>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c r="B50" s="9"/>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c r="B51" s="9"/>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ht="13.5" thickBot="1">
      <c r="A52" s="34" t="s">
        <v>517</v>
      </c>
      <c r="B52" s="35"/>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ht="13.5" thickBot="1">
      <c r="A53" s="388" t="s">
        <v>518</v>
      </c>
      <c r="B53" s="389"/>
      <c r="C53" s="390"/>
      <c r="D53" s="390"/>
      <c r="E53" s="390"/>
      <c r="F53" s="390"/>
      <c r="G53" s="390"/>
      <c r="H53" s="390"/>
      <c r="I53" s="390"/>
      <c r="J53" s="390"/>
      <c r="K53" s="390"/>
      <c r="L53" s="41"/>
      <c r="M53" s="391"/>
      <c r="N53" s="392" t="s">
        <v>566</v>
      </c>
      <c r="O53" s="390"/>
      <c r="P53" s="390"/>
      <c r="Q53" s="390"/>
      <c r="R53" s="390"/>
      <c r="S53" s="390"/>
      <c r="T53" s="390"/>
      <c r="U53" s="390"/>
      <c r="V53" s="390"/>
      <c r="W53" s="390"/>
      <c r="X53" s="390"/>
      <c r="Y53" s="41"/>
      <c r="Z53" s="391"/>
      <c r="AA53" s="392" t="s">
        <v>567</v>
      </c>
      <c r="AB53" s="390"/>
      <c r="AC53" s="390"/>
      <c r="AD53" s="390"/>
      <c r="AE53" s="390"/>
      <c r="AF53" s="390"/>
      <c r="AG53" s="390"/>
      <c r="AH53" s="390"/>
      <c r="AI53" s="390"/>
      <c r="AJ53" s="390"/>
      <c r="AK53" s="390"/>
      <c r="AL53" s="41"/>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ht="191.25">
      <c r="A54" s="37"/>
      <c r="B54" s="38" t="s">
        <v>519</v>
      </c>
      <c r="C54" s="39" t="s">
        <v>520</v>
      </c>
      <c r="D54" s="39" t="s">
        <v>25</v>
      </c>
      <c r="E54" s="39" t="s">
        <v>26</v>
      </c>
      <c r="F54" s="39" t="s">
        <v>27</v>
      </c>
      <c r="G54" s="39" t="s">
        <v>28</v>
      </c>
      <c r="H54" s="39" t="s">
        <v>29</v>
      </c>
      <c r="I54" s="39" t="s">
        <v>30</v>
      </c>
      <c r="J54" s="39" t="s">
        <v>31</v>
      </c>
      <c r="K54" s="39" t="s">
        <v>24</v>
      </c>
      <c r="L54" s="39" t="s">
        <v>23</v>
      </c>
      <c r="M54" s="39" t="s">
        <v>32</v>
      </c>
      <c r="N54" s="39" t="s">
        <v>33</v>
      </c>
      <c r="O54" s="39" t="s">
        <v>34</v>
      </c>
      <c r="P54" s="39" t="s">
        <v>35</v>
      </c>
      <c r="Q54" s="39" t="s">
        <v>36</v>
      </c>
      <c r="R54" s="39" t="s">
        <v>37</v>
      </c>
      <c r="S54" s="39" t="s">
        <v>38</v>
      </c>
      <c r="T54" s="39" t="s">
        <v>39</v>
      </c>
      <c r="U54" s="39" t="s">
        <v>40</v>
      </c>
      <c r="V54" s="39" t="s">
        <v>41</v>
      </c>
      <c r="W54" s="39" t="s">
        <v>42</v>
      </c>
      <c r="X54" s="39" t="s">
        <v>43</v>
      </c>
      <c r="Y54" s="39" t="s">
        <v>44</v>
      </c>
      <c r="Z54" s="39"/>
      <c r="AA54" s="39" t="s">
        <v>33</v>
      </c>
      <c r="AB54" s="39" t="s">
        <v>34</v>
      </c>
      <c r="AC54" s="39" t="s">
        <v>35</v>
      </c>
      <c r="AD54" s="39" t="s">
        <v>36</v>
      </c>
      <c r="AE54" s="39" t="s">
        <v>37</v>
      </c>
      <c r="AF54" s="39" t="s">
        <v>38</v>
      </c>
      <c r="AG54" s="39" t="s">
        <v>39</v>
      </c>
      <c r="AH54" s="39" t="s">
        <v>40</v>
      </c>
      <c r="AI54" s="39" t="s">
        <v>41</v>
      </c>
      <c r="AJ54" s="39" t="s">
        <v>42</v>
      </c>
      <c r="AK54" s="39" t="s">
        <v>43</v>
      </c>
      <c r="AL54" s="39" t="s">
        <v>44</v>
      </c>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c r="B55" s="50" t="s">
        <v>521</v>
      </c>
      <c r="C55" s="393">
        <v>0</v>
      </c>
      <c r="D55" s="393">
        <v>0</v>
      </c>
      <c r="E55" s="393">
        <v>0</v>
      </c>
      <c r="F55" s="393">
        <v>0</v>
      </c>
      <c r="G55" s="393">
        <v>0</v>
      </c>
      <c r="H55" s="393">
        <v>0</v>
      </c>
      <c r="I55" s="393">
        <v>0</v>
      </c>
      <c r="J55" s="393">
        <v>0</v>
      </c>
      <c r="K55" s="393">
        <v>0</v>
      </c>
      <c r="L55" s="387">
        <v>0</v>
      </c>
      <c r="M55" s="394">
        <v>0</v>
      </c>
      <c r="N55" s="394">
        <v>0</v>
      </c>
      <c r="O55" s="394">
        <v>0</v>
      </c>
      <c r="P55" s="394">
        <v>0</v>
      </c>
      <c r="Q55" s="394">
        <v>0</v>
      </c>
      <c r="R55" s="394">
        <v>0</v>
      </c>
      <c r="S55" s="394">
        <v>0</v>
      </c>
      <c r="T55" s="394">
        <v>0</v>
      </c>
      <c r="U55" s="394">
        <v>0</v>
      </c>
      <c r="V55" s="394">
        <v>0</v>
      </c>
      <c r="W55" s="394">
        <v>0</v>
      </c>
      <c r="X55" s="394">
        <v>0</v>
      </c>
      <c r="Y55" s="394">
        <v>0</v>
      </c>
      <c r="Z55" s="394"/>
      <c r="AA55" s="394">
        <v>0</v>
      </c>
      <c r="AB55" s="394">
        <v>0</v>
      </c>
      <c r="AC55" s="394">
        <v>0</v>
      </c>
      <c r="AD55" s="394">
        <v>0</v>
      </c>
      <c r="AE55" s="394">
        <v>0</v>
      </c>
      <c r="AF55" s="394">
        <v>0</v>
      </c>
      <c r="AG55" s="394">
        <v>0</v>
      </c>
      <c r="AH55" s="394">
        <v>0</v>
      </c>
      <c r="AI55" s="394">
        <v>0</v>
      </c>
      <c r="AJ55" s="394">
        <v>0</v>
      </c>
      <c r="AK55" s="394">
        <v>0</v>
      </c>
      <c r="AL55" s="394">
        <v>0</v>
      </c>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50" t="s">
        <v>522</v>
      </c>
      <c r="C56" s="393">
        <v>0</v>
      </c>
      <c r="D56" s="393">
        <v>0</v>
      </c>
      <c r="E56" s="393">
        <v>0</v>
      </c>
      <c r="F56" s="393">
        <v>0</v>
      </c>
      <c r="G56" s="393">
        <v>0</v>
      </c>
      <c r="H56" s="393">
        <v>0</v>
      </c>
      <c r="I56" s="393">
        <v>0</v>
      </c>
      <c r="J56" s="393">
        <v>0</v>
      </c>
      <c r="K56" s="393">
        <v>0</v>
      </c>
      <c r="L56" s="387">
        <v>0</v>
      </c>
      <c r="M56" s="394">
        <v>0</v>
      </c>
      <c r="N56" s="394">
        <v>0</v>
      </c>
      <c r="O56" s="394">
        <v>0</v>
      </c>
      <c r="P56" s="394">
        <v>0</v>
      </c>
      <c r="Q56" s="394">
        <v>0</v>
      </c>
      <c r="R56" s="394">
        <v>0</v>
      </c>
      <c r="S56" s="394">
        <v>0</v>
      </c>
      <c r="T56" s="394">
        <v>0</v>
      </c>
      <c r="U56" s="394">
        <v>0</v>
      </c>
      <c r="V56" s="394">
        <v>0</v>
      </c>
      <c r="W56" s="394">
        <v>0</v>
      </c>
      <c r="X56" s="394">
        <v>0</v>
      </c>
      <c r="Y56" s="394">
        <v>0</v>
      </c>
      <c r="Z56" s="394"/>
      <c r="AA56" s="394">
        <v>0</v>
      </c>
      <c r="AB56" s="394">
        <v>0</v>
      </c>
      <c r="AC56" s="394">
        <v>0</v>
      </c>
      <c r="AD56" s="394">
        <v>0</v>
      </c>
      <c r="AE56" s="394">
        <v>0</v>
      </c>
      <c r="AF56" s="394">
        <v>0</v>
      </c>
      <c r="AG56" s="394">
        <v>0</v>
      </c>
      <c r="AH56" s="394">
        <v>0</v>
      </c>
      <c r="AI56" s="394">
        <v>0</v>
      </c>
      <c r="AJ56" s="394">
        <v>0</v>
      </c>
      <c r="AK56" s="394">
        <v>0</v>
      </c>
      <c r="AL56" s="394">
        <v>0</v>
      </c>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50" t="s">
        <v>523</v>
      </c>
      <c r="C57" s="393"/>
      <c r="D57" s="393"/>
      <c r="E57" s="393"/>
      <c r="F57" s="393"/>
      <c r="G57" s="393"/>
      <c r="H57" s="393"/>
      <c r="I57" s="393"/>
      <c r="J57" s="393"/>
      <c r="K57" s="393"/>
      <c r="L57" s="387"/>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c r="B58" s="9" t="s">
        <v>68</v>
      </c>
      <c r="C58" s="394">
        <v>0</v>
      </c>
      <c r="D58" s="394">
        <v>0</v>
      </c>
      <c r="E58" s="394">
        <v>0</v>
      </c>
      <c r="F58" s="394">
        <v>0</v>
      </c>
      <c r="G58" s="394">
        <v>0</v>
      </c>
      <c r="H58" s="394">
        <v>0</v>
      </c>
      <c r="I58" s="394">
        <v>0</v>
      </c>
      <c r="J58" s="394">
        <v>0</v>
      </c>
      <c r="K58" s="394">
        <v>0</v>
      </c>
      <c r="L58" s="387">
        <v>0</v>
      </c>
      <c r="M58" s="394">
        <v>0</v>
      </c>
      <c r="N58" s="394">
        <v>0</v>
      </c>
      <c r="O58" s="394">
        <v>0</v>
      </c>
      <c r="P58" s="394">
        <v>0</v>
      </c>
      <c r="Q58" s="394">
        <v>0</v>
      </c>
      <c r="R58" s="394">
        <v>0</v>
      </c>
      <c r="S58" s="394">
        <v>0</v>
      </c>
      <c r="T58" s="394">
        <v>0</v>
      </c>
      <c r="U58" s="394">
        <v>0</v>
      </c>
      <c r="V58" s="394">
        <v>0</v>
      </c>
      <c r="W58" s="394">
        <v>0</v>
      </c>
      <c r="X58" s="394">
        <v>0</v>
      </c>
      <c r="Y58" s="394">
        <v>0</v>
      </c>
      <c r="Z58" s="394"/>
      <c r="AA58" s="394">
        <v>0</v>
      </c>
      <c r="AB58" s="394">
        <v>0</v>
      </c>
      <c r="AC58" s="394">
        <v>0</v>
      </c>
      <c r="AD58" s="394">
        <v>0</v>
      </c>
      <c r="AE58" s="394">
        <v>0</v>
      </c>
      <c r="AF58" s="394">
        <v>0</v>
      </c>
      <c r="AG58" s="394">
        <v>0</v>
      </c>
      <c r="AH58" s="394">
        <v>0</v>
      </c>
      <c r="AI58" s="394">
        <v>0</v>
      </c>
      <c r="AJ58" s="394">
        <v>0</v>
      </c>
      <c r="AK58" s="394">
        <v>0</v>
      </c>
      <c r="AL58" s="394">
        <v>0</v>
      </c>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c r="B59" s="9" t="s">
        <v>71</v>
      </c>
      <c r="C59" s="394">
        <v>0</v>
      </c>
      <c r="D59" s="394">
        <v>0</v>
      </c>
      <c r="E59" s="394">
        <v>0</v>
      </c>
      <c r="F59" s="394">
        <v>0</v>
      </c>
      <c r="G59" s="394">
        <v>0</v>
      </c>
      <c r="H59" s="394">
        <v>0</v>
      </c>
      <c r="I59" s="394">
        <v>0</v>
      </c>
      <c r="J59" s="394">
        <v>0</v>
      </c>
      <c r="K59" s="394">
        <v>0</v>
      </c>
      <c r="L59" s="395">
        <v>0</v>
      </c>
      <c r="M59" s="394">
        <v>0</v>
      </c>
      <c r="N59" s="394">
        <v>0</v>
      </c>
      <c r="O59" s="394">
        <v>0</v>
      </c>
      <c r="P59" s="394">
        <v>0</v>
      </c>
      <c r="Q59" s="394">
        <v>0</v>
      </c>
      <c r="R59" s="394">
        <v>0</v>
      </c>
      <c r="S59" s="394">
        <v>0</v>
      </c>
      <c r="T59" s="394">
        <v>0</v>
      </c>
      <c r="U59" s="394">
        <v>0</v>
      </c>
      <c r="V59" s="394">
        <v>0</v>
      </c>
      <c r="W59" s="394">
        <v>0</v>
      </c>
      <c r="X59" s="394">
        <v>0</v>
      </c>
      <c r="Y59" s="394">
        <v>0</v>
      </c>
      <c r="Z59" s="394"/>
      <c r="AA59" s="394">
        <v>0</v>
      </c>
      <c r="AB59" s="394">
        <v>0</v>
      </c>
      <c r="AC59" s="394">
        <v>0</v>
      </c>
      <c r="AD59" s="394">
        <v>0</v>
      </c>
      <c r="AE59" s="394">
        <v>0</v>
      </c>
      <c r="AF59" s="394">
        <v>0</v>
      </c>
      <c r="AG59" s="394">
        <v>0</v>
      </c>
      <c r="AH59" s="394">
        <v>0</v>
      </c>
      <c r="AI59" s="394">
        <v>0</v>
      </c>
      <c r="AJ59" s="394">
        <v>0</v>
      </c>
      <c r="AK59" s="394">
        <v>0</v>
      </c>
      <c r="AL59" s="394">
        <v>0</v>
      </c>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c r="B60" s="9" t="s">
        <v>74</v>
      </c>
      <c r="C60" s="394">
        <v>0</v>
      </c>
      <c r="D60" s="394">
        <v>0</v>
      </c>
      <c r="E60" s="394">
        <v>0</v>
      </c>
      <c r="F60" s="394">
        <v>0</v>
      </c>
      <c r="G60" s="394">
        <v>0</v>
      </c>
      <c r="H60" s="394">
        <v>0</v>
      </c>
      <c r="I60" s="394">
        <v>0</v>
      </c>
      <c r="J60" s="394">
        <v>0</v>
      </c>
      <c r="K60" s="394">
        <v>0</v>
      </c>
      <c r="L60" s="395">
        <v>0</v>
      </c>
      <c r="M60" s="394">
        <v>0</v>
      </c>
      <c r="N60" s="394">
        <v>0</v>
      </c>
      <c r="O60" s="394">
        <v>0</v>
      </c>
      <c r="P60" s="394">
        <v>0</v>
      </c>
      <c r="Q60" s="394">
        <v>0</v>
      </c>
      <c r="R60" s="394">
        <v>0</v>
      </c>
      <c r="S60" s="394">
        <v>0</v>
      </c>
      <c r="T60" s="394">
        <v>0</v>
      </c>
      <c r="U60" s="394">
        <v>0</v>
      </c>
      <c r="V60" s="394">
        <v>0</v>
      </c>
      <c r="W60" s="394">
        <v>0</v>
      </c>
      <c r="X60" s="394">
        <v>0</v>
      </c>
      <c r="Y60" s="394">
        <v>0</v>
      </c>
      <c r="Z60" s="394"/>
      <c r="AA60" s="394">
        <v>0</v>
      </c>
      <c r="AB60" s="394">
        <v>0</v>
      </c>
      <c r="AC60" s="394">
        <v>0</v>
      </c>
      <c r="AD60" s="394">
        <v>0</v>
      </c>
      <c r="AE60" s="394">
        <v>0</v>
      </c>
      <c r="AF60" s="394">
        <v>0</v>
      </c>
      <c r="AG60" s="394">
        <v>0</v>
      </c>
      <c r="AH60" s="394">
        <v>0</v>
      </c>
      <c r="AI60" s="394">
        <v>0</v>
      </c>
      <c r="AJ60" s="394">
        <v>0</v>
      </c>
      <c r="AK60" s="394">
        <v>0</v>
      </c>
      <c r="AL60" s="394">
        <v>0</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9" t="s">
        <v>77</v>
      </c>
      <c r="C61" s="394">
        <v>0</v>
      </c>
      <c r="D61" s="394">
        <v>0</v>
      </c>
      <c r="E61" s="394">
        <v>0</v>
      </c>
      <c r="F61" s="394">
        <v>0</v>
      </c>
      <c r="G61" s="394">
        <v>0</v>
      </c>
      <c r="H61" s="394">
        <v>0</v>
      </c>
      <c r="I61" s="394">
        <v>0</v>
      </c>
      <c r="J61" s="394">
        <v>0</v>
      </c>
      <c r="K61" s="394">
        <v>0</v>
      </c>
      <c r="L61" s="395">
        <v>0</v>
      </c>
      <c r="M61" s="394">
        <v>0</v>
      </c>
      <c r="N61" s="394">
        <v>0</v>
      </c>
      <c r="O61" s="394">
        <v>0</v>
      </c>
      <c r="P61" s="394">
        <v>0</v>
      </c>
      <c r="Q61" s="394">
        <v>0</v>
      </c>
      <c r="R61" s="394">
        <v>0</v>
      </c>
      <c r="S61" s="394">
        <v>0</v>
      </c>
      <c r="T61" s="394">
        <v>0</v>
      </c>
      <c r="U61" s="394">
        <v>0</v>
      </c>
      <c r="V61" s="394">
        <v>0</v>
      </c>
      <c r="W61" s="394">
        <v>0</v>
      </c>
      <c r="X61" s="394">
        <v>0</v>
      </c>
      <c r="Y61" s="394">
        <v>0</v>
      </c>
      <c r="Z61" s="394"/>
      <c r="AA61" s="394">
        <v>0</v>
      </c>
      <c r="AB61" s="394">
        <v>0</v>
      </c>
      <c r="AC61" s="394">
        <v>0</v>
      </c>
      <c r="AD61" s="394">
        <v>0</v>
      </c>
      <c r="AE61" s="394">
        <v>0</v>
      </c>
      <c r="AF61" s="394">
        <v>0</v>
      </c>
      <c r="AG61" s="394">
        <v>0</v>
      </c>
      <c r="AH61" s="394">
        <v>0</v>
      </c>
      <c r="AI61" s="394">
        <v>0</v>
      </c>
      <c r="AJ61" s="394">
        <v>0</v>
      </c>
      <c r="AK61" s="394">
        <v>0</v>
      </c>
      <c r="AL61" s="394">
        <v>0</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9" t="s">
        <v>80</v>
      </c>
      <c r="C62" s="394">
        <v>0</v>
      </c>
      <c r="D62" s="394">
        <v>0</v>
      </c>
      <c r="E62" s="394">
        <v>0</v>
      </c>
      <c r="F62" s="394">
        <v>0</v>
      </c>
      <c r="G62" s="394">
        <v>0</v>
      </c>
      <c r="H62" s="394">
        <v>0</v>
      </c>
      <c r="I62" s="394">
        <v>0</v>
      </c>
      <c r="J62" s="394">
        <v>0</v>
      </c>
      <c r="K62" s="394">
        <v>0</v>
      </c>
      <c r="L62" s="395">
        <v>0</v>
      </c>
      <c r="M62" s="394">
        <v>0</v>
      </c>
      <c r="N62" s="394">
        <v>0</v>
      </c>
      <c r="O62" s="394">
        <v>0</v>
      </c>
      <c r="P62" s="394">
        <v>0</v>
      </c>
      <c r="Q62" s="394">
        <v>0</v>
      </c>
      <c r="R62" s="394">
        <v>0</v>
      </c>
      <c r="S62" s="394">
        <v>0</v>
      </c>
      <c r="T62" s="394">
        <v>0</v>
      </c>
      <c r="U62" s="394">
        <v>0</v>
      </c>
      <c r="V62" s="394">
        <v>0</v>
      </c>
      <c r="W62" s="394">
        <v>0</v>
      </c>
      <c r="X62" s="394">
        <v>0</v>
      </c>
      <c r="Y62" s="394">
        <v>0</v>
      </c>
      <c r="Z62" s="394"/>
      <c r="AA62" s="394">
        <v>0</v>
      </c>
      <c r="AB62" s="394">
        <v>0</v>
      </c>
      <c r="AC62" s="394">
        <v>0</v>
      </c>
      <c r="AD62" s="394">
        <v>0</v>
      </c>
      <c r="AE62" s="394">
        <v>0</v>
      </c>
      <c r="AF62" s="394">
        <v>0</v>
      </c>
      <c r="AG62" s="394">
        <v>0</v>
      </c>
      <c r="AH62" s="394">
        <v>0</v>
      </c>
      <c r="AI62" s="394">
        <v>0</v>
      </c>
      <c r="AJ62" s="394">
        <v>0</v>
      </c>
      <c r="AK62" s="394">
        <v>0</v>
      </c>
      <c r="AL62" s="394">
        <v>0</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9" t="s">
        <v>83</v>
      </c>
      <c r="C63" s="36">
        <v>100.16629015600797</v>
      </c>
      <c r="D63" s="36">
        <v>21.80118387577151</v>
      </c>
      <c r="E63" s="36">
        <v>4.3602367751543021</v>
      </c>
      <c r="F63" s="36">
        <v>26.161420650925812</v>
      </c>
      <c r="G63" s="36">
        <v>72.08220831898322</v>
      </c>
      <c r="H63" s="36">
        <v>63.480306532991378</v>
      </c>
      <c r="I63" s="36">
        <v>2287.9358369484771</v>
      </c>
      <c r="J63" s="36">
        <v>4.4271796116171851</v>
      </c>
      <c r="K63" s="36">
        <v>43.601884511422007</v>
      </c>
      <c r="L63" s="387">
        <v>0.88614974502104249</v>
      </c>
      <c r="M63" s="36">
        <v>0.95158881464102474</v>
      </c>
      <c r="N63" s="42">
        <v>5.5584017028967407</v>
      </c>
      <c r="O63" s="42">
        <v>4.8113765429112938</v>
      </c>
      <c r="P63" s="42">
        <v>5.4022336176564245</v>
      </c>
      <c r="Q63" s="42">
        <v>5.1472916886173188</v>
      </c>
      <c r="R63" s="42">
        <v>5.7516713198222815</v>
      </c>
      <c r="S63" s="42">
        <v>4.8612834650152745</v>
      </c>
      <c r="T63" s="42">
        <v>4.7188136727726118</v>
      </c>
      <c r="U63" s="42">
        <v>4.9732780663096605</v>
      </c>
      <c r="V63" s="42">
        <v>4.3018569442822256</v>
      </c>
      <c r="W63" s="42">
        <v>4.800224999118285</v>
      </c>
      <c r="X63" s="42">
        <v>4.7616119453022074</v>
      </c>
      <c r="Y63" s="42">
        <v>5.6442690681091854</v>
      </c>
      <c r="Z63" s="42"/>
      <c r="AA63" s="42">
        <v>3.7477329954772372</v>
      </c>
      <c r="AB63" s="42">
        <v>3.212700374496972</v>
      </c>
      <c r="AC63" s="42">
        <v>3.0611323890561208</v>
      </c>
      <c r="AD63" s="42">
        <v>3.5441052694588375</v>
      </c>
      <c r="AE63" s="42">
        <v>3.8842332915894171</v>
      </c>
      <c r="AF63" s="42">
        <v>2.9794819353524646</v>
      </c>
      <c r="AG63" s="42">
        <v>3.42786158793868</v>
      </c>
      <c r="AH63" s="42">
        <v>2.6612100779304892</v>
      </c>
      <c r="AI63" s="42">
        <v>2.9457920142821985</v>
      </c>
      <c r="AJ63" s="42">
        <v>2.6804815317668078</v>
      </c>
      <c r="AK63" s="42">
        <v>3.3955152860276594</v>
      </c>
      <c r="AL63" s="42">
        <v>3.8937303698175745</v>
      </c>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86</v>
      </c>
      <c r="C64" s="394">
        <v>0</v>
      </c>
      <c r="D64" s="394">
        <v>0</v>
      </c>
      <c r="E64" s="394">
        <v>0</v>
      </c>
      <c r="F64" s="394">
        <v>0</v>
      </c>
      <c r="G64" s="394">
        <v>0</v>
      </c>
      <c r="H64" s="394">
        <v>0</v>
      </c>
      <c r="I64" s="394">
        <v>0</v>
      </c>
      <c r="J64" s="394">
        <v>0</v>
      </c>
      <c r="K64" s="394">
        <v>0</v>
      </c>
      <c r="L64" s="395">
        <v>0</v>
      </c>
      <c r="M64" s="394">
        <v>0</v>
      </c>
      <c r="N64" s="394">
        <v>0</v>
      </c>
      <c r="O64" s="394">
        <v>0</v>
      </c>
      <c r="P64" s="394">
        <v>0</v>
      </c>
      <c r="Q64" s="394">
        <v>0</v>
      </c>
      <c r="R64" s="394">
        <v>0</v>
      </c>
      <c r="S64" s="394">
        <v>0</v>
      </c>
      <c r="T64" s="394">
        <v>0</v>
      </c>
      <c r="U64" s="394">
        <v>0</v>
      </c>
      <c r="V64" s="394">
        <v>0</v>
      </c>
      <c r="W64" s="394">
        <v>0</v>
      </c>
      <c r="X64" s="394">
        <v>0</v>
      </c>
      <c r="Y64" s="394">
        <v>0</v>
      </c>
      <c r="Z64" s="394"/>
      <c r="AA64" s="394">
        <v>0</v>
      </c>
      <c r="AB64" s="394">
        <v>0</v>
      </c>
      <c r="AC64" s="394">
        <v>0</v>
      </c>
      <c r="AD64" s="394">
        <v>0</v>
      </c>
      <c r="AE64" s="394">
        <v>0</v>
      </c>
      <c r="AF64" s="394">
        <v>0</v>
      </c>
      <c r="AG64" s="394">
        <v>0</v>
      </c>
      <c r="AH64" s="394">
        <v>0</v>
      </c>
      <c r="AI64" s="394">
        <v>0</v>
      </c>
      <c r="AJ64" s="394">
        <v>0</v>
      </c>
      <c r="AK64" s="394">
        <v>0</v>
      </c>
      <c r="AL64" s="394">
        <v>0</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89</v>
      </c>
      <c r="C65" s="394">
        <v>0</v>
      </c>
      <c r="D65" s="394">
        <v>0</v>
      </c>
      <c r="E65" s="394">
        <v>0</v>
      </c>
      <c r="F65" s="394">
        <v>0</v>
      </c>
      <c r="G65" s="394">
        <v>0</v>
      </c>
      <c r="H65" s="394">
        <v>0</v>
      </c>
      <c r="I65" s="394">
        <v>0</v>
      </c>
      <c r="J65" s="394">
        <v>0</v>
      </c>
      <c r="K65" s="394">
        <v>0</v>
      </c>
      <c r="L65" s="395">
        <v>0</v>
      </c>
      <c r="M65" s="394">
        <v>0</v>
      </c>
      <c r="N65" s="394">
        <v>0</v>
      </c>
      <c r="O65" s="394">
        <v>0</v>
      </c>
      <c r="P65" s="394">
        <v>0</v>
      </c>
      <c r="Q65" s="394">
        <v>0</v>
      </c>
      <c r="R65" s="394">
        <v>0</v>
      </c>
      <c r="S65" s="394">
        <v>0</v>
      </c>
      <c r="T65" s="394">
        <v>0</v>
      </c>
      <c r="U65" s="394">
        <v>0</v>
      </c>
      <c r="V65" s="394">
        <v>0</v>
      </c>
      <c r="W65" s="394">
        <v>0</v>
      </c>
      <c r="X65" s="394">
        <v>0</v>
      </c>
      <c r="Y65" s="394">
        <v>0</v>
      </c>
      <c r="Z65" s="394"/>
      <c r="AA65" s="394">
        <v>0</v>
      </c>
      <c r="AB65" s="394">
        <v>0</v>
      </c>
      <c r="AC65" s="394">
        <v>0</v>
      </c>
      <c r="AD65" s="394">
        <v>0</v>
      </c>
      <c r="AE65" s="394">
        <v>0</v>
      </c>
      <c r="AF65" s="394">
        <v>0</v>
      </c>
      <c r="AG65" s="394">
        <v>0</v>
      </c>
      <c r="AH65" s="394">
        <v>0</v>
      </c>
      <c r="AI65" s="394">
        <v>0</v>
      </c>
      <c r="AJ65" s="394">
        <v>0</v>
      </c>
      <c r="AK65" s="394">
        <v>0</v>
      </c>
      <c r="AL65" s="394">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92</v>
      </c>
      <c r="C66" s="394">
        <v>0</v>
      </c>
      <c r="D66" s="394">
        <v>0</v>
      </c>
      <c r="E66" s="394">
        <v>0</v>
      </c>
      <c r="F66" s="394">
        <v>0</v>
      </c>
      <c r="G66" s="394">
        <v>0</v>
      </c>
      <c r="H66" s="394">
        <v>0</v>
      </c>
      <c r="I66" s="394">
        <v>0</v>
      </c>
      <c r="J66" s="394">
        <v>0</v>
      </c>
      <c r="K66" s="394">
        <v>0</v>
      </c>
      <c r="L66" s="395">
        <v>0</v>
      </c>
      <c r="M66" s="394">
        <v>0</v>
      </c>
      <c r="N66" s="394">
        <v>0</v>
      </c>
      <c r="O66" s="394">
        <v>0</v>
      </c>
      <c r="P66" s="394">
        <v>0</v>
      </c>
      <c r="Q66" s="394">
        <v>0</v>
      </c>
      <c r="R66" s="394">
        <v>0</v>
      </c>
      <c r="S66" s="394">
        <v>0</v>
      </c>
      <c r="T66" s="394">
        <v>0</v>
      </c>
      <c r="U66" s="394">
        <v>0</v>
      </c>
      <c r="V66" s="394">
        <v>0</v>
      </c>
      <c r="W66" s="394">
        <v>0</v>
      </c>
      <c r="X66" s="394">
        <v>0</v>
      </c>
      <c r="Y66" s="394">
        <v>0</v>
      </c>
      <c r="Z66" s="394"/>
      <c r="AA66" s="394">
        <v>0</v>
      </c>
      <c r="AB66" s="394">
        <v>0</v>
      </c>
      <c r="AC66" s="394">
        <v>0</v>
      </c>
      <c r="AD66" s="394">
        <v>0</v>
      </c>
      <c r="AE66" s="394">
        <v>0</v>
      </c>
      <c r="AF66" s="394">
        <v>0</v>
      </c>
      <c r="AG66" s="394">
        <v>0</v>
      </c>
      <c r="AH66" s="394">
        <v>0</v>
      </c>
      <c r="AI66" s="394">
        <v>0</v>
      </c>
      <c r="AJ66" s="394">
        <v>0</v>
      </c>
      <c r="AK66" s="394">
        <v>0</v>
      </c>
      <c r="AL66" s="394">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95</v>
      </c>
      <c r="C67" s="394">
        <v>0</v>
      </c>
      <c r="D67" s="394">
        <v>0</v>
      </c>
      <c r="E67" s="394">
        <v>0</v>
      </c>
      <c r="F67" s="394">
        <v>0</v>
      </c>
      <c r="G67" s="394">
        <v>0</v>
      </c>
      <c r="H67" s="394">
        <v>0</v>
      </c>
      <c r="I67" s="394">
        <v>0</v>
      </c>
      <c r="J67" s="394">
        <v>0</v>
      </c>
      <c r="K67" s="394">
        <v>0</v>
      </c>
      <c r="L67" s="395">
        <v>0</v>
      </c>
      <c r="M67" s="394">
        <v>0</v>
      </c>
      <c r="N67" s="394">
        <v>0</v>
      </c>
      <c r="O67" s="394">
        <v>0</v>
      </c>
      <c r="P67" s="394">
        <v>0</v>
      </c>
      <c r="Q67" s="394">
        <v>0</v>
      </c>
      <c r="R67" s="394">
        <v>0</v>
      </c>
      <c r="S67" s="394">
        <v>0</v>
      </c>
      <c r="T67" s="394">
        <v>0</v>
      </c>
      <c r="U67" s="394">
        <v>0</v>
      </c>
      <c r="V67" s="394">
        <v>0</v>
      </c>
      <c r="W67" s="394">
        <v>0</v>
      </c>
      <c r="X67" s="394">
        <v>0</v>
      </c>
      <c r="Y67" s="394">
        <v>0</v>
      </c>
      <c r="Z67" s="394"/>
      <c r="AA67" s="394">
        <v>0</v>
      </c>
      <c r="AB67" s="394">
        <v>0</v>
      </c>
      <c r="AC67" s="394">
        <v>0</v>
      </c>
      <c r="AD67" s="394">
        <v>0</v>
      </c>
      <c r="AE67" s="394">
        <v>0</v>
      </c>
      <c r="AF67" s="394">
        <v>0</v>
      </c>
      <c r="AG67" s="394">
        <v>0</v>
      </c>
      <c r="AH67" s="394">
        <v>0</v>
      </c>
      <c r="AI67" s="394">
        <v>0</v>
      </c>
      <c r="AJ67" s="394">
        <v>0</v>
      </c>
      <c r="AK67" s="394">
        <v>0</v>
      </c>
      <c r="AL67" s="394">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98</v>
      </c>
      <c r="C68" s="394">
        <v>0</v>
      </c>
      <c r="D68" s="394">
        <v>0</v>
      </c>
      <c r="E68" s="394">
        <v>0</v>
      </c>
      <c r="F68" s="394">
        <v>0</v>
      </c>
      <c r="G68" s="394">
        <v>0</v>
      </c>
      <c r="H68" s="394">
        <v>0</v>
      </c>
      <c r="I68" s="394">
        <v>0</v>
      </c>
      <c r="J68" s="394">
        <v>0</v>
      </c>
      <c r="K68" s="394">
        <v>0</v>
      </c>
      <c r="L68" s="395">
        <v>0</v>
      </c>
      <c r="M68" s="394">
        <v>0</v>
      </c>
      <c r="N68" s="394">
        <v>0</v>
      </c>
      <c r="O68" s="394">
        <v>0</v>
      </c>
      <c r="P68" s="394">
        <v>0</v>
      </c>
      <c r="Q68" s="394">
        <v>0</v>
      </c>
      <c r="R68" s="394">
        <v>0</v>
      </c>
      <c r="S68" s="394">
        <v>0</v>
      </c>
      <c r="T68" s="394">
        <v>0</v>
      </c>
      <c r="U68" s="394">
        <v>0</v>
      </c>
      <c r="V68" s="394">
        <v>0</v>
      </c>
      <c r="W68" s="394">
        <v>0</v>
      </c>
      <c r="X68" s="394">
        <v>0</v>
      </c>
      <c r="Y68" s="394">
        <v>0</v>
      </c>
      <c r="Z68" s="394"/>
      <c r="AA68" s="394">
        <v>0</v>
      </c>
      <c r="AB68" s="394">
        <v>0</v>
      </c>
      <c r="AC68" s="394">
        <v>0</v>
      </c>
      <c r="AD68" s="394">
        <v>0</v>
      </c>
      <c r="AE68" s="394">
        <v>0</v>
      </c>
      <c r="AF68" s="394">
        <v>0</v>
      </c>
      <c r="AG68" s="394">
        <v>0</v>
      </c>
      <c r="AH68" s="394">
        <v>0</v>
      </c>
      <c r="AI68" s="394">
        <v>0</v>
      </c>
      <c r="AJ68" s="394">
        <v>0</v>
      </c>
      <c r="AK68" s="394">
        <v>0</v>
      </c>
      <c r="AL68" s="394">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101</v>
      </c>
      <c r="C69" s="394">
        <v>0</v>
      </c>
      <c r="D69" s="394">
        <v>0</v>
      </c>
      <c r="E69" s="394">
        <v>0</v>
      </c>
      <c r="F69" s="394">
        <v>0</v>
      </c>
      <c r="G69" s="394">
        <v>0</v>
      </c>
      <c r="H69" s="394">
        <v>0</v>
      </c>
      <c r="I69" s="394">
        <v>0</v>
      </c>
      <c r="J69" s="394">
        <v>0</v>
      </c>
      <c r="K69" s="394">
        <v>0</v>
      </c>
      <c r="L69" s="395">
        <v>0</v>
      </c>
      <c r="M69" s="394">
        <v>0</v>
      </c>
      <c r="N69" s="394">
        <v>0</v>
      </c>
      <c r="O69" s="394">
        <v>0</v>
      </c>
      <c r="P69" s="394">
        <v>0</v>
      </c>
      <c r="Q69" s="394">
        <v>0</v>
      </c>
      <c r="R69" s="394">
        <v>0</v>
      </c>
      <c r="S69" s="394">
        <v>0</v>
      </c>
      <c r="T69" s="394">
        <v>0</v>
      </c>
      <c r="U69" s="394">
        <v>0</v>
      </c>
      <c r="V69" s="394">
        <v>0</v>
      </c>
      <c r="W69" s="394">
        <v>0</v>
      </c>
      <c r="X69" s="394">
        <v>0</v>
      </c>
      <c r="Y69" s="394">
        <v>0</v>
      </c>
      <c r="Z69" s="394"/>
      <c r="AA69" s="394">
        <v>0</v>
      </c>
      <c r="AB69" s="394">
        <v>0</v>
      </c>
      <c r="AC69" s="394">
        <v>0</v>
      </c>
      <c r="AD69" s="394">
        <v>0</v>
      </c>
      <c r="AE69" s="394">
        <v>0</v>
      </c>
      <c r="AF69" s="394">
        <v>0</v>
      </c>
      <c r="AG69" s="394">
        <v>0</v>
      </c>
      <c r="AH69" s="394">
        <v>0</v>
      </c>
      <c r="AI69" s="394">
        <v>0</v>
      </c>
      <c r="AJ69" s="394">
        <v>0</v>
      </c>
      <c r="AK69" s="394">
        <v>0</v>
      </c>
      <c r="AL69" s="394">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104</v>
      </c>
      <c r="C70" s="394">
        <v>0</v>
      </c>
      <c r="D70" s="394">
        <v>0</v>
      </c>
      <c r="E70" s="394">
        <v>0</v>
      </c>
      <c r="F70" s="394">
        <v>0</v>
      </c>
      <c r="G70" s="394">
        <v>0</v>
      </c>
      <c r="H70" s="394">
        <v>0</v>
      </c>
      <c r="I70" s="394">
        <v>0</v>
      </c>
      <c r="J70" s="394">
        <v>0</v>
      </c>
      <c r="K70" s="394">
        <v>0</v>
      </c>
      <c r="L70" s="395">
        <v>0</v>
      </c>
      <c r="M70" s="394">
        <v>0</v>
      </c>
      <c r="N70" s="394">
        <v>0</v>
      </c>
      <c r="O70" s="394">
        <v>0</v>
      </c>
      <c r="P70" s="394">
        <v>0</v>
      </c>
      <c r="Q70" s="394">
        <v>0</v>
      </c>
      <c r="R70" s="394">
        <v>0</v>
      </c>
      <c r="S70" s="394">
        <v>0</v>
      </c>
      <c r="T70" s="394">
        <v>0</v>
      </c>
      <c r="U70" s="394">
        <v>0</v>
      </c>
      <c r="V70" s="394">
        <v>0</v>
      </c>
      <c r="W70" s="394">
        <v>0</v>
      </c>
      <c r="X70" s="394">
        <v>0</v>
      </c>
      <c r="Y70" s="394">
        <v>0</v>
      </c>
      <c r="Z70" s="394"/>
      <c r="AA70" s="394">
        <v>0</v>
      </c>
      <c r="AB70" s="394">
        <v>0</v>
      </c>
      <c r="AC70" s="394">
        <v>0</v>
      </c>
      <c r="AD70" s="394">
        <v>0</v>
      </c>
      <c r="AE70" s="394">
        <v>0</v>
      </c>
      <c r="AF70" s="394">
        <v>0</v>
      </c>
      <c r="AG70" s="394">
        <v>0</v>
      </c>
      <c r="AH70" s="394">
        <v>0</v>
      </c>
      <c r="AI70" s="394">
        <v>0</v>
      </c>
      <c r="AJ70" s="394">
        <v>0</v>
      </c>
      <c r="AK70" s="394">
        <v>0</v>
      </c>
      <c r="AL70" s="394">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107</v>
      </c>
      <c r="C71" s="394">
        <v>0</v>
      </c>
      <c r="D71" s="394">
        <v>0</v>
      </c>
      <c r="E71" s="394">
        <v>0</v>
      </c>
      <c r="F71" s="394">
        <v>0</v>
      </c>
      <c r="G71" s="394">
        <v>0</v>
      </c>
      <c r="H71" s="394">
        <v>0</v>
      </c>
      <c r="I71" s="394">
        <v>0</v>
      </c>
      <c r="J71" s="394">
        <v>0</v>
      </c>
      <c r="K71" s="394">
        <v>0</v>
      </c>
      <c r="L71" s="395">
        <v>0</v>
      </c>
      <c r="M71" s="394">
        <v>0</v>
      </c>
      <c r="N71" s="394">
        <v>0</v>
      </c>
      <c r="O71" s="394">
        <v>0</v>
      </c>
      <c r="P71" s="394">
        <v>0</v>
      </c>
      <c r="Q71" s="394">
        <v>0</v>
      </c>
      <c r="R71" s="394">
        <v>0</v>
      </c>
      <c r="S71" s="394">
        <v>0</v>
      </c>
      <c r="T71" s="394">
        <v>0</v>
      </c>
      <c r="U71" s="394">
        <v>0</v>
      </c>
      <c r="V71" s="394">
        <v>0</v>
      </c>
      <c r="W71" s="394">
        <v>0</v>
      </c>
      <c r="X71" s="394">
        <v>0</v>
      </c>
      <c r="Y71" s="394">
        <v>0</v>
      </c>
      <c r="Z71" s="394"/>
      <c r="AA71" s="394">
        <v>0</v>
      </c>
      <c r="AB71" s="394">
        <v>0</v>
      </c>
      <c r="AC71" s="394">
        <v>0</v>
      </c>
      <c r="AD71" s="394">
        <v>0</v>
      </c>
      <c r="AE71" s="394">
        <v>0</v>
      </c>
      <c r="AF71" s="394">
        <v>0</v>
      </c>
      <c r="AG71" s="394">
        <v>0</v>
      </c>
      <c r="AH71" s="394">
        <v>0</v>
      </c>
      <c r="AI71" s="394">
        <v>0</v>
      </c>
      <c r="AJ71" s="394">
        <v>0</v>
      </c>
      <c r="AK71" s="394">
        <v>0</v>
      </c>
      <c r="AL71" s="394">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110</v>
      </c>
      <c r="C72" s="394">
        <v>0</v>
      </c>
      <c r="D72" s="394">
        <v>0</v>
      </c>
      <c r="E72" s="394">
        <v>0</v>
      </c>
      <c r="F72" s="394">
        <v>0</v>
      </c>
      <c r="G72" s="394">
        <v>0</v>
      </c>
      <c r="H72" s="394">
        <v>0</v>
      </c>
      <c r="I72" s="394">
        <v>0</v>
      </c>
      <c r="J72" s="394">
        <v>0</v>
      </c>
      <c r="K72" s="394">
        <v>0</v>
      </c>
      <c r="L72" s="395">
        <v>0</v>
      </c>
      <c r="M72" s="394">
        <v>0</v>
      </c>
      <c r="N72" s="394">
        <v>0</v>
      </c>
      <c r="O72" s="394">
        <v>0</v>
      </c>
      <c r="P72" s="394">
        <v>0</v>
      </c>
      <c r="Q72" s="394">
        <v>0</v>
      </c>
      <c r="R72" s="394">
        <v>0</v>
      </c>
      <c r="S72" s="394">
        <v>0</v>
      </c>
      <c r="T72" s="394">
        <v>0</v>
      </c>
      <c r="U72" s="394">
        <v>0</v>
      </c>
      <c r="V72" s="394">
        <v>0</v>
      </c>
      <c r="W72" s="394">
        <v>0</v>
      </c>
      <c r="X72" s="394">
        <v>0</v>
      </c>
      <c r="Y72" s="394">
        <v>0</v>
      </c>
      <c r="Z72" s="394"/>
      <c r="AA72" s="394">
        <v>0</v>
      </c>
      <c r="AB72" s="394">
        <v>0</v>
      </c>
      <c r="AC72" s="394">
        <v>0</v>
      </c>
      <c r="AD72" s="394">
        <v>0</v>
      </c>
      <c r="AE72" s="394">
        <v>0</v>
      </c>
      <c r="AF72" s="394">
        <v>0</v>
      </c>
      <c r="AG72" s="394">
        <v>0</v>
      </c>
      <c r="AH72" s="394">
        <v>0</v>
      </c>
      <c r="AI72" s="394">
        <v>0</v>
      </c>
      <c r="AJ72" s="394">
        <v>0</v>
      </c>
      <c r="AK72" s="394">
        <v>0</v>
      </c>
      <c r="AL72" s="394">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113</v>
      </c>
      <c r="C73" s="394">
        <v>0</v>
      </c>
      <c r="D73" s="394">
        <v>0</v>
      </c>
      <c r="E73" s="394">
        <v>0</v>
      </c>
      <c r="F73" s="394">
        <v>0</v>
      </c>
      <c r="G73" s="394">
        <v>0</v>
      </c>
      <c r="H73" s="394">
        <v>0</v>
      </c>
      <c r="I73" s="394">
        <v>0</v>
      </c>
      <c r="J73" s="394">
        <v>0</v>
      </c>
      <c r="K73" s="394">
        <v>0</v>
      </c>
      <c r="L73" s="395">
        <v>0</v>
      </c>
      <c r="M73" s="394">
        <v>0</v>
      </c>
      <c r="N73" s="394">
        <v>0</v>
      </c>
      <c r="O73" s="394">
        <v>0</v>
      </c>
      <c r="P73" s="394">
        <v>0</v>
      </c>
      <c r="Q73" s="394">
        <v>0</v>
      </c>
      <c r="R73" s="394">
        <v>0</v>
      </c>
      <c r="S73" s="394">
        <v>0</v>
      </c>
      <c r="T73" s="394">
        <v>0</v>
      </c>
      <c r="U73" s="394">
        <v>0</v>
      </c>
      <c r="V73" s="394">
        <v>0</v>
      </c>
      <c r="W73" s="394">
        <v>0</v>
      </c>
      <c r="X73" s="394">
        <v>0</v>
      </c>
      <c r="Y73" s="394">
        <v>0</v>
      </c>
      <c r="Z73" s="394"/>
      <c r="AA73" s="394">
        <v>0</v>
      </c>
      <c r="AB73" s="394">
        <v>0</v>
      </c>
      <c r="AC73" s="394">
        <v>0</v>
      </c>
      <c r="AD73" s="394">
        <v>0</v>
      </c>
      <c r="AE73" s="394">
        <v>0</v>
      </c>
      <c r="AF73" s="394">
        <v>0</v>
      </c>
      <c r="AG73" s="394">
        <v>0</v>
      </c>
      <c r="AH73" s="394">
        <v>0</v>
      </c>
      <c r="AI73" s="394">
        <v>0</v>
      </c>
      <c r="AJ73" s="394">
        <v>0</v>
      </c>
      <c r="AK73" s="394">
        <v>0</v>
      </c>
      <c r="AL73" s="394">
        <v>0</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t="s">
        <v>116</v>
      </c>
      <c r="C74" s="394">
        <v>0</v>
      </c>
      <c r="D74" s="394">
        <v>0</v>
      </c>
      <c r="E74" s="394">
        <v>0</v>
      </c>
      <c r="F74" s="394">
        <v>0</v>
      </c>
      <c r="G74" s="394">
        <v>0</v>
      </c>
      <c r="H74" s="394">
        <v>0</v>
      </c>
      <c r="I74" s="394">
        <v>0</v>
      </c>
      <c r="J74" s="394">
        <v>0</v>
      </c>
      <c r="K74" s="394">
        <v>0</v>
      </c>
      <c r="L74" s="395">
        <v>0</v>
      </c>
      <c r="M74" s="394">
        <v>0</v>
      </c>
      <c r="N74" s="394">
        <v>0</v>
      </c>
      <c r="O74" s="394">
        <v>0</v>
      </c>
      <c r="P74" s="394">
        <v>0</v>
      </c>
      <c r="Q74" s="394">
        <v>0</v>
      </c>
      <c r="R74" s="394">
        <v>0</v>
      </c>
      <c r="S74" s="394">
        <v>0</v>
      </c>
      <c r="T74" s="394">
        <v>0</v>
      </c>
      <c r="U74" s="394">
        <v>0</v>
      </c>
      <c r="V74" s="394">
        <v>0</v>
      </c>
      <c r="W74" s="394">
        <v>0</v>
      </c>
      <c r="X74" s="394">
        <v>0</v>
      </c>
      <c r="Y74" s="394">
        <v>0</v>
      </c>
      <c r="Z74" s="394"/>
      <c r="AA74" s="394">
        <v>0</v>
      </c>
      <c r="AB74" s="394">
        <v>0</v>
      </c>
      <c r="AC74" s="394">
        <v>0</v>
      </c>
      <c r="AD74" s="394">
        <v>0</v>
      </c>
      <c r="AE74" s="394">
        <v>0</v>
      </c>
      <c r="AF74" s="394">
        <v>0</v>
      </c>
      <c r="AG74" s="394">
        <v>0</v>
      </c>
      <c r="AH74" s="394">
        <v>0</v>
      </c>
      <c r="AI74" s="394">
        <v>0</v>
      </c>
      <c r="AJ74" s="394">
        <v>0</v>
      </c>
      <c r="AK74" s="394">
        <v>0</v>
      </c>
      <c r="AL74" s="394">
        <v>0</v>
      </c>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t="s">
        <v>119</v>
      </c>
      <c r="C75" s="394">
        <v>0</v>
      </c>
      <c r="D75" s="394">
        <v>0</v>
      </c>
      <c r="E75" s="394">
        <v>0</v>
      </c>
      <c r="F75" s="394">
        <v>0</v>
      </c>
      <c r="G75" s="394">
        <v>0</v>
      </c>
      <c r="H75" s="394">
        <v>0</v>
      </c>
      <c r="I75" s="394">
        <v>0</v>
      </c>
      <c r="J75" s="394">
        <v>0</v>
      </c>
      <c r="K75" s="394">
        <v>0</v>
      </c>
      <c r="L75" s="395">
        <v>0</v>
      </c>
      <c r="M75" s="394">
        <v>0</v>
      </c>
      <c r="N75" s="394">
        <v>0</v>
      </c>
      <c r="O75" s="394">
        <v>0</v>
      </c>
      <c r="P75" s="394">
        <v>0</v>
      </c>
      <c r="Q75" s="394">
        <v>0</v>
      </c>
      <c r="R75" s="394">
        <v>0</v>
      </c>
      <c r="S75" s="394">
        <v>0</v>
      </c>
      <c r="T75" s="394">
        <v>0</v>
      </c>
      <c r="U75" s="394">
        <v>0</v>
      </c>
      <c r="V75" s="394">
        <v>0</v>
      </c>
      <c r="W75" s="394">
        <v>0</v>
      </c>
      <c r="X75" s="394">
        <v>0</v>
      </c>
      <c r="Y75" s="394">
        <v>0</v>
      </c>
      <c r="Z75" s="394"/>
      <c r="AA75" s="394">
        <v>0</v>
      </c>
      <c r="AB75" s="394">
        <v>0</v>
      </c>
      <c r="AC75" s="394">
        <v>0</v>
      </c>
      <c r="AD75" s="394">
        <v>0</v>
      </c>
      <c r="AE75" s="394">
        <v>0</v>
      </c>
      <c r="AF75" s="394">
        <v>0</v>
      </c>
      <c r="AG75" s="394">
        <v>0</v>
      </c>
      <c r="AH75" s="394">
        <v>0</v>
      </c>
      <c r="AI75" s="394">
        <v>0</v>
      </c>
      <c r="AJ75" s="394">
        <v>0</v>
      </c>
      <c r="AK75" s="394">
        <v>0</v>
      </c>
      <c r="AL75" s="394">
        <v>0</v>
      </c>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9" t="s">
        <v>122</v>
      </c>
      <c r="C76" s="394">
        <v>0</v>
      </c>
      <c r="D76" s="394">
        <v>0</v>
      </c>
      <c r="E76" s="394">
        <v>0</v>
      </c>
      <c r="F76" s="394">
        <v>0</v>
      </c>
      <c r="G76" s="394">
        <v>0</v>
      </c>
      <c r="H76" s="394">
        <v>0</v>
      </c>
      <c r="I76" s="394">
        <v>0</v>
      </c>
      <c r="J76" s="394">
        <v>0</v>
      </c>
      <c r="K76" s="394">
        <v>0</v>
      </c>
      <c r="L76" s="395">
        <v>0</v>
      </c>
      <c r="M76" s="394">
        <v>0</v>
      </c>
      <c r="N76" s="394">
        <v>0</v>
      </c>
      <c r="O76" s="394">
        <v>0</v>
      </c>
      <c r="P76" s="394">
        <v>0</v>
      </c>
      <c r="Q76" s="394">
        <v>0</v>
      </c>
      <c r="R76" s="394">
        <v>0</v>
      </c>
      <c r="S76" s="394">
        <v>0</v>
      </c>
      <c r="T76" s="394">
        <v>0</v>
      </c>
      <c r="U76" s="394">
        <v>0</v>
      </c>
      <c r="V76" s="394">
        <v>0</v>
      </c>
      <c r="W76" s="394">
        <v>0</v>
      </c>
      <c r="X76" s="394">
        <v>0</v>
      </c>
      <c r="Y76" s="394">
        <v>0</v>
      </c>
      <c r="Z76" s="394"/>
      <c r="AA76" s="394">
        <v>0</v>
      </c>
      <c r="AB76" s="394">
        <v>0</v>
      </c>
      <c r="AC76" s="394">
        <v>0</v>
      </c>
      <c r="AD76" s="394">
        <v>0</v>
      </c>
      <c r="AE76" s="394">
        <v>0</v>
      </c>
      <c r="AF76" s="394">
        <v>0</v>
      </c>
      <c r="AG76" s="394">
        <v>0</v>
      </c>
      <c r="AH76" s="394">
        <v>0</v>
      </c>
      <c r="AI76" s="394">
        <v>0</v>
      </c>
      <c r="AJ76" s="394">
        <v>0</v>
      </c>
      <c r="AK76" s="394">
        <v>0</v>
      </c>
      <c r="AL76" s="394">
        <v>0</v>
      </c>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125</v>
      </c>
      <c r="C77" s="394">
        <v>0</v>
      </c>
      <c r="D77" s="394">
        <v>0</v>
      </c>
      <c r="E77" s="394">
        <v>0</v>
      </c>
      <c r="F77" s="394">
        <v>0</v>
      </c>
      <c r="G77" s="394">
        <v>0</v>
      </c>
      <c r="H77" s="394">
        <v>0</v>
      </c>
      <c r="I77" s="394">
        <v>0</v>
      </c>
      <c r="J77" s="394">
        <v>0</v>
      </c>
      <c r="K77" s="394">
        <v>0</v>
      </c>
      <c r="L77" s="395">
        <v>0</v>
      </c>
      <c r="M77" s="394">
        <v>0</v>
      </c>
      <c r="N77" s="394">
        <v>0</v>
      </c>
      <c r="O77" s="394">
        <v>0</v>
      </c>
      <c r="P77" s="394">
        <v>0</v>
      </c>
      <c r="Q77" s="394">
        <v>0</v>
      </c>
      <c r="R77" s="394">
        <v>0</v>
      </c>
      <c r="S77" s="394">
        <v>0</v>
      </c>
      <c r="T77" s="394">
        <v>0</v>
      </c>
      <c r="U77" s="394">
        <v>0</v>
      </c>
      <c r="V77" s="394">
        <v>0</v>
      </c>
      <c r="W77" s="394">
        <v>0</v>
      </c>
      <c r="X77" s="394">
        <v>0</v>
      </c>
      <c r="Y77" s="394">
        <v>0</v>
      </c>
      <c r="Z77" s="394"/>
      <c r="AA77" s="394">
        <v>0</v>
      </c>
      <c r="AB77" s="394">
        <v>0</v>
      </c>
      <c r="AC77" s="394">
        <v>0</v>
      </c>
      <c r="AD77" s="394">
        <v>0</v>
      </c>
      <c r="AE77" s="394">
        <v>0</v>
      </c>
      <c r="AF77" s="394">
        <v>0</v>
      </c>
      <c r="AG77" s="394">
        <v>0</v>
      </c>
      <c r="AH77" s="394">
        <v>0</v>
      </c>
      <c r="AI77" s="394">
        <v>0</v>
      </c>
      <c r="AJ77" s="394">
        <v>0</v>
      </c>
      <c r="AK77" s="394">
        <v>0</v>
      </c>
      <c r="AL77" s="394">
        <v>0</v>
      </c>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128</v>
      </c>
      <c r="C78" s="394">
        <v>0</v>
      </c>
      <c r="D78" s="394">
        <v>0</v>
      </c>
      <c r="E78" s="394">
        <v>0</v>
      </c>
      <c r="F78" s="394">
        <v>0</v>
      </c>
      <c r="G78" s="394">
        <v>0</v>
      </c>
      <c r="H78" s="394">
        <v>0</v>
      </c>
      <c r="I78" s="394">
        <v>0</v>
      </c>
      <c r="J78" s="394">
        <v>0</v>
      </c>
      <c r="K78" s="394">
        <v>0</v>
      </c>
      <c r="L78" s="395">
        <v>0</v>
      </c>
      <c r="M78" s="394">
        <v>0</v>
      </c>
      <c r="N78" s="394">
        <v>0</v>
      </c>
      <c r="O78" s="394">
        <v>0</v>
      </c>
      <c r="P78" s="394">
        <v>0</v>
      </c>
      <c r="Q78" s="394">
        <v>0</v>
      </c>
      <c r="R78" s="394">
        <v>0</v>
      </c>
      <c r="S78" s="394">
        <v>0</v>
      </c>
      <c r="T78" s="394">
        <v>0</v>
      </c>
      <c r="U78" s="394">
        <v>0</v>
      </c>
      <c r="V78" s="394">
        <v>0</v>
      </c>
      <c r="W78" s="394">
        <v>0</v>
      </c>
      <c r="X78" s="394">
        <v>0</v>
      </c>
      <c r="Y78" s="394">
        <v>0</v>
      </c>
      <c r="Z78" s="394"/>
      <c r="AA78" s="394">
        <v>0</v>
      </c>
      <c r="AB78" s="394">
        <v>0</v>
      </c>
      <c r="AC78" s="394">
        <v>0</v>
      </c>
      <c r="AD78" s="394">
        <v>0</v>
      </c>
      <c r="AE78" s="394">
        <v>0</v>
      </c>
      <c r="AF78" s="394">
        <v>0</v>
      </c>
      <c r="AG78" s="394">
        <v>0</v>
      </c>
      <c r="AH78" s="394">
        <v>0</v>
      </c>
      <c r="AI78" s="394">
        <v>0</v>
      </c>
      <c r="AJ78" s="394">
        <v>0</v>
      </c>
      <c r="AK78" s="394">
        <v>0</v>
      </c>
      <c r="AL78" s="394">
        <v>0</v>
      </c>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131</v>
      </c>
      <c r="C79" s="36">
        <v>19.719286947809731</v>
      </c>
      <c r="D79" s="36">
        <v>55.697634927220747</v>
      </c>
      <c r="E79" s="36">
        <v>11.139526985444149</v>
      </c>
      <c r="F79" s="36">
        <v>66.837161912664897</v>
      </c>
      <c r="G79" s="36">
        <v>223.35096658527823</v>
      </c>
      <c r="H79" s="36">
        <v>12.161972728420093</v>
      </c>
      <c r="I79" s="36">
        <v>29691.41530850215</v>
      </c>
      <c r="J79" s="36">
        <v>170.52554289021407</v>
      </c>
      <c r="K79" s="36">
        <v>825.16686960542836</v>
      </c>
      <c r="L79" s="387">
        <v>5.4452295033057298E-2</v>
      </c>
      <c r="M79" s="36">
        <v>0.187335832560661</v>
      </c>
      <c r="N79" s="42">
        <v>0.91306674929644316</v>
      </c>
      <c r="O79" s="42">
        <v>0.81275535273095034</v>
      </c>
      <c r="P79" s="42">
        <v>0.94611111062662823</v>
      </c>
      <c r="Q79" s="42">
        <v>1.0688144317497186</v>
      </c>
      <c r="R79" s="42">
        <v>1.1375742230003585</v>
      </c>
      <c r="S79" s="42">
        <v>0.99673823013294338</v>
      </c>
      <c r="T79" s="42">
        <v>1.0012426108184296</v>
      </c>
      <c r="U79" s="42">
        <v>0.99791138763467646</v>
      </c>
      <c r="V79" s="42">
        <v>0.92312045620057936</v>
      </c>
      <c r="W79" s="42">
        <v>0.9808386777843443</v>
      </c>
      <c r="X79" s="42">
        <v>0.97434012920892066</v>
      </c>
      <c r="Y79" s="42">
        <v>1.0862925938128754</v>
      </c>
      <c r="Z79" s="42"/>
      <c r="AA79" s="42">
        <v>0.5952280913201452</v>
      </c>
      <c r="AB79" s="42">
        <v>0.53377156269224402</v>
      </c>
      <c r="AC79" s="42">
        <v>0.54368519050540154</v>
      </c>
      <c r="AD79" s="42">
        <v>0.7459852416952818</v>
      </c>
      <c r="AE79" s="42">
        <v>0.8098824096996069</v>
      </c>
      <c r="AF79" s="42">
        <v>0.64974696719512592</v>
      </c>
      <c r="AG79" s="42">
        <v>0.7642670520260233</v>
      </c>
      <c r="AH79" s="42">
        <v>0.54251642215106821</v>
      </c>
      <c r="AI79" s="42">
        <v>0.65515502911252232</v>
      </c>
      <c r="AJ79" s="42">
        <v>0.56197064734736812</v>
      </c>
      <c r="AK79" s="42">
        <v>0.71135527891898587</v>
      </c>
      <c r="AL79" s="42">
        <v>0.76691710214908848</v>
      </c>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ht="13.5" thickBot="1">
      <c r="A82" s="34" t="s">
        <v>45</v>
      </c>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ht="13.5" thickBot="1">
      <c r="A83" s="43"/>
      <c r="B83" s="44"/>
      <c r="C83" s="45"/>
      <c r="D83" s="45"/>
      <c r="E83" s="45"/>
      <c r="F83" s="45"/>
      <c r="G83" s="45"/>
      <c r="H83" s="45"/>
      <c r="I83" s="45"/>
      <c r="J83" s="45"/>
      <c r="K83" s="45"/>
      <c r="L83" s="45"/>
      <c r="M83" s="45"/>
      <c r="N83" s="45"/>
      <c r="O83" s="46" t="s">
        <v>568</v>
      </c>
      <c r="P83" s="47"/>
      <c r="Q83" s="47"/>
      <c r="R83" s="47"/>
      <c r="S83" s="47"/>
      <c r="T83" s="47"/>
      <c r="U83" s="47"/>
      <c r="V83" s="47"/>
      <c r="W83" s="47"/>
      <c r="X83" s="47"/>
      <c r="Y83" s="47"/>
      <c r="Z83" s="41"/>
      <c r="AA83" s="45"/>
      <c r="AB83" s="46" t="s">
        <v>569</v>
      </c>
      <c r="AC83" s="47"/>
      <c r="AD83" s="47"/>
      <c r="AE83" s="47"/>
      <c r="AF83" s="47"/>
      <c r="AG83" s="47"/>
      <c r="AH83" s="47"/>
      <c r="AI83" s="47"/>
      <c r="AJ83" s="47"/>
      <c r="AK83" s="47"/>
      <c r="AL83" s="47"/>
      <c r="AM83" s="41"/>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ht="191.25">
      <c r="A84" s="37" t="s">
        <v>21</v>
      </c>
      <c r="B84" s="38" t="s">
        <v>22</v>
      </c>
      <c r="C84" s="39" t="s">
        <v>46</v>
      </c>
      <c r="D84" s="39" t="s">
        <v>25</v>
      </c>
      <c r="E84" s="39" t="s">
        <v>26</v>
      </c>
      <c r="F84" s="39" t="s">
        <v>27</v>
      </c>
      <c r="G84" s="39" t="s">
        <v>28</v>
      </c>
      <c r="H84" s="39" t="s">
        <v>29</v>
      </c>
      <c r="I84" s="39" t="s">
        <v>30</v>
      </c>
      <c r="J84" s="39" t="s">
        <v>31</v>
      </c>
      <c r="K84" s="39" t="s">
        <v>24</v>
      </c>
      <c r="L84" s="39" t="s">
        <v>23</v>
      </c>
      <c r="M84" s="39" t="s">
        <v>32</v>
      </c>
      <c r="N84" s="39" t="s">
        <v>570</v>
      </c>
      <c r="O84" s="39" t="s">
        <v>33</v>
      </c>
      <c r="P84" s="39" t="s">
        <v>34</v>
      </c>
      <c r="Q84" s="39" t="s">
        <v>35</v>
      </c>
      <c r="R84" s="39" t="s">
        <v>36</v>
      </c>
      <c r="S84" s="39" t="s">
        <v>37</v>
      </c>
      <c r="T84" s="39" t="s">
        <v>38</v>
      </c>
      <c r="U84" s="39" t="s">
        <v>39</v>
      </c>
      <c r="V84" s="39" t="s">
        <v>40</v>
      </c>
      <c r="W84" s="39" t="s">
        <v>41</v>
      </c>
      <c r="X84" s="39" t="s">
        <v>42</v>
      </c>
      <c r="Y84" s="39" t="s">
        <v>43</v>
      </c>
      <c r="Z84" s="39" t="s">
        <v>44</v>
      </c>
      <c r="AA84" s="39"/>
      <c r="AB84" s="39" t="s">
        <v>33</v>
      </c>
      <c r="AC84" s="39" t="s">
        <v>34</v>
      </c>
      <c r="AD84" s="39" t="s">
        <v>35</v>
      </c>
      <c r="AE84" s="39" t="s">
        <v>36</v>
      </c>
      <c r="AF84" s="39" t="s">
        <v>37</v>
      </c>
      <c r="AG84" s="39" t="s">
        <v>38</v>
      </c>
      <c r="AH84" s="39" t="s">
        <v>39</v>
      </c>
      <c r="AI84" s="39" t="s">
        <v>40</v>
      </c>
      <c r="AJ84" s="39" t="s">
        <v>41</v>
      </c>
      <c r="AK84" s="39" t="s">
        <v>42</v>
      </c>
      <c r="AL84" s="39" t="s">
        <v>43</v>
      </c>
      <c r="AM84" s="39" t="s">
        <v>44</v>
      </c>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t="s">
        <v>293</v>
      </c>
      <c r="B85" s="9"/>
      <c r="C85" s="42">
        <v>68.243112182874043</v>
      </c>
      <c r="D85" s="42">
        <v>13.80118387577151</v>
      </c>
      <c r="E85" s="42">
        <v>2.7602367751543024</v>
      </c>
      <c r="F85" s="42">
        <v>16.561420650925811</v>
      </c>
      <c r="G85" s="42">
        <v>45.631458220373787</v>
      </c>
      <c r="H85" s="42">
        <v>42.089294175153469</v>
      </c>
      <c r="I85" s="42">
        <v>2125.9001862830955</v>
      </c>
      <c r="J85" s="42">
        <v>4.5423572105321206</v>
      </c>
      <c r="K85" s="42">
        <v>40.942640426147406</v>
      </c>
      <c r="L85" s="387">
        <v>0.92237451566606321</v>
      </c>
      <c r="M85" s="42">
        <v>0.64831858632339023</v>
      </c>
      <c r="N85" s="42">
        <v>9.9264974994726762E-3</v>
      </c>
      <c r="O85" s="42">
        <v>3.1598767626640925</v>
      </c>
      <c r="P85" s="42">
        <v>2.8127261832766339</v>
      </c>
      <c r="Q85" s="42">
        <v>3.2742343488808552</v>
      </c>
      <c r="R85" s="42">
        <v>3.6988773154737404</v>
      </c>
      <c r="S85" s="42">
        <v>3.9368363329781544</v>
      </c>
      <c r="T85" s="42">
        <v>3.4494410997694311</v>
      </c>
      <c r="U85" s="42">
        <v>3.4650295415446108</v>
      </c>
      <c r="V85" s="42">
        <v>3.4535010801942221</v>
      </c>
      <c r="W85" s="42">
        <v>3.194669919735571</v>
      </c>
      <c r="X85" s="42">
        <v>3.3944170546579295</v>
      </c>
      <c r="Y85" s="42">
        <v>3.3719273378323549</v>
      </c>
      <c r="Z85" s="42">
        <v>3.75936450132297</v>
      </c>
      <c r="AA85" s="42"/>
      <c r="AB85" s="42">
        <v>2.0599232374814878</v>
      </c>
      <c r="AC85" s="42">
        <v>1.84723883420545</v>
      </c>
      <c r="AD85" s="42">
        <v>1.8815472154761894</v>
      </c>
      <c r="AE85" s="42">
        <v>2.5816529101948102</v>
      </c>
      <c r="AF85" s="42">
        <v>2.8027837054323852</v>
      </c>
      <c r="AG85" s="42">
        <v>2.2485983032821681</v>
      </c>
      <c r="AH85" s="42">
        <v>2.6449213050718057</v>
      </c>
      <c r="AI85" s="42">
        <v>1.8775024247019763</v>
      </c>
      <c r="AJ85" s="42">
        <v>2.2673141410859179</v>
      </c>
      <c r="AK85" s="42">
        <v>1.9448282299410675</v>
      </c>
      <c r="AL85" s="42">
        <v>2.4618079867507596</v>
      </c>
      <c r="AM85" s="36">
        <v>2.6540924109194575</v>
      </c>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t="s">
        <v>292</v>
      </c>
      <c r="B86" s="9"/>
      <c r="C86" s="42">
        <v>31.923177973133928</v>
      </c>
      <c r="D86" s="42">
        <v>8</v>
      </c>
      <c r="E86" s="42">
        <v>1.6</v>
      </c>
      <c r="F86" s="42">
        <v>9.6</v>
      </c>
      <c r="G86" s="42">
        <v>26.45075009860944</v>
      </c>
      <c r="H86" s="42">
        <v>21.391012357837905</v>
      </c>
      <c r="I86" s="42">
        <v>2634.3241913688526</v>
      </c>
      <c r="J86" s="42">
        <v>4.1809610863086801</v>
      </c>
      <c r="K86" s="42">
        <v>49.286628448437469</v>
      </c>
      <c r="L86" s="387">
        <v>0.80871099224374987</v>
      </c>
      <c r="M86" s="42">
        <v>0.30327022831763456</v>
      </c>
      <c r="N86" s="42">
        <v>6.5680040394164047E-3</v>
      </c>
      <c r="O86" s="42">
        <v>2.3985249402326483</v>
      </c>
      <c r="P86" s="42">
        <v>1.9986503596346596</v>
      </c>
      <c r="Q86" s="42">
        <v>2.1279992687755698</v>
      </c>
      <c r="R86" s="42">
        <v>1.4484143731435781</v>
      </c>
      <c r="S86" s="42">
        <v>1.8148349868441274</v>
      </c>
      <c r="T86" s="42">
        <v>1.4118423652458438</v>
      </c>
      <c r="U86" s="42">
        <v>1.2537841312280011</v>
      </c>
      <c r="V86" s="42">
        <v>1.519776986115438</v>
      </c>
      <c r="W86" s="42">
        <v>1.1071870245466546</v>
      </c>
      <c r="X86" s="42">
        <v>1.4058079444603557</v>
      </c>
      <c r="Y86" s="42">
        <v>1.3896846074698526</v>
      </c>
      <c r="Z86" s="42">
        <v>1.8849045667862157</v>
      </c>
      <c r="AA86" s="42"/>
      <c r="AB86" s="42">
        <v>1.6878097579957494</v>
      </c>
      <c r="AC86" s="42">
        <v>1.3654615402915222</v>
      </c>
      <c r="AD86" s="42">
        <v>1.1795851735799314</v>
      </c>
      <c r="AE86" s="42">
        <v>0.9624523592640275</v>
      </c>
      <c r="AF86" s="42">
        <v>1.0814495861570319</v>
      </c>
      <c r="AG86" s="42">
        <v>0.73088363207029627</v>
      </c>
      <c r="AH86" s="42">
        <v>0.78294028286687412</v>
      </c>
      <c r="AI86" s="42">
        <v>0.78370765322851277</v>
      </c>
      <c r="AJ86" s="42">
        <v>0.67847787319628061</v>
      </c>
      <c r="AK86" s="42">
        <v>0.73565330182574018</v>
      </c>
      <c r="AL86" s="42">
        <v>0.93370729927689988</v>
      </c>
      <c r="AM86" s="36">
        <v>1.239637958898117</v>
      </c>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t="s">
        <v>294</v>
      </c>
      <c r="B87" s="9"/>
      <c r="C87" s="42">
        <v>19.719286947809731</v>
      </c>
      <c r="D87" s="42">
        <v>55.697634927220747</v>
      </c>
      <c r="E87" s="42">
        <v>11.139526985444149</v>
      </c>
      <c r="F87" s="42">
        <v>66.837161912664897</v>
      </c>
      <c r="G87" s="42">
        <v>223.35096658527823</v>
      </c>
      <c r="H87" s="42">
        <v>12.161972728420093</v>
      </c>
      <c r="I87" s="42">
        <v>29691.41530850215</v>
      </c>
      <c r="J87" s="42">
        <v>170.52554289021407</v>
      </c>
      <c r="K87" s="42">
        <v>825.16686960542836</v>
      </c>
      <c r="L87" s="387">
        <v>5.4452295033057298E-2</v>
      </c>
      <c r="M87" s="42">
        <v>0.187335832560661</v>
      </c>
      <c r="N87" s="42">
        <v>2.8683254077609358E-3</v>
      </c>
      <c r="O87" s="42">
        <v>0.91306674929644316</v>
      </c>
      <c r="P87" s="42">
        <v>0.81275535273095034</v>
      </c>
      <c r="Q87" s="42">
        <v>0.94611111062662823</v>
      </c>
      <c r="R87" s="42">
        <v>1.0688144317497186</v>
      </c>
      <c r="S87" s="42">
        <v>1.1375742230003585</v>
      </c>
      <c r="T87" s="42">
        <v>0.99673823013294338</v>
      </c>
      <c r="U87" s="42">
        <v>1.0012426108184296</v>
      </c>
      <c r="V87" s="42">
        <v>0.99791138763467646</v>
      </c>
      <c r="W87" s="42">
        <v>0.92312045620057936</v>
      </c>
      <c r="X87" s="42">
        <v>0.9808386777843443</v>
      </c>
      <c r="Y87" s="42">
        <v>0.97434012920892066</v>
      </c>
      <c r="Z87" s="42">
        <v>1.0862925938128754</v>
      </c>
      <c r="AA87" s="42"/>
      <c r="AB87" s="42">
        <v>0.5952280913201452</v>
      </c>
      <c r="AC87" s="42">
        <v>0.53377156269224402</v>
      </c>
      <c r="AD87" s="42">
        <v>0.54368519050540154</v>
      </c>
      <c r="AE87" s="42">
        <v>0.7459852416952818</v>
      </c>
      <c r="AF87" s="42">
        <v>0.8098824096996069</v>
      </c>
      <c r="AG87" s="42">
        <v>0.64974696719512592</v>
      </c>
      <c r="AH87" s="42">
        <v>0.7642670520260233</v>
      </c>
      <c r="AI87" s="42">
        <v>0.54251642215106821</v>
      </c>
      <c r="AJ87" s="42">
        <v>0.65515502911252232</v>
      </c>
      <c r="AK87" s="42">
        <v>0.56197064734736812</v>
      </c>
      <c r="AL87" s="42">
        <v>0.71135527891898587</v>
      </c>
      <c r="AM87" s="36">
        <v>0.76691710214908848</v>
      </c>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c r="A88" s="9"/>
      <c r="B88" s="9"/>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sheetData>
  <mergeCells count="3">
    <mergeCell ref="I6:N6"/>
    <mergeCell ref="O6:P6"/>
    <mergeCell ref="R6:T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7PSourceSummary</vt:lpstr>
      <vt:lpstr>forRPM</vt:lpstr>
      <vt:lpstr>SC-New</vt:lpstr>
      <vt:lpstr>SC-New (2)</vt:lpstr>
      <vt:lpstr>SC-NR</vt:lpstr>
      <vt:lpstr>SC-NR (2)</vt:lpstr>
      <vt:lpstr>Units per home</vt:lpstr>
      <vt:lpstr>M_Input_Out</vt:lpstr>
      <vt:lpstr>M_Input</vt:lpstr>
      <vt:lpstr>Composite</vt:lpstr>
      <vt:lpstr>Raw</vt:lpstr>
      <vt:lpstr>Summary</vt:lpstr>
      <vt:lpstr>Shipment</vt:lpstr>
      <vt:lpstr>ES Calc Desktops</vt:lpstr>
      <vt:lpstr>ES Calc Laptop</vt:lpstr>
      <vt:lpstr>ES Calc Monitors</vt:lpstr>
      <vt:lpstr>Inc Cost</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2015-03-12T23:03:26Z</dcterms:modified>
</cp:coreProperties>
</file>