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comments8.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4385" yWindow="-15" windowWidth="7260" windowHeight="9885" tabRatio="792" activeTab="3"/>
  </bookViews>
  <sheets>
    <sheet name="7PSourceSummary" sheetId="19" r:id="rId1"/>
    <sheet name="forRPM" sheetId="23" r:id="rId2"/>
    <sheet name="SC-New" sheetId="17" r:id="rId3"/>
    <sheet name="SC-NR" sheetId="18" r:id="rId4"/>
    <sheet name="M_Input_Out" sheetId="22" r:id="rId5"/>
    <sheet name="M_Input" sheetId="16" r:id="rId6"/>
    <sheet name="Segmented" sheetId="15" r:id="rId7"/>
    <sheet name="Composite" sheetId="10" r:id="rId8"/>
    <sheet name="RawRTF" sheetId="3" r:id="rId9"/>
    <sheet name="EULSummary" sheetId="8" r:id="rId10"/>
    <sheet name="CostSummary" sheetId="7" r:id="rId11"/>
    <sheet name="SF Measure Development" sheetId="6" r:id="rId12"/>
    <sheet name="MF Measure Development" sheetId="13" r:id="rId13"/>
    <sheet name="MH Measure Development" sheetId="14" r:id="rId14"/>
    <sheet name="CEC Data" sheetId="5" r:id="rId15"/>
    <sheet name="Cost Model " sheetId="4" r:id="rId16"/>
    <sheet name="Baseline and Measure Cases" sheetId="2" r:id="rId17"/>
    <sheet name="SF Assumptions" sheetId="1" r:id="rId18"/>
    <sheet name="MF Assumptions" sheetId="11" r:id="rId19"/>
    <sheet name="MH Assumptions" sheetId="12" r:id="rId20"/>
  </sheets>
  <externalReferences>
    <externalReference r:id="rId21"/>
    <externalReference r:id="rId22"/>
  </externalReferences>
  <definedNames>
    <definedName name="_xlnm._FilterDatabase" localSheetId="14" hidden="1">'CEC Data'!$A$20:$V$383</definedName>
    <definedName name="_Key1" localSheetId="0" hidden="1">#REF!</definedName>
    <definedName name="_Key1" localSheetId="7" hidden="1">#REF!</definedName>
    <definedName name="_Key1" localSheetId="18" hidden="1">#REF!</definedName>
    <definedName name="_Key1" localSheetId="12" hidden="1">#REF!</definedName>
    <definedName name="_Key1" localSheetId="19" hidden="1">#REF!</definedName>
    <definedName name="_Key1" localSheetId="13" hidden="1">#REF!</definedName>
    <definedName name="_Key1" localSheetId="2" hidden="1">#REF!</definedName>
    <definedName name="_Key1" localSheetId="3" hidden="1">#REF!</definedName>
    <definedName name="_Key1" localSheetId="6" hidden="1">#REF!</definedName>
    <definedName name="_Key1" hidden="1">#REF!</definedName>
    <definedName name="_Order1" hidden="1">255</definedName>
    <definedName name="_Sort" localSheetId="0" hidden="1">#REF!</definedName>
    <definedName name="_Sort" localSheetId="7" hidden="1">#REF!</definedName>
    <definedName name="_Sort" localSheetId="18" hidden="1">#REF!</definedName>
    <definedName name="_Sort" localSheetId="12" hidden="1">#REF!</definedName>
    <definedName name="_Sort" localSheetId="19" hidden="1">#REF!</definedName>
    <definedName name="_Sort" localSheetId="13" hidden="1">#REF!</definedName>
    <definedName name="_Sort" localSheetId="2" hidden="1">#REF!</definedName>
    <definedName name="_Sort" localSheetId="3" hidden="1">#REF!</definedName>
    <definedName name="_Sort" localSheetId="6" hidden="1">#REF!</definedName>
    <definedName name="_Sort" hidden="1">#REF!</definedName>
    <definedName name="anscount" hidden="1">1</definedName>
    <definedName name="CBWorkbookPriority" hidden="1">-738590518</definedName>
    <definedName name="Elements" localSheetId="10">CostSummary!$D$68:$D$110</definedName>
    <definedName name="Inclusion" localSheetId="10">CostSummary!$B$68:$B$69</definedName>
    <definedName name="Justification" localSheetId="10">CostSummary!$C$68:$C$72</definedName>
    <definedName name="limcount" hidden="1">1</definedName>
    <definedName name="MeasureOutput">M_Input_Out!$A$4:$AM$100</definedName>
    <definedName name="ResBase">'[1]Res Forecast (Base Case)'!$C$14:$BD$61</definedName>
    <definedName name="sencount" hidden="1">1</definedName>
    <definedName name="sort" hidden="1">#REF!</definedName>
  </definedNames>
  <calcPr calcId="125725"/>
</workbook>
</file>

<file path=xl/calcChain.xml><?xml version="1.0" encoding="utf-8"?>
<calcChain xmlns="http://schemas.openxmlformats.org/spreadsheetml/2006/main">
  <c r="D9" i="18"/>
  <c r="D9" i="17"/>
  <c r="D8" i="18"/>
  <c r="D8" i="17"/>
  <c r="C8" i="18"/>
  <c r="C8" i="17"/>
  <c r="AG4" i="23" l="1"/>
  <c r="AH4"/>
  <c r="AK4"/>
  <c r="AL4"/>
  <c r="AO4"/>
  <c r="AP4"/>
  <c r="AT4"/>
  <c r="AU4"/>
  <c r="AX4"/>
  <c r="AY4"/>
  <c r="BB4"/>
  <c r="BC4"/>
  <c r="AG7"/>
  <c r="AK7"/>
  <c r="AO7"/>
  <c r="AT7"/>
  <c r="AX7"/>
  <c r="BB7"/>
  <c r="AG9"/>
  <c r="AK9"/>
  <c r="AO9"/>
  <c r="AT9"/>
  <c r="AX9"/>
  <c r="BB9"/>
  <c r="F9"/>
  <c r="BB3"/>
  <c r="AX3"/>
  <c r="AT3"/>
  <c r="AO3"/>
  <c r="AK3"/>
  <c r="AG3"/>
  <c r="J10"/>
  <c r="I10"/>
  <c r="AG10" s="1"/>
  <c r="J9"/>
  <c r="AH9" s="1"/>
  <c r="I9"/>
  <c r="AF9" s="1"/>
  <c r="J8"/>
  <c r="I8"/>
  <c r="AF8" s="1"/>
  <c r="J7"/>
  <c r="AH7" s="1"/>
  <c r="I7"/>
  <c r="AF7" s="1"/>
  <c r="J6"/>
  <c r="AG6" s="1"/>
  <c r="I6"/>
  <c r="AF6" s="1"/>
  <c r="J5"/>
  <c r="I5"/>
  <c r="AK5" s="1"/>
  <c r="J4"/>
  <c r="I4"/>
  <c r="AF4" s="1"/>
  <c r="J3"/>
  <c r="AS3" s="1"/>
  <c r="I3"/>
  <c r="BC3" s="1"/>
  <c r="C10"/>
  <c r="B10"/>
  <c r="C9"/>
  <c r="B9"/>
  <c r="C8"/>
  <c r="B8"/>
  <c r="C7"/>
  <c r="B7"/>
  <c r="C6"/>
  <c r="B6"/>
  <c r="C5"/>
  <c r="B5"/>
  <c r="C4"/>
  <c r="B4"/>
  <c r="C3"/>
  <c r="B3"/>
  <c r="AD2"/>
  <c r="AC2"/>
  <c r="AB2"/>
  <c r="AA2"/>
  <c r="Z2"/>
  <c r="Y2"/>
  <c r="X2"/>
  <c r="W2"/>
  <c r="V2"/>
  <c r="U2"/>
  <c r="T2"/>
  <c r="S2"/>
  <c r="R2"/>
  <c r="Q2"/>
  <c r="P2"/>
  <c r="O2"/>
  <c r="N2"/>
  <c r="M2"/>
  <c r="L2"/>
  <c r="K2"/>
  <c r="BB8" l="1"/>
  <c r="AX8"/>
  <c r="AT8"/>
  <c r="AO8"/>
  <c r="AK8"/>
  <c r="AG8"/>
  <c r="BB6"/>
  <c r="AX6"/>
  <c r="AO6"/>
  <c r="AK6"/>
  <c r="BB5"/>
  <c r="AX5"/>
  <c r="AO5"/>
  <c r="AG5"/>
  <c r="AF3"/>
  <c r="AJ3"/>
  <c r="AN3"/>
  <c r="AW3"/>
  <c r="BA3"/>
  <c r="F10"/>
  <c r="F6"/>
  <c r="BC10"/>
  <c r="AY10"/>
  <c r="AU10"/>
  <c r="AP10"/>
  <c r="AH10"/>
  <c r="BC9"/>
  <c r="AY9"/>
  <c r="AU9"/>
  <c r="AP9"/>
  <c r="AL9"/>
  <c r="BC8"/>
  <c r="AY8"/>
  <c r="AU8"/>
  <c r="AP8"/>
  <c r="AL8"/>
  <c r="AH8"/>
  <c r="BC7"/>
  <c r="AY7"/>
  <c r="AU7"/>
  <c r="AP7"/>
  <c r="AL7"/>
  <c r="BC6"/>
  <c r="AY6"/>
  <c r="AU6"/>
  <c r="AP6"/>
  <c r="AL6"/>
  <c r="AH6"/>
  <c r="BC5"/>
  <c r="AY5"/>
  <c r="AU5"/>
  <c r="AP5"/>
  <c r="AL5"/>
  <c r="AH5"/>
  <c r="F3"/>
  <c r="AI3"/>
  <c r="AM3"/>
  <c r="AQ3"/>
  <c r="AV3"/>
  <c r="AZ3"/>
  <c r="BD3"/>
  <c r="F7"/>
  <c r="BD10"/>
  <c r="AZ10"/>
  <c r="AV10"/>
  <c r="AQ10"/>
  <c r="AM10"/>
  <c r="AI10"/>
  <c r="BD9"/>
  <c r="AZ9"/>
  <c r="AV9"/>
  <c r="AQ9"/>
  <c r="AM9"/>
  <c r="AI9"/>
  <c r="BD8"/>
  <c r="AZ8"/>
  <c r="AV8"/>
  <c r="AQ8"/>
  <c r="AM8"/>
  <c r="AI8"/>
  <c r="BD7"/>
  <c r="AZ7"/>
  <c r="AV7"/>
  <c r="AQ7"/>
  <c r="AM7"/>
  <c r="AI7"/>
  <c r="BD6"/>
  <c r="AZ6"/>
  <c r="AV6"/>
  <c r="AQ6"/>
  <c r="AM6"/>
  <c r="AI6"/>
  <c r="BD5"/>
  <c r="AZ5"/>
  <c r="AV5"/>
  <c r="AQ5"/>
  <c r="AM5"/>
  <c r="AI5"/>
  <c r="BD4"/>
  <c r="AZ4"/>
  <c r="AV4"/>
  <c r="AQ4"/>
  <c r="AM4"/>
  <c r="AI4"/>
  <c r="AL10"/>
  <c r="AH3"/>
  <c r="AL3"/>
  <c r="AP3"/>
  <c r="AU3"/>
  <c r="AY3"/>
  <c r="F8"/>
  <c r="F4"/>
  <c r="BA10"/>
  <c r="AW10"/>
  <c r="AS10"/>
  <c r="AN10"/>
  <c r="AJ10"/>
  <c r="AF10"/>
  <c r="BA9"/>
  <c r="AW9"/>
  <c r="AS9"/>
  <c r="AN9"/>
  <c r="AJ9"/>
  <c r="BA8"/>
  <c r="AW8"/>
  <c r="AS8"/>
  <c r="AN8"/>
  <c r="AJ8"/>
  <c r="BA7"/>
  <c r="AW7"/>
  <c r="AS7"/>
  <c r="AN7"/>
  <c r="AJ7"/>
  <c r="BA6"/>
  <c r="AW6"/>
  <c r="AS6"/>
  <c r="AN6"/>
  <c r="AJ6"/>
  <c r="BA5"/>
  <c r="AW5"/>
  <c r="AS5"/>
  <c r="AN5"/>
  <c r="AJ5"/>
  <c r="AF5"/>
  <c r="BA4"/>
  <c r="AW4"/>
  <c r="AS4"/>
  <c r="AN4"/>
  <c r="AJ4"/>
  <c r="F5"/>
  <c r="BB10"/>
  <c r="AX10"/>
  <c r="AT10"/>
  <c r="AO10"/>
  <c r="AK10"/>
  <c r="AT6"/>
  <c r="AT5"/>
  <c r="X43" i="17"/>
  <c r="W43"/>
  <c r="V43"/>
  <c r="U43"/>
  <c r="T43"/>
  <c r="S43"/>
  <c r="R43"/>
  <c r="Q43"/>
  <c r="P43"/>
  <c r="O43"/>
  <c r="N43"/>
  <c r="M43"/>
  <c r="L43"/>
  <c r="K43"/>
  <c r="J43"/>
  <c r="I43"/>
  <c r="H43"/>
  <c r="G43"/>
  <c r="F43"/>
  <c r="E43"/>
  <c r="X54"/>
  <c r="W54"/>
  <c r="V54"/>
  <c r="U54"/>
  <c r="T54"/>
  <c r="S54"/>
  <c r="R54"/>
  <c r="Q54"/>
  <c r="P54"/>
  <c r="O54"/>
  <c r="N54"/>
  <c r="M54"/>
  <c r="L54"/>
  <c r="K54"/>
  <c r="J54"/>
  <c r="I54"/>
  <c r="H54"/>
  <c r="G54"/>
  <c r="F54"/>
  <c r="E54"/>
  <c r="X91"/>
  <c r="W91"/>
  <c r="V91"/>
  <c r="U91"/>
  <c r="T91"/>
  <c r="S91"/>
  <c r="R91"/>
  <c r="Q91"/>
  <c r="P91"/>
  <c r="O91"/>
  <c r="N91"/>
  <c r="M91"/>
  <c r="L91"/>
  <c r="K91"/>
  <c r="J91"/>
  <c r="I91"/>
  <c r="H91"/>
  <c r="G91"/>
  <c r="F91"/>
  <c r="E91"/>
  <c r="X167" i="18"/>
  <c r="W167"/>
  <c r="V167"/>
  <c r="U167"/>
  <c r="T167"/>
  <c r="S167"/>
  <c r="R167"/>
  <c r="Q167"/>
  <c r="P167"/>
  <c r="O167"/>
  <c r="N167"/>
  <c r="M167"/>
  <c r="L167"/>
  <c r="K167"/>
  <c r="J167"/>
  <c r="I167"/>
  <c r="H167"/>
  <c r="G167"/>
  <c r="F167"/>
  <c r="E167"/>
  <c r="X128"/>
  <c r="W128"/>
  <c r="V128"/>
  <c r="U128"/>
  <c r="T128"/>
  <c r="S128"/>
  <c r="R128"/>
  <c r="Q128"/>
  <c r="P128"/>
  <c r="O128"/>
  <c r="N128"/>
  <c r="M128"/>
  <c r="L128"/>
  <c r="K128"/>
  <c r="J128"/>
  <c r="I128"/>
  <c r="H128"/>
  <c r="G128"/>
  <c r="F128"/>
  <c r="E128"/>
  <c r="X91"/>
  <c r="W91"/>
  <c r="V91"/>
  <c r="U91"/>
  <c r="T91"/>
  <c r="S91"/>
  <c r="R91"/>
  <c r="Q91"/>
  <c r="P91"/>
  <c r="O91"/>
  <c r="N91"/>
  <c r="M91"/>
  <c r="L91"/>
  <c r="K91"/>
  <c r="J91"/>
  <c r="I91"/>
  <c r="H91"/>
  <c r="G91"/>
  <c r="F91"/>
  <c r="E91"/>
  <c r="X80"/>
  <c r="W80"/>
  <c r="V80"/>
  <c r="U80"/>
  <c r="T80"/>
  <c r="S80"/>
  <c r="R80"/>
  <c r="Q80"/>
  <c r="P80"/>
  <c r="O80"/>
  <c r="N80"/>
  <c r="M80"/>
  <c r="L80"/>
  <c r="K80"/>
  <c r="J80"/>
  <c r="I80"/>
  <c r="H80"/>
  <c r="G80"/>
  <c r="F80"/>
  <c r="E80" l="1"/>
  <c r="C82" l="1"/>
  <c r="C83"/>
  <c r="C84"/>
  <c r="C81"/>
  <c r="D44"/>
  <c r="D45"/>
  <c r="D46"/>
  <c r="D43"/>
  <c r="D51" s="1"/>
  <c r="C34"/>
  <c r="C35"/>
  <c r="C36"/>
  <c r="C33"/>
  <c r="C24"/>
  <c r="C25"/>
  <c r="C26"/>
  <c r="C23"/>
  <c r="C9" i="17"/>
  <c r="C9" i="18"/>
  <c r="D8" i="15" l="1"/>
  <c r="D9"/>
  <c r="D10"/>
  <c r="D12" s="1"/>
  <c r="B14" i="16" s="1"/>
  <c r="D11" i="15"/>
  <c r="D13" s="1"/>
  <c r="B15" i="16" s="1"/>
  <c r="C8" i="15"/>
  <c r="C9"/>
  <c r="C10"/>
  <c r="C12" s="1"/>
  <c r="B12" s="1"/>
  <c r="C11"/>
  <c r="C13" s="1"/>
  <c r="B13" s="1"/>
  <c r="B84" i="18" l="1"/>
  <c r="H10" i="23" s="1"/>
  <c r="B82" i="18"/>
  <c r="H8" i="23" s="1"/>
  <c r="D167" i="18"/>
  <c r="A166" s="1"/>
  <c r="D128"/>
  <c r="X127"/>
  <c r="X166" s="1"/>
  <c r="W127"/>
  <c r="W166" s="1"/>
  <c r="V127"/>
  <c r="V166" s="1"/>
  <c r="U127"/>
  <c r="U166" s="1"/>
  <c r="T127"/>
  <c r="T166" s="1"/>
  <c r="S127"/>
  <c r="S166" s="1"/>
  <c r="R127"/>
  <c r="R166" s="1"/>
  <c r="Q127"/>
  <c r="Q166" s="1"/>
  <c r="P127"/>
  <c r="P166" s="1"/>
  <c r="O127"/>
  <c r="O166" s="1"/>
  <c r="N127"/>
  <c r="N166" s="1"/>
  <c r="M127"/>
  <c r="M166" s="1"/>
  <c r="L127"/>
  <c r="L166" s="1"/>
  <c r="K127"/>
  <c r="K166" s="1"/>
  <c r="J127"/>
  <c r="J166" s="1"/>
  <c r="I127"/>
  <c r="I166" s="1"/>
  <c r="H127"/>
  <c r="H166" s="1"/>
  <c r="G127"/>
  <c r="G166" s="1"/>
  <c r="F127"/>
  <c r="F166" s="1"/>
  <c r="E127"/>
  <c r="E166" s="1"/>
  <c r="D127"/>
  <c r="X90"/>
  <c r="W90"/>
  <c r="V90"/>
  <c r="U90"/>
  <c r="T90"/>
  <c r="S90"/>
  <c r="R90"/>
  <c r="Q90"/>
  <c r="P90"/>
  <c r="O90"/>
  <c r="N90"/>
  <c r="M90"/>
  <c r="L90"/>
  <c r="K90"/>
  <c r="J90"/>
  <c r="I90"/>
  <c r="H90"/>
  <c r="G90"/>
  <c r="F90"/>
  <c r="E90"/>
  <c r="B81"/>
  <c r="H7" i="23" s="1"/>
  <c r="X79" i="18"/>
  <c r="W79"/>
  <c r="V79"/>
  <c r="U79"/>
  <c r="T79"/>
  <c r="S79"/>
  <c r="R79"/>
  <c r="Q79"/>
  <c r="P79"/>
  <c r="O79"/>
  <c r="N79"/>
  <c r="M79"/>
  <c r="L79"/>
  <c r="K79"/>
  <c r="J79"/>
  <c r="I79"/>
  <c r="H79"/>
  <c r="G79"/>
  <c r="F79"/>
  <c r="E79"/>
  <c r="D50"/>
  <c r="D54"/>
  <c r="D52"/>
  <c r="D42"/>
  <c r="D63"/>
  <c r="D62"/>
  <c r="D61"/>
  <c r="D60"/>
  <c r="X12"/>
  <c r="W12"/>
  <c r="V12"/>
  <c r="U12"/>
  <c r="T12"/>
  <c r="S12"/>
  <c r="R12"/>
  <c r="Q12"/>
  <c r="P12"/>
  <c r="O12"/>
  <c r="N12"/>
  <c r="M12"/>
  <c r="L12"/>
  <c r="K12"/>
  <c r="J12"/>
  <c r="I12"/>
  <c r="H12"/>
  <c r="G12"/>
  <c r="F12"/>
  <c r="E12"/>
  <c r="C139" i="17"/>
  <c r="C138"/>
  <c r="C137"/>
  <c r="C136"/>
  <c r="C91"/>
  <c r="X90"/>
  <c r="W90"/>
  <c r="V90"/>
  <c r="U90"/>
  <c r="T90"/>
  <c r="S90"/>
  <c r="R90"/>
  <c r="Q90"/>
  <c r="P90"/>
  <c r="O90"/>
  <c r="N90"/>
  <c r="M90"/>
  <c r="L90"/>
  <c r="K90"/>
  <c r="J90"/>
  <c r="I90"/>
  <c r="H90"/>
  <c r="G90"/>
  <c r="F90"/>
  <c r="E90"/>
  <c r="X53"/>
  <c r="W53"/>
  <c r="V53"/>
  <c r="U53"/>
  <c r="T53"/>
  <c r="S53"/>
  <c r="R53"/>
  <c r="Q53"/>
  <c r="P53"/>
  <c r="O53"/>
  <c r="N53"/>
  <c r="M53"/>
  <c r="L53"/>
  <c r="K53"/>
  <c r="J53"/>
  <c r="I53"/>
  <c r="H53"/>
  <c r="G53"/>
  <c r="F53"/>
  <c r="E53"/>
  <c r="C47"/>
  <c r="B47"/>
  <c r="H6" i="23" s="1"/>
  <c r="A47" i="17"/>
  <c r="G6" i="23" s="1"/>
  <c r="C46" i="17"/>
  <c r="C45"/>
  <c r="B45"/>
  <c r="H4" i="23" s="1"/>
  <c r="A45" i="17"/>
  <c r="G4" i="23" s="1"/>
  <c r="C44" i="17"/>
  <c r="X42"/>
  <c r="W42"/>
  <c r="V42"/>
  <c r="U42"/>
  <c r="T42"/>
  <c r="S42"/>
  <c r="R42"/>
  <c r="Q42"/>
  <c r="P42"/>
  <c r="O42"/>
  <c r="N42"/>
  <c r="M42"/>
  <c r="L42"/>
  <c r="K42"/>
  <c r="J42"/>
  <c r="I42"/>
  <c r="H42"/>
  <c r="G42"/>
  <c r="F42"/>
  <c r="E42"/>
  <c r="C41"/>
  <c r="C36"/>
  <c r="C34"/>
  <c r="C32"/>
  <c r="C25"/>
  <c r="C24"/>
  <c r="C23"/>
  <c r="C33" s="1"/>
  <c r="C22"/>
  <c r="X12"/>
  <c r="W12"/>
  <c r="V12"/>
  <c r="U12"/>
  <c r="T12"/>
  <c r="S12"/>
  <c r="R12"/>
  <c r="Q12"/>
  <c r="P12"/>
  <c r="O12"/>
  <c r="N12"/>
  <c r="M12"/>
  <c r="L12"/>
  <c r="K12"/>
  <c r="J12"/>
  <c r="I12"/>
  <c r="H12"/>
  <c r="G12"/>
  <c r="F12"/>
  <c r="E12"/>
  <c r="A11"/>
  <c r="A36" i="16"/>
  <c r="A35"/>
  <c r="A34"/>
  <c r="A33"/>
  <c r="A32"/>
  <c r="A31"/>
  <c r="A30"/>
  <c r="A29"/>
  <c r="A28"/>
  <c r="A27"/>
  <c r="A26"/>
  <c r="A25"/>
  <c r="A24"/>
  <c r="A23"/>
  <c r="A22"/>
  <c r="A21"/>
  <c r="A20"/>
  <c r="A19"/>
  <c r="A18"/>
  <c r="A17"/>
  <c r="A16"/>
  <c r="A15"/>
  <c r="A14"/>
  <c r="B13"/>
  <c r="A13"/>
  <c r="B12"/>
  <c r="A12"/>
  <c r="B11"/>
  <c r="A11"/>
  <c r="B10"/>
  <c r="A10"/>
  <c r="D72" i="18" l="1"/>
  <c r="D69"/>
  <c r="D71"/>
  <c r="D70"/>
  <c r="A31" i="17"/>
  <c r="D53" i="18"/>
  <c r="A44" i="17"/>
  <c r="G3" i="23" s="1"/>
  <c r="B44" i="17"/>
  <c r="H3" i="23" s="1"/>
  <c r="A46" i="17"/>
  <c r="G5" i="23" s="1"/>
  <c r="B46" i="17"/>
  <c r="H5" i="23" s="1"/>
  <c r="A21" i="17"/>
  <c r="A82" i="18"/>
  <c r="G8" i="23" s="1"/>
  <c r="D68" i="18"/>
  <c r="D59"/>
  <c r="A83"/>
  <c r="G9" i="23" s="1"/>
  <c r="B83" i="18"/>
  <c r="Y96" s="1"/>
  <c r="A84"/>
  <c r="G10" i="23" s="1"/>
  <c r="A81" i="18"/>
  <c r="G7" i="23" s="1"/>
  <c r="B9" i="15"/>
  <c r="B10"/>
  <c r="B11"/>
  <c r="E92" i="18" l="1"/>
  <c r="H9" i="23"/>
  <c r="Y93" i="18"/>
  <c r="X92"/>
  <c r="Y94"/>
  <c r="Y95"/>
  <c r="Y92"/>
  <c r="Y129" s="1"/>
  <c r="P55" i="17"/>
  <c r="P92" s="1"/>
  <c r="H55"/>
  <c r="H92" s="1"/>
  <c r="U55"/>
  <c r="U92" s="1"/>
  <c r="T55"/>
  <c r="T92" s="1"/>
  <c r="B8" i="15"/>
  <c r="Y132" i="18" l="1"/>
  <c r="Y131"/>
  <c r="Y130"/>
  <c r="Y133"/>
  <c r="Q55" i="17"/>
  <c r="Q92" s="1"/>
  <c r="I55"/>
  <c r="I92" s="1"/>
  <c r="O55"/>
  <c r="O92" s="1"/>
  <c r="R55"/>
  <c r="R92" s="1"/>
  <c r="N55"/>
  <c r="N92" s="1"/>
  <c r="S55"/>
  <c r="S92" s="1"/>
  <c r="M55"/>
  <c r="M92" s="1"/>
  <c r="K55"/>
  <c r="K92" s="1"/>
  <c r="E55"/>
  <c r="E92" s="1"/>
  <c r="G55"/>
  <c r="G92" s="1"/>
  <c r="W55"/>
  <c r="W92" s="1"/>
  <c r="V55"/>
  <c r="V92" s="1"/>
  <c r="J55"/>
  <c r="J92" s="1"/>
  <c r="R92" i="18"/>
  <c r="R129" s="1"/>
  <c r="G92"/>
  <c r="G129" s="1"/>
  <c r="N92"/>
  <c r="N129" s="1"/>
  <c r="O92"/>
  <c r="O129" s="1"/>
  <c r="S92"/>
  <c r="S129" s="1"/>
  <c r="E129"/>
  <c r="J92"/>
  <c r="J129" s="1"/>
  <c r="T92"/>
  <c r="T129" s="1"/>
  <c r="X129"/>
  <c r="L55" i="17"/>
  <c r="L92" s="1"/>
  <c r="X55"/>
  <c r="X92" s="1"/>
  <c r="F55"/>
  <c r="F92" s="1"/>
  <c r="Y92" l="1"/>
  <c r="H92" i="18"/>
  <c r="H129" s="1"/>
  <c r="L92"/>
  <c r="L129" s="1"/>
  <c r="F92"/>
  <c r="F129" s="1"/>
  <c r="M92"/>
  <c r="M129" s="1"/>
  <c r="I92"/>
  <c r="I129" s="1"/>
  <c r="V92"/>
  <c r="V129" s="1"/>
  <c r="E168"/>
  <c r="P92"/>
  <c r="P129" s="1"/>
  <c r="Q92"/>
  <c r="Q129" s="1"/>
  <c r="W92"/>
  <c r="W129" s="1"/>
  <c r="U92"/>
  <c r="U129" s="1"/>
  <c r="K92"/>
  <c r="K129" s="1"/>
  <c r="B11" i="10"/>
  <c r="B10"/>
  <c r="C41" i="3"/>
  <c r="B41" s="1"/>
  <c r="D41"/>
  <c r="G41"/>
  <c r="H41"/>
  <c r="I41"/>
  <c r="J41"/>
  <c r="K41"/>
  <c r="L41"/>
  <c r="M41"/>
  <c r="N41"/>
  <c r="O41"/>
  <c r="P41"/>
  <c r="Q41"/>
  <c r="R41"/>
  <c r="C42"/>
  <c r="D42"/>
  <c r="G42"/>
  <c r="H42"/>
  <c r="I42"/>
  <c r="J42"/>
  <c r="K42"/>
  <c r="L42"/>
  <c r="M42"/>
  <c r="N42"/>
  <c r="O42"/>
  <c r="P42"/>
  <c r="Q42"/>
  <c r="R42"/>
  <c r="C43"/>
  <c r="D43"/>
  <c r="B43" s="1"/>
  <c r="G43"/>
  <c r="H43"/>
  <c r="I43"/>
  <c r="J43"/>
  <c r="K43"/>
  <c r="L43"/>
  <c r="M43"/>
  <c r="N43"/>
  <c r="O43"/>
  <c r="P43"/>
  <c r="Q43"/>
  <c r="R43"/>
  <c r="D32"/>
  <c r="H32"/>
  <c r="I32"/>
  <c r="K32"/>
  <c r="L32"/>
  <c r="M32"/>
  <c r="N32"/>
  <c r="O32"/>
  <c r="P32"/>
  <c r="R32"/>
  <c r="D33"/>
  <c r="H33"/>
  <c r="I33"/>
  <c r="K33"/>
  <c r="L33"/>
  <c r="M33"/>
  <c r="N33"/>
  <c r="O33"/>
  <c r="P33"/>
  <c r="R33"/>
  <c r="D34"/>
  <c r="H34"/>
  <c r="I34"/>
  <c r="K34"/>
  <c r="L34"/>
  <c r="M34"/>
  <c r="N34"/>
  <c r="O34"/>
  <c r="P34"/>
  <c r="R34"/>
  <c r="D35"/>
  <c r="H35"/>
  <c r="I35"/>
  <c r="K35"/>
  <c r="L35"/>
  <c r="M35"/>
  <c r="N35"/>
  <c r="O35"/>
  <c r="P35"/>
  <c r="R35"/>
  <c r="D36"/>
  <c r="H36"/>
  <c r="I36"/>
  <c r="K36"/>
  <c r="L36"/>
  <c r="M36"/>
  <c r="N36"/>
  <c r="O36"/>
  <c r="P36"/>
  <c r="R36"/>
  <c r="D37"/>
  <c r="F37"/>
  <c r="H37"/>
  <c r="I37"/>
  <c r="K37"/>
  <c r="L37"/>
  <c r="M37"/>
  <c r="N37"/>
  <c r="O37"/>
  <c r="P37"/>
  <c r="R37"/>
  <c r="D38"/>
  <c r="G38"/>
  <c r="H38"/>
  <c r="I38"/>
  <c r="J38"/>
  <c r="K38"/>
  <c r="L38"/>
  <c r="M38"/>
  <c r="N38"/>
  <c r="O38"/>
  <c r="P38"/>
  <c r="Q38"/>
  <c r="R38"/>
  <c r="D39"/>
  <c r="F39"/>
  <c r="G39"/>
  <c r="H39"/>
  <c r="I39"/>
  <c r="J39"/>
  <c r="K39"/>
  <c r="L39"/>
  <c r="M39"/>
  <c r="N39"/>
  <c r="O39"/>
  <c r="P39"/>
  <c r="Q39"/>
  <c r="R39"/>
  <c r="D40"/>
  <c r="G40"/>
  <c r="H40"/>
  <c r="I40"/>
  <c r="J40"/>
  <c r="K40"/>
  <c r="L40"/>
  <c r="M40"/>
  <c r="N40"/>
  <c r="O40"/>
  <c r="P40"/>
  <c r="Q40"/>
  <c r="R40"/>
  <c r="C33"/>
  <c r="B33" s="1"/>
  <c r="C34"/>
  <c r="B34" s="1"/>
  <c r="C35"/>
  <c r="B35" s="1"/>
  <c r="C36"/>
  <c r="B36" s="1"/>
  <c r="C37"/>
  <c r="B37" s="1"/>
  <c r="C38"/>
  <c r="C39"/>
  <c r="B39" s="1"/>
  <c r="C40"/>
  <c r="B40" s="1"/>
  <c r="C32"/>
  <c r="C31"/>
  <c r="D31"/>
  <c r="B31" s="1"/>
  <c r="G31"/>
  <c r="H31"/>
  <c r="I31"/>
  <c r="J31"/>
  <c r="K31"/>
  <c r="L31"/>
  <c r="M31"/>
  <c r="N31"/>
  <c r="O31"/>
  <c r="P31"/>
  <c r="Q31"/>
  <c r="R31"/>
  <c r="C29"/>
  <c r="B29" s="1"/>
  <c r="D29"/>
  <c r="F29"/>
  <c r="G29"/>
  <c r="H29"/>
  <c r="I29"/>
  <c r="J29"/>
  <c r="K29"/>
  <c r="L29"/>
  <c r="M29"/>
  <c r="N29"/>
  <c r="O29"/>
  <c r="P29"/>
  <c r="Q29"/>
  <c r="R29"/>
  <c r="C30"/>
  <c r="D30"/>
  <c r="G30"/>
  <c r="H30"/>
  <c r="I30"/>
  <c r="J30"/>
  <c r="K30"/>
  <c r="L30"/>
  <c r="M30"/>
  <c r="N30"/>
  <c r="O30"/>
  <c r="P30"/>
  <c r="Q30"/>
  <c r="R30"/>
  <c r="C21"/>
  <c r="D21"/>
  <c r="H21"/>
  <c r="I21"/>
  <c r="K21"/>
  <c r="L21"/>
  <c r="M21"/>
  <c r="N21"/>
  <c r="O21"/>
  <c r="P21"/>
  <c r="R21"/>
  <c r="C22"/>
  <c r="D22"/>
  <c r="H22"/>
  <c r="I22"/>
  <c r="K22"/>
  <c r="L22"/>
  <c r="M22"/>
  <c r="N22"/>
  <c r="O22"/>
  <c r="P22"/>
  <c r="R22"/>
  <c r="C23"/>
  <c r="B23" s="1"/>
  <c r="D23"/>
  <c r="F23"/>
  <c r="H23"/>
  <c r="I23"/>
  <c r="K23"/>
  <c r="L23"/>
  <c r="M23"/>
  <c r="N23"/>
  <c r="O23"/>
  <c r="P23"/>
  <c r="R23"/>
  <c r="C24"/>
  <c r="B24" s="1"/>
  <c r="D24"/>
  <c r="H24"/>
  <c r="I24"/>
  <c r="K24"/>
  <c r="L24"/>
  <c r="M24"/>
  <c r="N24"/>
  <c r="O24"/>
  <c r="P24"/>
  <c r="R24"/>
  <c r="C25"/>
  <c r="D25"/>
  <c r="F25"/>
  <c r="H25"/>
  <c r="I25"/>
  <c r="K25"/>
  <c r="L25"/>
  <c r="M25"/>
  <c r="N25"/>
  <c r="O25"/>
  <c r="P25"/>
  <c r="R25"/>
  <c r="C26"/>
  <c r="D26"/>
  <c r="G26"/>
  <c r="H26"/>
  <c r="I26"/>
  <c r="J26"/>
  <c r="K26"/>
  <c r="L26"/>
  <c r="M26"/>
  <c r="N26"/>
  <c r="O26"/>
  <c r="P26"/>
  <c r="Q26"/>
  <c r="R26"/>
  <c r="C27"/>
  <c r="D27"/>
  <c r="G27"/>
  <c r="H27"/>
  <c r="I27"/>
  <c r="J27"/>
  <c r="K27"/>
  <c r="L27"/>
  <c r="M27"/>
  <c r="N27"/>
  <c r="O27"/>
  <c r="P27"/>
  <c r="Q27"/>
  <c r="R27"/>
  <c r="C28"/>
  <c r="B28" s="1"/>
  <c r="D28"/>
  <c r="G28"/>
  <c r="H28"/>
  <c r="I28"/>
  <c r="J28"/>
  <c r="K28"/>
  <c r="L28"/>
  <c r="M28"/>
  <c r="N28"/>
  <c r="O28"/>
  <c r="P28"/>
  <c r="Q28"/>
  <c r="R28"/>
  <c r="D20"/>
  <c r="H20"/>
  <c r="I20"/>
  <c r="K20"/>
  <c r="L20"/>
  <c r="M20"/>
  <c r="N20"/>
  <c r="O20"/>
  <c r="P20"/>
  <c r="R20"/>
  <c r="C20"/>
  <c r="AZ29" i="14"/>
  <c r="F43" i="3" s="1"/>
  <c r="AZ28" i="14"/>
  <c r="F42" i="3" s="1"/>
  <c r="AZ27" i="14"/>
  <c r="F41" i="3" s="1"/>
  <c r="AZ26" i="14"/>
  <c r="F40" i="3" s="1"/>
  <c r="AZ25" i="14"/>
  <c r="AZ24"/>
  <c r="F38" i="3" s="1"/>
  <c r="AZ23" i="14"/>
  <c r="AZ22"/>
  <c r="F36" i="3" s="1"/>
  <c r="AZ21" i="14"/>
  <c r="F35" i="3" s="1"/>
  <c r="AZ20" i="14"/>
  <c r="F34" i="3" s="1"/>
  <c r="AZ19" i="14"/>
  <c r="F33" i="3" s="1"/>
  <c r="AZ18" i="14"/>
  <c r="F32" i="3" s="1"/>
  <c r="AZ29" i="13"/>
  <c r="F31" i="3" s="1"/>
  <c r="AZ28" i="13"/>
  <c r="F30" i="3" s="1"/>
  <c r="AZ27" i="13"/>
  <c r="AZ26"/>
  <c r="F28" i="3" s="1"/>
  <c r="AZ25" i="13"/>
  <c r="F27" i="3" s="1"/>
  <c r="AZ24" i="13"/>
  <c r="F26" i="3" s="1"/>
  <c r="AZ23" i="13"/>
  <c r="AZ22"/>
  <c r="F24" i="3" s="1"/>
  <c r="AZ21" i="13"/>
  <c r="AZ20"/>
  <c r="F22" i="3" s="1"/>
  <c r="AZ19" i="13"/>
  <c r="F21" i="3" s="1"/>
  <c r="AZ18" i="13"/>
  <c r="F20" i="3" s="1"/>
  <c r="C24" i="14"/>
  <c r="D24" s="1"/>
  <c r="B24"/>
  <c r="A24"/>
  <c r="AK23"/>
  <c r="AK22"/>
  <c r="AK21"/>
  <c r="AK20"/>
  <c r="AK19"/>
  <c r="A19"/>
  <c r="AK18"/>
  <c r="C18"/>
  <c r="B18"/>
  <c r="B24" i="13"/>
  <c r="A24"/>
  <c r="C24" s="1"/>
  <c r="AK23"/>
  <c r="AK22"/>
  <c r="AK21"/>
  <c r="AK20"/>
  <c r="B20"/>
  <c r="A20"/>
  <c r="A26" s="1"/>
  <c r="AK19"/>
  <c r="A19"/>
  <c r="A25" s="1"/>
  <c r="AK18"/>
  <c r="B18"/>
  <c r="C18" s="1"/>
  <c r="D43" i="12"/>
  <c r="D44" s="1"/>
  <c r="D43" i="11"/>
  <c r="D44" s="1"/>
  <c r="D43" i="1"/>
  <c r="O4" i="6" s="1"/>
  <c r="D25" i="12"/>
  <c r="H20"/>
  <c r="H19"/>
  <c r="H16"/>
  <c r="H15"/>
  <c r="H14"/>
  <c r="D14"/>
  <c r="D15" s="1"/>
  <c r="F15" s="1"/>
  <c r="D25" i="11"/>
  <c r="H20"/>
  <c r="H19"/>
  <c r="H16"/>
  <c r="H15"/>
  <c r="H14"/>
  <c r="D14"/>
  <c r="D15" s="1"/>
  <c r="F15" s="1"/>
  <c r="B12" i="10"/>
  <c r="B9"/>
  <c r="B26" i="3" l="1"/>
  <c r="B25"/>
  <c r="B30"/>
  <c r="B20"/>
  <c r="B32"/>
  <c r="F14" i="11"/>
  <c r="B27" i="3"/>
  <c r="B22"/>
  <c r="B21"/>
  <c r="B38"/>
  <c r="B42"/>
  <c r="F14" i="12"/>
  <c r="D16"/>
  <c r="F16" s="1"/>
  <c r="D16" i="11"/>
  <c r="F16" s="1"/>
  <c r="O4" i="14"/>
  <c r="F168" i="18"/>
  <c r="O4" i="13"/>
  <c r="A25" i="14"/>
  <c r="B19"/>
  <c r="A20"/>
  <c r="D18"/>
  <c r="E24"/>
  <c r="I24" s="1"/>
  <c r="B25" i="13"/>
  <c r="B26"/>
  <c r="D18"/>
  <c r="D24"/>
  <c r="B19"/>
  <c r="C20"/>
  <c r="A21"/>
  <c r="G168" i="18" l="1"/>
  <c r="B25" i="14"/>
  <c r="B20"/>
  <c r="A26"/>
  <c r="A21"/>
  <c r="E18"/>
  <c r="C19"/>
  <c r="C19" i="13"/>
  <c r="C21"/>
  <c r="B21"/>
  <c r="A22"/>
  <c r="A27"/>
  <c r="E18"/>
  <c r="E24"/>
  <c r="I24" s="1"/>
  <c r="C26"/>
  <c r="C25"/>
  <c r="D20"/>
  <c r="H168" i="18" l="1"/>
  <c r="D19" i="14"/>
  <c r="E19"/>
  <c r="I18"/>
  <c r="AW18" s="1"/>
  <c r="L18"/>
  <c r="B26"/>
  <c r="B21"/>
  <c r="A22"/>
  <c r="C21"/>
  <c r="A27"/>
  <c r="C25"/>
  <c r="C20"/>
  <c r="E26" i="13"/>
  <c r="I26" s="1"/>
  <c r="D26"/>
  <c r="A23"/>
  <c r="B22"/>
  <c r="A28"/>
  <c r="E19"/>
  <c r="D19"/>
  <c r="B27"/>
  <c r="D25"/>
  <c r="L18"/>
  <c r="I18"/>
  <c r="AW18" s="1"/>
  <c r="E21"/>
  <c r="D21"/>
  <c r="E20"/>
  <c r="I168" i="18" l="1"/>
  <c r="D21" i="14"/>
  <c r="I19"/>
  <c r="AW19" s="1"/>
  <c r="L19"/>
  <c r="E25"/>
  <c r="I25" s="1"/>
  <c r="D25"/>
  <c r="B27"/>
  <c r="AW24"/>
  <c r="AO18"/>
  <c r="D20"/>
  <c r="E20"/>
  <c r="A28"/>
  <c r="B22"/>
  <c r="A23"/>
  <c r="C22"/>
  <c r="C26"/>
  <c r="L21" i="13"/>
  <c r="I21"/>
  <c r="AW21" s="1"/>
  <c r="L20"/>
  <c r="I20"/>
  <c r="AW20" s="1"/>
  <c r="B28"/>
  <c r="L19"/>
  <c r="I19"/>
  <c r="AW19" s="1"/>
  <c r="A29"/>
  <c r="B23"/>
  <c r="AW24"/>
  <c r="AO18"/>
  <c r="E25"/>
  <c r="I25" s="1"/>
  <c r="C27"/>
  <c r="C22"/>
  <c r="J168" i="18" l="1"/>
  <c r="D22" i="14"/>
  <c r="I20"/>
  <c r="AW20" s="1"/>
  <c r="L20"/>
  <c r="B28"/>
  <c r="D26"/>
  <c r="A29"/>
  <c r="B23"/>
  <c r="C23"/>
  <c r="AW25"/>
  <c r="AO19"/>
  <c r="E21"/>
  <c r="C27"/>
  <c r="D22" i="13"/>
  <c r="E27"/>
  <c r="I27" s="1"/>
  <c r="D27"/>
  <c r="AW25"/>
  <c r="AO19"/>
  <c r="AW26"/>
  <c r="AO20"/>
  <c r="B29"/>
  <c r="C29"/>
  <c r="AO21"/>
  <c r="AW27"/>
  <c r="C23"/>
  <c r="C28"/>
  <c r="K168" i="18" l="1"/>
  <c r="I21" i="14"/>
  <c r="AW21" s="1"/>
  <c r="L21"/>
  <c r="B29"/>
  <c r="C29"/>
  <c r="AO20"/>
  <c r="AW26"/>
  <c r="E26"/>
  <c r="I26" s="1"/>
  <c r="C28"/>
  <c r="E22"/>
  <c r="D27"/>
  <c r="D23"/>
  <c r="E23"/>
  <c r="D29" i="13"/>
  <c r="D28"/>
  <c r="E23"/>
  <c r="D23"/>
  <c r="E22"/>
  <c r="L168" i="18" l="1"/>
  <c r="I23" i="14"/>
  <c r="AW23" s="1"/>
  <c r="L23"/>
  <c r="AO21"/>
  <c r="AW27"/>
  <c r="D28"/>
  <c r="E28"/>
  <c r="I28" s="1"/>
  <c r="E27"/>
  <c r="I27" s="1"/>
  <c r="I22"/>
  <c r="AW22" s="1"/>
  <c r="L22"/>
  <c r="D29"/>
  <c r="L23" i="13"/>
  <c r="I23"/>
  <c r="AW23" s="1"/>
  <c r="I22"/>
  <c r="AW22" s="1"/>
  <c r="L22"/>
  <c r="E28"/>
  <c r="I28" s="1"/>
  <c r="E29"/>
  <c r="I29" s="1"/>
  <c r="M168" i="18" l="1"/>
  <c r="AW28" i="14"/>
  <c r="AO22"/>
  <c r="AW29"/>
  <c r="AO23"/>
  <c r="E29"/>
  <c r="I29" s="1"/>
  <c r="AW29" i="13"/>
  <c r="AO23"/>
  <c r="AO22"/>
  <c r="AW28"/>
  <c r="N168" i="18" l="1"/>
  <c r="O168" l="1"/>
  <c r="P168" l="1"/>
  <c r="AW22" i="6"/>
  <c r="AW23"/>
  <c r="AW21"/>
  <c r="AW19"/>
  <c r="AW20"/>
  <c r="AW18"/>
  <c r="D14" i="1"/>
  <c r="R7" i="5" s="1"/>
  <c r="C6" i="2" s="1"/>
  <c r="J15"/>
  <c r="I15"/>
  <c r="H15"/>
  <c r="E15"/>
  <c r="D15"/>
  <c r="C15"/>
  <c r="E7"/>
  <c r="D7"/>
  <c r="O383" i="5"/>
  <c r="O382"/>
  <c r="O381"/>
  <c r="O380"/>
  <c r="O379"/>
  <c r="O378"/>
  <c r="O377"/>
  <c r="O376"/>
  <c r="O375"/>
  <c r="O374"/>
  <c r="O373"/>
  <c r="O372"/>
  <c r="O371"/>
  <c r="O370"/>
  <c r="O369"/>
  <c r="O368"/>
  <c r="O367"/>
  <c r="O366"/>
  <c r="O365"/>
  <c r="O364"/>
  <c r="O363"/>
  <c r="O362"/>
  <c r="O361"/>
  <c r="O360"/>
  <c r="O359"/>
  <c r="O358"/>
  <c r="O357"/>
  <c r="O356"/>
  <c r="O355"/>
  <c r="O354"/>
  <c r="O353"/>
  <c r="O352"/>
  <c r="O351"/>
  <c r="O350"/>
  <c r="O349"/>
  <c r="O348"/>
  <c r="O347"/>
  <c r="O346"/>
  <c r="O345"/>
  <c r="O344"/>
  <c r="O343"/>
  <c r="O342"/>
  <c r="O341"/>
  <c r="O340"/>
  <c r="O339"/>
  <c r="O338"/>
  <c r="O337"/>
  <c r="O336"/>
  <c r="O335"/>
  <c r="O334"/>
  <c r="O333"/>
  <c r="O332"/>
  <c r="O331"/>
  <c r="O330"/>
  <c r="O329"/>
  <c r="O328"/>
  <c r="O327"/>
  <c r="O326"/>
  <c r="O325"/>
  <c r="O324"/>
  <c r="O323"/>
  <c r="O322"/>
  <c r="O321"/>
  <c r="O320"/>
  <c r="O319"/>
  <c r="O318"/>
  <c r="O317"/>
  <c r="O316"/>
  <c r="O315"/>
  <c r="O314"/>
  <c r="O313"/>
  <c r="O312"/>
  <c r="O311"/>
  <c r="O310"/>
  <c r="O309"/>
  <c r="O308"/>
  <c r="O307"/>
  <c r="O306"/>
  <c r="O305"/>
  <c r="O304"/>
  <c r="O303"/>
  <c r="O302"/>
  <c r="O301"/>
  <c r="O300"/>
  <c r="O299"/>
  <c r="O298"/>
  <c r="O297"/>
  <c r="O296"/>
  <c r="O295"/>
  <c r="O294"/>
  <c r="O293"/>
  <c r="O292"/>
  <c r="O291"/>
  <c r="O290"/>
  <c r="O289"/>
  <c r="O288"/>
  <c r="O287"/>
  <c r="O286"/>
  <c r="O285"/>
  <c r="O284"/>
  <c r="O283"/>
  <c r="O282"/>
  <c r="O281"/>
  <c r="O280"/>
  <c r="O279"/>
  <c r="O278"/>
  <c r="O277"/>
  <c r="O276"/>
  <c r="O275"/>
  <c r="O274"/>
  <c r="O273"/>
  <c r="O272"/>
  <c r="O271"/>
  <c r="O270"/>
  <c r="O269"/>
  <c r="O268"/>
  <c r="O267"/>
  <c r="O266"/>
  <c r="O265"/>
  <c r="O264"/>
  <c r="O263"/>
  <c r="O262"/>
  <c r="O261"/>
  <c r="O260"/>
  <c r="O259"/>
  <c r="O258"/>
  <c r="O257"/>
  <c r="O256"/>
  <c r="O255"/>
  <c r="O254"/>
  <c r="O253"/>
  <c r="O252"/>
  <c r="O251"/>
  <c r="O250"/>
  <c r="O249"/>
  <c r="O248"/>
  <c r="O247"/>
  <c r="O246"/>
  <c r="O245"/>
  <c r="O244"/>
  <c r="O243"/>
  <c r="O242"/>
  <c r="O241"/>
  <c r="O240"/>
  <c r="O239"/>
  <c r="O238"/>
  <c r="O237"/>
  <c r="O236"/>
  <c r="O235"/>
  <c r="O234"/>
  <c r="O233"/>
  <c r="O232"/>
  <c r="O231"/>
  <c r="O230"/>
  <c r="O229"/>
  <c r="O228"/>
  <c r="O227"/>
  <c r="O226"/>
  <c r="O225"/>
  <c r="O224"/>
  <c r="O223"/>
  <c r="O222"/>
  <c r="O221"/>
  <c r="O220"/>
  <c r="O219"/>
  <c r="O218"/>
  <c r="O217"/>
  <c r="O216"/>
  <c r="O215"/>
  <c r="O214"/>
  <c r="O213"/>
  <c r="O212"/>
  <c r="O211"/>
  <c r="O210"/>
  <c r="O209"/>
  <c r="O208"/>
  <c r="O207"/>
  <c r="O206"/>
  <c r="O205"/>
  <c r="O204"/>
  <c r="O203"/>
  <c r="O202"/>
  <c r="O201"/>
  <c r="O200"/>
  <c r="O199"/>
  <c r="O198"/>
  <c r="O197"/>
  <c r="O196"/>
  <c r="O195"/>
  <c r="O194"/>
  <c r="O193"/>
  <c r="O192"/>
  <c r="O191"/>
  <c r="O190"/>
  <c r="O189"/>
  <c r="O188"/>
  <c r="O187"/>
  <c r="O186"/>
  <c r="O185"/>
  <c r="O184"/>
  <c r="O183"/>
  <c r="O182"/>
  <c r="O181"/>
  <c r="O180"/>
  <c r="O179"/>
  <c r="O178"/>
  <c r="O177"/>
  <c r="O176"/>
  <c r="O175"/>
  <c r="O174"/>
  <c r="O173"/>
  <c r="O172"/>
  <c r="O171"/>
  <c r="O170"/>
  <c r="O169"/>
  <c r="O168"/>
  <c r="O167"/>
  <c r="O166"/>
  <c r="O165"/>
  <c r="O164"/>
  <c r="O163"/>
  <c r="O162"/>
  <c r="O161"/>
  <c r="O160"/>
  <c r="O159"/>
  <c r="O158"/>
  <c r="O157"/>
  <c r="O156"/>
  <c r="O155"/>
  <c r="O154"/>
  <c r="O153"/>
  <c r="O152"/>
  <c r="O151"/>
  <c r="O150"/>
  <c r="O149"/>
  <c r="O148"/>
  <c r="O147"/>
  <c r="O146"/>
  <c r="O145"/>
  <c r="O144"/>
  <c r="O143"/>
  <c r="O142"/>
  <c r="O141"/>
  <c r="O140"/>
  <c r="O139"/>
  <c r="O138"/>
  <c r="O137"/>
  <c r="O136"/>
  <c r="O135"/>
  <c r="O134"/>
  <c r="O133"/>
  <c r="O132"/>
  <c r="O131"/>
  <c r="O130"/>
  <c r="O129"/>
  <c r="O128"/>
  <c r="O127"/>
  <c r="O126"/>
  <c r="O125"/>
  <c r="O124"/>
  <c r="O123"/>
  <c r="O122"/>
  <c r="O121"/>
  <c r="O120"/>
  <c r="O119"/>
  <c r="O118"/>
  <c r="O117"/>
  <c r="O116"/>
  <c r="O115"/>
  <c r="O114"/>
  <c r="O113"/>
  <c r="O112"/>
  <c r="O111"/>
  <c r="O110"/>
  <c r="O109"/>
  <c r="O108"/>
  <c r="O107"/>
  <c r="O106"/>
  <c r="O105"/>
  <c r="O104"/>
  <c r="O103"/>
  <c r="O102"/>
  <c r="O101"/>
  <c r="O100"/>
  <c r="O99"/>
  <c r="O98"/>
  <c r="O97"/>
  <c r="O96"/>
  <c r="O95"/>
  <c r="O94"/>
  <c r="O93"/>
  <c r="O92"/>
  <c r="O91"/>
  <c r="O90"/>
  <c r="O89"/>
  <c r="O88"/>
  <c r="O87"/>
  <c r="O86"/>
  <c r="O85"/>
  <c r="O84"/>
  <c r="O83"/>
  <c r="O82"/>
  <c r="O81"/>
  <c r="O80"/>
  <c r="O79"/>
  <c r="O78"/>
  <c r="O77"/>
  <c r="O76"/>
  <c r="O75"/>
  <c r="O74"/>
  <c r="O73"/>
  <c r="O72"/>
  <c r="O71"/>
  <c r="O70"/>
  <c r="O69"/>
  <c r="O68"/>
  <c r="O67"/>
  <c r="O66"/>
  <c r="O65"/>
  <c r="O64"/>
  <c r="O63"/>
  <c r="O62"/>
  <c r="O61"/>
  <c r="O60"/>
  <c r="O59"/>
  <c r="O58"/>
  <c r="O57"/>
  <c r="O56"/>
  <c r="O55"/>
  <c r="O54"/>
  <c r="O53"/>
  <c r="O52"/>
  <c r="O51"/>
  <c r="O50"/>
  <c r="O49"/>
  <c r="O48"/>
  <c r="O47"/>
  <c r="O46"/>
  <c r="O45"/>
  <c r="O44"/>
  <c r="O43"/>
  <c r="O42"/>
  <c r="O41"/>
  <c r="O40"/>
  <c r="O39"/>
  <c r="O38"/>
  <c r="O37"/>
  <c r="O36"/>
  <c r="O35"/>
  <c r="O34"/>
  <c r="O33"/>
  <c r="O32"/>
  <c r="O31"/>
  <c r="O30"/>
  <c r="O29"/>
  <c r="O28"/>
  <c r="O27"/>
  <c r="O26"/>
  <c r="O25"/>
  <c r="O24"/>
  <c r="O23"/>
  <c r="O22"/>
  <c r="O21"/>
  <c r="U11"/>
  <c r="E5" i="2" s="1"/>
  <c r="T11" i="5"/>
  <c r="D5" i="2" s="1"/>
  <c r="S11" i="5"/>
  <c r="H5" i="2" s="1"/>
  <c r="R11" i="5"/>
  <c r="C5" i="2" s="1"/>
  <c r="S8" i="5"/>
  <c r="H7" i="2" s="1"/>
  <c r="R8" i="5"/>
  <c r="C7" i="2" s="1"/>
  <c r="S7" i="5"/>
  <c r="H6" i="2" s="1"/>
  <c r="U6" i="5"/>
  <c r="E2" i="2" s="1"/>
  <c r="T6" i="5"/>
  <c r="D2" i="2" s="1"/>
  <c r="S6" i="5"/>
  <c r="H2" i="2" s="1"/>
  <c r="R6" i="5"/>
  <c r="C2" i="2" s="1"/>
  <c r="AZ29" i="6"/>
  <c r="AZ28"/>
  <c r="AZ27"/>
  <c r="AZ26"/>
  <c r="AZ25"/>
  <c r="AZ24"/>
  <c r="AZ23"/>
  <c r="AZ22"/>
  <c r="AZ21"/>
  <c r="AZ20"/>
  <c r="AZ19"/>
  <c r="AZ18"/>
  <c r="R19" i="3"/>
  <c r="Q19"/>
  <c r="P19"/>
  <c r="O19"/>
  <c r="N19"/>
  <c r="M19"/>
  <c r="L19"/>
  <c r="K19"/>
  <c r="J19"/>
  <c r="I19"/>
  <c r="H19"/>
  <c r="G19"/>
  <c r="D19"/>
  <c r="R18"/>
  <c r="Q18"/>
  <c r="P18"/>
  <c r="O18"/>
  <c r="N18"/>
  <c r="M18"/>
  <c r="L18"/>
  <c r="K18"/>
  <c r="J18"/>
  <c r="I18"/>
  <c r="H18"/>
  <c r="G18"/>
  <c r="D18"/>
  <c r="R17"/>
  <c r="Q17"/>
  <c r="P17"/>
  <c r="O17"/>
  <c r="N17"/>
  <c r="M17"/>
  <c r="L17"/>
  <c r="K17"/>
  <c r="J17"/>
  <c r="I17"/>
  <c r="H17"/>
  <c r="G17"/>
  <c r="D17"/>
  <c r="R16"/>
  <c r="Q16"/>
  <c r="P16"/>
  <c r="O16"/>
  <c r="N16"/>
  <c r="M16"/>
  <c r="L16"/>
  <c r="K16"/>
  <c r="J16"/>
  <c r="I16"/>
  <c r="H16"/>
  <c r="G16"/>
  <c r="D16"/>
  <c r="D8" i="10" s="1"/>
  <c r="D7" i="15" s="1"/>
  <c r="R15" i="3"/>
  <c r="Q15"/>
  <c r="P15"/>
  <c r="O15"/>
  <c r="N15"/>
  <c r="M15"/>
  <c r="L15"/>
  <c r="K15"/>
  <c r="J15"/>
  <c r="I15"/>
  <c r="H15"/>
  <c r="G15"/>
  <c r="D15"/>
  <c r="R14"/>
  <c r="Q14"/>
  <c r="P14"/>
  <c r="O14"/>
  <c r="N14"/>
  <c r="M14"/>
  <c r="L14"/>
  <c r="K14"/>
  <c r="J14"/>
  <c r="I14"/>
  <c r="H14"/>
  <c r="G14"/>
  <c r="D14"/>
  <c r="R13"/>
  <c r="P13"/>
  <c r="O13"/>
  <c r="N13"/>
  <c r="M13"/>
  <c r="L13"/>
  <c r="K13"/>
  <c r="I13"/>
  <c r="H13"/>
  <c r="D13"/>
  <c r="R12"/>
  <c r="P12"/>
  <c r="O12"/>
  <c r="N12"/>
  <c r="M12"/>
  <c r="L12"/>
  <c r="K12"/>
  <c r="I12"/>
  <c r="H12"/>
  <c r="D12"/>
  <c r="R11"/>
  <c r="P11"/>
  <c r="O11"/>
  <c r="N11"/>
  <c r="M11"/>
  <c r="L11"/>
  <c r="K11"/>
  <c r="I11"/>
  <c r="H11"/>
  <c r="D11"/>
  <c r="R10"/>
  <c r="P10"/>
  <c r="O10"/>
  <c r="N10"/>
  <c r="M10"/>
  <c r="L10"/>
  <c r="K10"/>
  <c r="I10"/>
  <c r="H10"/>
  <c r="D10"/>
  <c r="D7" i="10" s="1"/>
  <c r="R9" i="3"/>
  <c r="P9"/>
  <c r="O9"/>
  <c r="N9"/>
  <c r="M9"/>
  <c r="L9"/>
  <c r="K9"/>
  <c r="I9"/>
  <c r="H9"/>
  <c r="D9"/>
  <c r="R8"/>
  <c r="P8"/>
  <c r="O8"/>
  <c r="N8"/>
  <c r="M8"/>
  <c r="L8"/>
  <c r="K8"/>
  <c r="I8"/>
  <c r="H8"/>
  <c r="D8"/>
  <c r="D44" i="1"/>
  <c r="D25"/>
  <c r="B8" i="16" l="1"/>
  <c r="D6" i="15"/>
  <c r="B9" i="16"/>
  <c r="K3" i="6"/>
  <c r="K3" i="14"/>
  <c r="K3" i="13"/>
  <c r="K2" i="6"/>
  <c r="K2" i="13"/>
  <c r="K2" i="14"/>
  <c r="H2" i="6"/>
  <c r="H2" i="14"/>
  <c r="H2" i="13"/>
  <c r="Q168" i="18"/>
  <c r="AK23" i="6"/>
  <c r="AK22"/>
  <c r="AK21"/>
  <c r="AK20"/>
  <c r="AK19"/>
  <c r="AK18"/>
  <c r="S383" i="5"/>
  <c r="S380"/>
  <c r="S379"/>
  <c r="S376"/>
  <c r="S375"/>
  <c r="S372"/>
  <c r="S371"/>
  <c r="S368"/>
  <c r="S367"/>
  <c r="S364"/>
  <c r="S363"/>
  <c r="S360"/>
  <c r="S359"/>
  <c r="S356"/>
  <c r="S355"/>
  <c r="S352"/>
  <c r="S351"/>
  <c r="S348"/>
  <c r="S347"/>
  <c r="S344"/>
  <c r="S343"/>
  <c r="S340"/>
  <c r="S339"/>
  <c r="S336"/>
  <c r="S335"/>
  <c r="S332"/>
  <c r="S331"/>
  <c r="S328"/>
  <c r="S327"/>
  <c r="S324"/>
  <c r="S323"/>
  <c r="S320"/>
  <c r="S319"/>
  <c r="S316"/>
  <c r="S315"/>
  <c r="S312"/>
  <c r="S311"/>
  <c r="S308"/>
  <c r="S307"/>
  <c r="S304"/>
  <c r="S303"/>
  <c r="S300"/>
  <c r="S299"/>
  <c r="S296"/>
  <c r="S295"/>
  <c r="S292"/>
  <c r="S291"/>
  <c r="S288"/>
  <c r="S287"/>
  <c r="S284"/>
  <c r="S283"/>
  <c r="S280"/>
  <c r="S279"/>
  <c r="S276"/>
  <c r="S275"/>
  <c r="S272"/>
  <c r="S271"/>
  <c r="S268"/>
  <c r="S267"/>
  <c r="S264"/>
  <c r="S263"/>
  <c r="S260"/>
  <c r="S259"/>
  <c r="S256"/>
  <c r="S255"/>
  <c r="S252"/>
  <c r="S251"/>
  <c r="S248"/>
  <c r="S247"/>
  <c r="S244"/>
  <c r="S243"/>
  <c r="S240"/>
  <c r="S239"/>
  <c r="S236"/>
  <c r="S235"/>
  <c r="S232"/>
  <c r="S231"/>
  <c r="S228"/>
  <c r="S227"/>
  <c r="S224"/>
  <c r="S223"/>
  <c r="S220"/>
  <c r="S219"/>
  <c r="S216"/>
  <c r="S215"/>
  <c r="S212"/>
  <c r="S211"/>
  <c r="S208"/>
  <c r="S207"/>
  <c r="S204"/>
  <c r="S203"/>
  <c r="S200"/>
  <c r="S199"/>
  <c r="S196"/>
  <c r="S195"/>
  <c r="S192"/>
  <c r="S191"/>
  <c r="S188"/>
  <c r="S187"/>
  <c r="S184"/>
  <c r="S183"/>
  <c r="S180"/>
  <c r="S179"/>
  <c r="S176"/>
  <c r="S175"/>
  <c r="S172"/>
  <c r="S171"/>
  <c r="S168"/>
  <c r="S167"/>
  <c r="S164"/>
  <c r="S163"/>
  <c r="S160"/>
  <c r="S159"/>
  <c r="S156"/>
  <c r="S155"/>
  <c r="S152"/>
  <c r="S151"/>
  <c r="S148"/>
  <c r="S147"/>
  <c r="S144"/>
  <c r="S143"/>
  <c r="S140"/>
  <c r="S139"/>
  <c r="S136"/>
  <c r="S135"/>
  <c r="S132"/>
  <c r="S131"/>
  <c r="S128"/>
  <c r="S125"/>
  <c r="S124"/>
  <c r="S121"/>
  <c r="S120"/>
  <c r="S117"/>
  <c r="S116"/>
  <c r="S113"/>
  <c r="S112"/>
  <c r="S109"/>
  <c r="S108"/>
  <c r="S105"/>
  <c r="S104"/>
  <c r="S101"/>
  <c r="S100"/>
  <c r="S97"/>
  <c r="S96"/>
  <c r="S93"/>
  <c r="S92"/>
  <c r="S89"/>
  <c r="S88"/>
  <c r="S85"/>
  <c r="S84"/>
  <c r="S81"/>
  <c r="S80"/>
  <c r="S77"/>
  <c r="S76"/>
  <c r="S73"/>
  <c r="S72"/>
  <c r="S69"/>
  <c r="S68"/>
  <c r="S65"/>
  <c r="S64"/>
  <c r="S61"/>
  <c r="S60"/>
  <c r="S57"/>
  <c r="S56"/>
  <c r="S53"/>
  <c r="S52"/>
  <c r="S49"/>
  <c r="S48"/>
  <c r="S45"/>
  <c r="S44"/>
  <c r="S41"/>
  <c r="S40"/>
  <c r="S37"/>
  <c r="S36"/>
  <c r="S33"/>
  <c r="S32"/>
  <c r="S29"/>
  <c r="S28"/>
  <c r="S25"/>
  <c r="S24"/>
  <c r="S21"/>
  <c r="T20"/>
  <c r="S20"/>
  <c r="S127"/>
  <c r="U20"/>
  <c r="R20"/>
  <c r="H200" i="4"/>
  <c r="H199"/>
  <c r="H198"/>
  <c r="H197"/>
  <c r="H196"/>
  <c r="H195"/>
  <c r="H194"/>
  <c r="H193"/>
  <c r="H192"/>
  <c r="H191"/>
  <c r="H190"/>
  <c r="H189"/>
  <c r="H188"/>
  <c r="H187"/>
  <c r="H186"/>
  <c r="H185"/>
  <c r="H184"/>
  <c r="H183"/>
  <c r="H182"/>
  <c r="H181"/>
  <c r="H180"/>
  <c r="H179"/>
  <c r="H178"/>
  <c r="H177"/>
  <c r="H176"/>
  <c r="H175"/>
  <c r="H174"/>
  <c r="H173"/>
  <c r="H172"/>
  <c r="H171"/>
  <c r="H170"/>
  <c r="H169"/>
  <c r="H168"/>
  <c r="H167"/>
  <c r="H166"/>
  <c r="H165"/>
  <c r="H164"/>
  <c r="H163"/>
  <c r="H162"/>
  <c r="H161"/>
  <c r="I160"/>
  <c r="H160"/>
  <c r="I159"/>
  <c r="H159"/>
  <c r="I158"/>
  <c r="H158"/>
  <c r="I157"/>
  <c r="H157"/>
  <c r="I156"/>
  <c r="H156"/>
  <c r="I155"/>
  <c r="H155"/>
  <c r="I154"/>
  <c r="H154"/>
  <c r="I153"/>
  <c r="H153"/>
  <c r="I152"/>
  <c r="H152"/>
  <c r="I151"/>
  <c r="H151"/>
  <c r="I150"/>
  <c r="H150"/>
  <c r="I149"/>
  <c r="H149"/>
  <c r="I148"/>
  <c r="H148"/>
  <c r="I147"/>
  <c r="H147"/>
  <c r="I146"/>
  <c r="H146"/>
  <c r="I145"/>
  <c r="H145"/>
  <c r="I144"/>
  <c r="H144"/>
  <c r="I143"/>
  <c r="H143"/>
  <c r="I142"/>
  <c r="H142"/>
  <c r="I141"/>
  <c r="H141"/>
  <c r="I140"/>
  <c r="H140"/>
  <c r="I139"/>
  <c r="H139"/>
  <c r="I138"/>
  <c r="H138"/>
  <c r="I137"/>
  <c r="H137"/>
  <c r="I136"/>
  <c r="H136"/>
  <c r="I135"/>
  <c r="H135"/>
  <c r="I134"/>
  <c r="H134"/>
  <c r="I133"/>
  <c r="H133"/>
  <c r="I132"/>
  <c r="H132"/>
  <c r="I131"/>
  <c r="H131"/>
  <c r="I130"/>
  <c r="H130"/>
  <c r="I129"/>
  <c r="H129"/>
  <c r="I128"/>
  <c r="H128"/>
  <c r="I127"/>
  <c r="H127"/>
  <c r="I126"/>
  <c r="H126"/>
  <c r="I125"/>
  <c r="H125"/>
  <c r="I124"/>
  <c r="H124"/>
  <c r="I123"/>
  <c r="H123"/>
  <c r="I122"/>
  <c r="H122"/>
  <c r="I121"/>
  <c r="H121"/>
  <c r="I120"/>
  <c r="H120"/>
  <c r="I119"/>
  <c r="H119"/>
  <c r="I118"/>
  <c r="H118"/>
  <c r="I117"/>
  <c r="H117"/>
  <c r="I116"/>
  <c r="H116"/>
  <c r="I115"/>
  <c r="H115"/>
  <c r="I114"/>
  <c r="H114"/>
  <c r="I113"/>
  <c r="H113"/>
  <c r="I112"/>
  <c r="H112"/>
  <c r="I111"/>
  <c r="H111"/>
  <c r="I110"/>
  <c r="H110"/>
  <c r="I109"/>
  <c r="H109"/>
  <c r="I108"/>
  <c r="H108"/>
  <c r="I107"/>
  <c r="H107"/>
  <c r="I106"/>
  <c r="H106"/>
  <c r="I105"/>
  <c r="H105"/>
  <c r="I104"/>
  <c r="H104"/>
  <c r="I103"/>
  <c r="H103"/>
  <c r="I102"/>
  <c r="H102"/>
  <c r="I101"/>
  <c r="H101"/>
  <c r="I100"/>
  <c r="H100"/>
  <c r="I99"/>
  <c r="H99"/>
  <c r="I98"/>
  <c r="H98"/>
  <c r="I97"/>
  <c r="H97"/>
  <c r="I96"/>
  <c r="H96"/>
  <c r="I95"/>
  <c r="H95"/>
  <c r="I94"/>
  <c r="H94"/>
  <c r="I93"/>
  <c r="H93"/>
  <c r="I92"/>
  <c r="H92"/>
  <c r="I91"/>
  <c r="H91"/>
  <c r="I90"/>
  <c r="H90"/>
  <c r="I89"/>
  <c r="H89"/>
  <c r="I88"/>
  <c r="H88"/>
  <c r="I87"/>
  <c r="H87"/>
  <c r="I86"/>
  <c r="H86"/>
  <c r="I85"/>
  <c r="H85"/>
  <c r="I84"/>
  <c r="H84"/>
  <c r="I83"/>
  <c r="H83"/>
  <c r="I82"/>
  <c r="H82"/>
  <c r="I81"/>
  <c r="H81"/>
  <c r="I80"/>
  <c r="H80"/>
  <c r="I79"/>
  <c r="H79"/>
  <c r="I78"/>
  <c r="H78"/>
  <c r="I77"/>
  <c r="H77"/>
  <c r="I76"/>
  <c r="H76"/>
  <c r="I75"/>
  <c r="H75"/>
  <c r="I74"/>
  <c r="H74"/>
  <c r="I73"/>
  <c r="H73"/>
  <c r="I72"/>
  <c r="H72"/>
  <c r="I71"/>
  <c r="H71"/>
  <c r="I70"/>
  <c r="H70"/>
  <c r="I69"/>
  <c r="H69"/>
  <c r="I68"/>
  <c r="H68"/>
  <c r="I67"/>
  <c r="H67"/>
  <c r="I66"/>
  <c r="H66"/>
  <c r="I65"/>
  <c r="H65"/>
  <c r="I64"/>
  <c r="H64"/>
  <c r="I63"/>
  <c r="H63"/>
  <c r="I62"/>
  <c r="H62"/>
  <c r="I61"/>
  <c r="H61"/>
  <c r="I60"/>
  <c r="H60"/>
  <c r="I59"/>
  <c r="H59"/>
  <c r="I58"/>
  <c r="H58"/>
  <c r="I57"/>
  <c r="H57"/>
  <c r="I56"/>
  <c r="H56"/>
  <c r="I55"/>
  <c r="H55"/>
  <c r="I54"/>
  <c r="H54"/>
  <c r="I53"/>
  <c r="H53"/>
  <c r="I52"/>
  <c r="H52"/>
  <c r="I51"/>
  <c r="H51"/>
  <c r="I50"/>
  <c r="H50"/>
  <c r="I49"/>
  <c r="H49"/>
  <c r="I48"/>
  <c r="H48"/>
  <c r="I47"/>
  <c r="H47"/>
  <c r="I46"/>
  <c r="H46"/>
  <c r="H45"/>
  <c r="H44"/>
  <c r="H43"/>
  <c r="H42"/>
  <c r="H41"/>
  <c r="H40"/>
  <c r="H39"/>
  <c r="H38"/>
  <c r="H37"/>
  <c r="H36"/>
  <c r="H35"/>
  <c r="H34"/>
  <c r="I33"/>
  <c r="H33"/>
  <c r="I32"/>
  <c r="H32"/>
  <c r="I31"/>
  <c r="H31"/>
  <c r="I30"/>
  <c r="H30"/>
  <c r="I29"/>
  <c r="H29"/>
  <c r="I28"/>
  <c r="H28"/>
  <c r="I27"/>
  <c r="H27"/>
  <c r="I26"/>
  <c r="H26"/>
  <c r="I25"/>
  <c r="H25"/>
  <c r="I24"/>
  <c r="H24"/>
  <c r="I23"/>
  <c r="H23"/>
  <c r="I22"/>
  <c r="H22"/>
  <c r="I21"/>
  <c r="H21"/>
  <c r="I20"/>
  <c r="H20"/>
  <c r="I19"/>
  <c r="H19"/>
  <c r="I18"/>
  <c r="H18"/>
  <c r="G18"/>
  <c r="G19" s="1"/>
  <c r="G20" s="1"/>
  <c r="G21" s="1"/>
  <c r="G22" s="1"/>
  <c r="G23" s="1"/>
  <c r="G24" s="1"/>
  <c r="G25" s="1"/>
  <c r="G26" s="1"/>
  <c r="G27" s="1"/>
  <c r="G28" s="1"/>
  <c r="G29" s="1"/>
  <c r="G30" s="1"/>
  <c r="G31" s="1"/>
  <c r="G32" s="1"/>
  <c r="G33" s="1"/>
  <c r="G34" s="1"/>
  <c r="G35" s="1"/>
  <c r="G36" s="1"/>
  <c r="G37" s="1"/>
  <c r="G38" s="1"/>
  <c r="G39" s="1"/>
  <c r="G40" s="1"/>
  <c r="G41" s="1"/>
  <c r="G42" s="1"/>
  <c r="G43" s="1"/>
  <c r="G44" s="1"/>
  <c r="G45" s="1"/>
  <c r="G46" s="1"/>
  <c r="G47" s="1"/>
  <c r="G48" s="1"/>
  <c r="G49" s="1"/>
  <c r="G50" s="1"/>
  <c r="G51" s="1"/>
  <c r="G52" s="1"/>
  <c r="G53" s="1"/>
  <c r="G54" s="1"/>
  <c r="G55" s="1"/>
  <c r="G56" s="1"/>
  <c r="G57" s="1"/>
  <c r="G58" s="1"/>
  <c r="G59" s="1"/>
  <c r="G60" s="1"/>
  <c r="G61" s="1"/>
  <c r="G62" s="1"/>
  <c r="G63" s="1"/>
  <c r="G64" s="1"/>
  <c r="G65" s="1"/>
  <c r="G66" s="1"/>
  <c r="G67" s="1"/>
  <c r="G68" s="1"/>
  <c r="G69" s="1"/>
  <c r="G70" s="1"/>
  <c r="G71" s="1"/>
  <c r="G72" s="1"/>
  <c r="G73" s="1"/>
  <c r="G74" s="1"/>
  <c r="G75" s="1"/>
  <c r="G76" s="1"/>
  <c r="G77" s="1"/>
  <c r="G78" s="1"/>
  <c r="G79" s="1"/>
  <c r="G80" s="1"/>
  <c r="G81" s="1"/>
  <c r="G82" s="1"/>
  <c r="G83" s="1"/>
  <c r="G84" s="1"/>
  <c r="G85" s="1"/>
  <c r="G86" s="1"/>
  <c r="G87" s="1"/>
  <c r="G88" s="1"/>
  <c r="G89" s="1"/>
  <c r="G90" s="1"/>
  <c r="G91" s="1"/>
  <c r="G92" s="1"/>
  <c r="G93" s="1"/>
  <c r="G94" s="1"/>
  <c r="G95" s="1"/>
  <c r="G96" s="1"/>
  <c r="G97" s="1"/>
  <c r="G98" s="1"/>
  <c r="G99" s="1"/>
  <c r="G100" s="1"/>
  <c r="G101" s="1"/>
  <c r="G102" s="1"/>
  <c r="G103" s="1"/>
  <c r="G104" s="1"/>
  <c r="G105" s="1"/>
  <c r="G106" s="1"/>
  <c r="G107" s="1"/>
  <c r="G108" s="1"/>
  <c r="G109" s="1"/>
  <c r="G110" s="1"/>
  <c r="G111" s="1"/>
  <c r="G112" s="1"/>
  <c r="G113" s="1"/>
  <c r="G114" s="1"/>
  <c r="G115" s="1"/>
  <c r="G116" s="1"/>
  <c r="G117" s="1"/>
  <c r="G118" s="1"/>
  <c r="G119" s="1"/>
  <c r="G120" s="1"/>
  <c r="G121" s="1"/>
  <c r="G122" s="1"/>
  <c r="G123" s="1"/>
  <c r="G124" s="1"/>
  <c r="G125" s="1"/>
  <c r="G126" s="1"/>
  <c r="G127" s="1"/>
  <c r="G128" s="1"/>
  <c r="G129" s="1"/>
  <c r="G130" s="1"/>
  <c r="G131" s="1"/>
  <c r="G132" s="1"/>
  <c r="G133" s="1"/>
  <c r="G134" s="1"/>
  <c r="G135" s="1"/>
  <c r="G136" s="1"/>
  <c r="G137" s="1"/>
  <c r="G138" s="1"/>
  <c r="G139" s="1"/>
  <c r="G140" s="1"/>
  <c r="G141" s="1"/>
  <c r="G142" s="1"/>
  <c r="G143" s="1"/>
  <c r="G144" s="1"/>
  <c r="G145" s="1"/>
  <c r="G146" s="1"/>
  <c r="G147" s="1"/>
  <c r="G148" s="1"/>
  <c r="G149" s="1"/>
  <c r="G150" s="1"/>
  <c r="G151" s="1"/>
  <c r="G152" s="1"/>
  <c r="G153" s="1"/>
  <c r="G154" s="1"/>
  <c r="G155" s="1"/>
  <c r="G156" s="1"/>
  <c r="G157" s="1"/>
  <c r="G158" s="1"/>
  <c r="G159" s="1"/>
  <c r="G160" s="1"/>
  <c r="G161" s="1"/>
  <c r="G162" s="1"/>
  <c r="G163" s="1"/>
  <c r="G164" s="1"/>
  <c r="G165" s="1"/>
  <c r="G166" s="1"/>
  <c r="G167" s="1"/>
  <c r="G168" s="1"/>
  <c r="G169" s="1"/>
  <c r="G170" s="1"/>
  <c r="G171" s="1"/>
  <c r="G172" s="1"/>
  <c r="G173" s="1"/>
  <c r="G174" s="1"/>
  <c r="G175" s="1"/>
  <c r="G176" s="1"/>
  <c r="G177" s="1"/>
  <c r="G178" s="1"/>
  <c r="G179" s="1"/>
  <c r="G180" s="1"/>
  <c r="G181" s="1"/>
  <c r="G182" s="1"/>
  <c r="G183" s="1"/>
  <c r="G184" s="1"/>
  <c r="G185" s="1"/>
  <c r="G186" s="1"/>
  <c r="G187" s="1"/>
  <c r="G188" s="1"/>
  <c r="G189" s="1"/>
  <c r="G190" s="1"/>
  <c r="G191" s="1"/>
  <c r="G192" s="1"/>
  <c r="G193" s="1"/>
  <c r="G194" s="1"/>
  <c r="G195" s="1"/>
  <c r="G196" s="1"/>
  <c r="G197" s="1"/>
  <c r="G198" s="1"/>
  <c r="G199" s="1"/>
  <c r="G200" s="1"/>
  <c r="I17"/>
  <c r="H17"/>
  <c r="J17" s="1"/>
  <c r="J18" s="1"/>
  <c r="J19" s="1"/>
  <c r="J20" s="1"/>
  <c r="J21" s="1"/>
  <c r="J22" s="1"/>
  <c r="J23" s="1"/>
  <c r="J24" s="1"/>
  <c r="J25" s="1"/>
  <c r="J26" s="1"/>
  <c r="J27" s="1"/>
  <c r="J28" s="1"/>
  <c r="J29" s="1"/>
  <c r="J30" s="1"/>
  <c r="J31" s="1"/>
  <c r="J32" s="1"/>
  <c r="J33" s="1"/>
  <c r="J34" s="1"/>
  <c r="J35" s="1"/>
  <c r="J36" s="1"/>
  <c r="J37" s="1"/>
  <c r="J38" s="1"/>
  <c r="J39" s="1"/>
  <c r="J40" s="1"/>
  <c r="J41" s="1"/>
  <c r="J42" s="1"/>
  <c r="J43" s="1"/>
  <c r="J44" s="1"/>
  <c r="J45" s="1"/>
  <c r="J46" s="1"/>
  <c r="J47" s="1"/>
  <c r="J48" s="1"/>
  <c r="J49" s="1"/>
  <c r="J50" s="1"/>
  <c r="J51" s="1"/>
  <c r="J52" s="1"/>
  <c r="J53" s="1"/>
  <c r="J54" s="1"/>
  <c r="J55" s="1"/>
  <c r="J56" s="1"/>
  <c r="J57" s="1"/>
  <c r="J58" s="1"/>
  <c r="J59" s="1"/>
  <c r="J60" s="1"/>
  <c r="J61" s="1"/>
  <c r="J62" s="1"/>
  <c r="J63" s="1"/>
  <c r="J64" s="1"/>
  <c r="J65" s="1"/>
  <c r="J66" s="1"/>
  <c r="J67" s="1"/>
  <c r="J68" s="1"/>
  <c r="J69" s="1"/>
  <c r="J70" s="1"/>
  <c r="J71" s="1"/>
  <c r="J72" s="1"/>
  <c r="J73" s="1"/>
  <c r="J74" s="1"/>
  <c r="J75" s="1"/>
  <c r="J76" s="1"/>
  <c r="J77" s="1"/>
  <c r="J78" s="1"/>
  <c r="J79" s="1"/>
  <c r="J80" s="1"/>
  <c r="J81" s="1"/>
  <c r="J82" s="1"/>
  <c r="J83" s="1"/>
  <c r="J84" s="1"/>
  <c r="J85" s="1"/>
  <c r="J86" s="1"/>
  <c r="J87" s="1"/>
  <c r="J88" s="1"/>
  <c r="J89" s="1"/>
  <c r="J90" s="1"/>
  <c r="J91" s="1"/>
  <c r="J92" s="1"/>
  <c r="J93" s="1"/>
  <c r="J94" s="1"/>
  <c r="J95" s="1"/>
  <c r="J96" s="1"/>
  <c r="J97" s="1"/>
  <c r="J98" s="1"/>
  <c r="J99" s="1"/>
  <c r="J100" s="1"/>
  <c r="J101" s="1"/>
  <c r="J102" s="1"/>
  <c r="J103" s="1"/>
  <c r="J104" s="1"/>
  <c r="J105" s="1"/>
  <c r="J106" s="1"/>
  <c r="J107" s="1"/>
  <c r="J108" s="1"/>
  <c r="J109" s="1"/>
  <c r="J110" s="1"/>
  <c r="J111" s="1"/>
  <c r="J112" s="1"/>
  <c r="J113" s="1"/>
  <c r="J114" s="1"/>
  <c r="J115" s="1"/>
  <c r="J116" s="1"/>
  <c r="J117" s="1"/>
  <c r="J118" s="1"/>
  <c r="J119" s="1"/>
  <c r="J120" s="1"/>
  <c r="J121" s="1"/>
  <c r="J122" s="1"/>
  <c r="J123" s="1"/>
  <c r="J124" s="1"/>
  <c r="J125" s="1"/>
  <c r="J126" s="1"/>
  <c r="J127" s="1"/>
  <c r="J128" s="1"/>
  <c r="J129" s="1"/>
  <c r="J130" s="1"/>
  <c r="J131" s="1"/>
  <c r="J132" s="1"/>
  <c r="J133" s="1"/>
  <c r="J134" s="1"/>
  <c r="J135" s="1"/>
  <c r="J136" s="1"/>
  <c r="J137" s="1"/>
  <c r="J138" s="1"/>
  <c r="J139" s="1"/>
  <c r="J140" s="1"/>
  <c r="J141" s="1"/>
  <c r="J142" s="1"/>
  <c r="J143" s="1"/>
  <c r="J144" s="1"/>
  <c r="J145" s="1"/>
  <c r="J146" s="1"/>
  <c r="J147" s="1"/>
  <c r="J148" s="1"/>
  <c r="J149" s="1"/>
  <c r="J150" s="1"/>
  <c r="J151" s="1"/>
  <c r="J152" s="1"/>
  <c r="J153" s="1"/>
  <c r="J154" s="1"/>
  <c r="J155" s="1"/>
  <c r="J156" s="1"/>
  <c r="J157" s="1"/>
  <c r="J158" s="1"/>
  <c r="J159" s="1"/>
  <c r="J160" s="1"/>
  <c r="J161" s="1"/>
  <c r="J162" s="1"/>
  <c r="J163" s="1"/>
  <c r="J164" s="1"/>
  <c r="J165" s="1"/>
  <c r="J166" s="1"/>
  <c r="J167" s="1"/>
  <c r="J168" s="1"/>
  <c r="J169" s="1"/>
  <c r="J170" s="1"/>
  <c r="J171" s="1"/>
  <c r="J172" s="1"/>
  <c r="J173" s="1"/>
  <c r="J174" s="1"/>
  <c r="J175" s="1"/>
  <c r="J176" s="1"/>
  <c r="J177" s="1"/>
  <c r="J178" s="1"/>
  <c r="J179" s="1"/>
  <c r="J180" s="1"/>
  <c r="J181" s="1"/>
  <c r="J182" s="1"/>
  <c r="J183" s="1"/>
  <c r="J184" s="1"/>
  <c r="J185" s="1"/>
  <c r="J186" s="1"/>
  <c r="J187" s="1"/>
  <c r="J188" s="1"/>
  <c r="J189" s="1"/>
  <c r="J190" s="1"/>
  <c r="J191" s="1"/>
  <c r="J192" s="1"/>
  <c r="J193" s="1"/>
  <c r="J194" s="1"/>
  <c r="J195" s="1"/>
  <c r="J196" s="1"/>
  <c r="J197" s="1"/>
  <c r="J198" s="1"/>
  <c r="J199" s="1"/>
  <c r="J200" s="1"/>
  <c r="J16"/>
  <c r="C16"/>
  <c r="J15"/>
  <c r="G15"/>
  <c r="G16" s="1"/>
  <c r="D15"/>
  <c r="C15"/>
  <c r="J14"/>
  <c r="I14"/>
  <c r="G14"/>
  <c r="D14"/>
  <c r="C14"/>
  <c r="J13"/>
  <c r="G13"/>
  <c r="D13"/>
  <c r="C13"/>
  <c r="I44" s="1"/>
  <c r="J12"/>
  <c r="G12"/>
  <c r="D12"/>
  <c r="C12"/>
  <c r="J11"/>
  <c r="D11"/>
  <c r="C11"/>
  <c r="I12" s="1"/>
  <c r="J7" i="2"/>
  <c r="I7"/>
  <c r="J5"/>
  <c r="I5"/>
  <c r="J2"/>
  <c r="I2"/>
  <c r="H20" i="1"/>
  <c r="H19"/>
  <c r="H16"/>
  <c r="H15"/>
  <c r="H14"/>
  <c r="F14"/>
  <c r="D16"/>
  <c r="G18" i="13" l="1"/>
  <c r="G24"/>
  <c r="G20"/>
  <c r="G19"/>
  <c r="G26"/>
  <c r="G25"/>
  <c r="G21"/>
  <c r="G22"/>
  <c r="G27"/>
  <c r="G23"/>
  <c r="G28"/>
  <c r="G29"/>
  <c r="H18"/>
  <c r="H24"/>
  <c r="H20"/>
  <c r="H26"/>
  <c r="H19"/>
  <c r="H25"/>
  <c r="H21"/>
  <c r="H27"/>
  <c r="H22"/>
  <c r="H23"/>
  <c r="H28"/>
  <c r="H29"/>
  <c r="G18" i="14"/>
  <c r="G24"/>
  <c r="G19"/>
  <c r="G25"/>
  <c r="G20"/>
  <c r="G21"/>
  <c r="G26"/>
  <c r="G22"/>
  <c r="G27"/>
  <c r="G23"/>
  <c r="G28"/>
  <c r="G29"/>
  <c r="H24"/>
  <c r="H18"/>
  <c r="H19"/>
  <c r="H25"/>
  <c r="H20"/>
  <c r="H26"/>
  <c r="H21"/>
  <c r="H22"/>
  <c r="H27"/>
  <c r="H23"/>
  <c r="H29"/>
  <c r="H28"/>
  <c r="R168" i="18"/>
  <c r="F16" i="1"/>
  <c r="U10" i="5" s="1"/>
  <c r="E4" i="2" s="1"/>
  <c r="J4" s="1"/>
  <c r="U7" i="5"/>
  <c r="U360" s="1"/>
  <c r="R383"/>
  <c r="R379"/>
  <c r="R375"/>
  <c r="R371"/>
  <c r="R367"/>
  <c r="R363"/>
  <c r="R359"/>
  <c r="R355"/>
  <c r="R351"/>
  <c r="R347"/>
  <c r="R343"/>
  <c r="R339"/>
  <c r="R335"/>
  <c r="R331"/>
  <c r="R327"/>
  <c r="R323"/>
  <c r="R319"/>
  <c r="R315"/>
  <c r="R311"/>
  <c r="R307"/>
  <c r="R303"/>
  <c r="R299"/>
  <c r="R295"/>
  <c r="R291"/>
  <c r="R287"/>
  <c r="R283"/>
  <c r="R279"/>
  <c r="R275"/>
  <c r="R271"/>
  <c r="R267"/>
  <c r="R263"/>
  <c r="R259"/>
  <c r="R255"/>
  <c r="R251"/>
  <c r="R247"/>
  <c r="R243"/>
  <c r="R239"/>
  <c r="R235"/>
  <c r="R231"/>
  <c r="R227"/>
  <c r="R223"/>
  <c r="R219"/>
  <c r="R215"/>
  <c r="R211"/>
  <c r="R207"/>
  <c r="R203"/>
  <c r="R199"/>
  <c r="R195"/>
  <c r="R191"/>
  <c r="R187"/>
  <c r="R183"/>
  <c r="R179"/>
  <c r="R175"/>
  <c r="R171"/>
  <c r="R167"/>
  <c r="R163"/>
  <c r="R159"/>
  <c r="R155"/>
  <c r="R151"/>
  <c r="R147"/>
  <c r="R143"/>
  <c r="R139"/>
  <c r="R135"/>
  <c r="R131"/>
  <c r="R382"/>
  <c r="R378"/>
  <c r="R374"/>
  <c r="R370"/>
  <c r="R366"/>
  <c r="R362"/>
  <c r="R358"/>
  <c r="R354"/>
  <c r="R350"/>
  <c r="R346"/>
  <c r="R342"/>
  <c r="R338"/>
  <c r="R334"/>
  <c r="R330"/>
  <c r="R326"/>
  <c r="R322"/>
  <c r="R318"/>
  <c r="R314"/>
  <c r="R310"/>
  <c r="R306"/>
  <c r="R302"/>
  <c r="R298"/>
  <c r="R294"/>
  <c r="R290"/>
  <c r="R286"/>
  <c r="R282"/>
  <c r="R278"/>
  <c r="R274"/>
  <c r="R270"/>
  <c r="R266"/>
  <c r="R262"/>
  <c r="R258"/>
  <c r="R254"/>
  <c r="R250"/>
  <c r="R246"/>
  <c r="R242"/>
  <c r="R238"/>
  <c r="R234"/>
  <c r="R230"/>
  <c r="R226"/>
  <c r="R222"/>
  <c r="R218"/>
  <c r="R214"/>
  <c r="R210"/>
  <c r="R206"/>
  <c r="R202"/>
  <c r="R198"/>
  <c r="R194"/>
  <c r="R190"/>
  <c r="R186"/>
  <c r="R182"/>
  <c r="R178"/>
  <c r="R174"/>
  <c r="R170"/>
  <c r="R166"/>
  <c r="R162"/>
  <c r="R158"/>
  <c r="R154"/>
  <c r="R150"/>
  <c r="R146"/>
  <c r="R142"/>
  <c r="R138"/>
  <c r="R134"/>
  <c r="R130"/>
  <c r="R381"/>
  <c r="R377"/>
  <c r="R373"/>
  <c r="R369"/>
  <c r="R365"/>
  <c r="R361"/>
  <c r="R357"/>
  <c r="R353"/>
  <c r="R349"/>
  <c r="R345"/>
  <c r="R341"/>
  <c r="R337"/>
  <c r="R333"/>
  <c r="R329"/>
  <c r="R325"/>
  <c r="R321"/>
  <c r="R317"/>
  <c r="R313"/>
  <c r="R309"/>
  <c r="R305"/>
  <c r="R301"/>
  <c r="R297"/>
  <c r="R293"/>
  <c r="R289"/>
  <c r="R285"/>
  <c r="R281"/>
  <c r="R277"/>
  <c r="R273"/>
  <c r="R269"/>
  <c r="R265"/>
  <c r="R261"/>
  <c r="R257"/>
  <c r="R253"/>
  <c r="R249"/>
  <c r="R245"/>
  <c r="R241"/>
  <c r="R237"/>
  <c r="R233"/>
  <c r="R229"/>
  <c r="R225"/>
  <c r="R221"/>
  <c r="R217"/>
  <c r="R213"/>
  <c r="R209"/>
  <c r="R205"/>
  <c r="R201"/>
  <c r="R197"/>
  <c r="R193"/>
  <c r="R189"/>
  <c r="R185"/>
  <c r="R181"/>
  <c r="R177"/>
  <c r="R173"/>
  <c r="R169"/>
  <c r="R165"/>
  <c r="R161"/>
  <c r="R157"/>
  <c r="R153"/>
  <c r="R149"/>
  <c r="R145"/>
  <c r="R141"/>
  <c r="R137"/>
  <c r="R133"/>
  <c r="R129"/>
  <c r="R127"/>
  <c r="R123"/>
  <c r="R119"/>
  <c r="R115"/>
  <c r="R111"/>
  <c r="R107"/>
  <c r="R103"/>
  <c r="R99"/>
  <c r="R95"/>
  <c r="R91"/>
  <c r="R87"/>
  <c r="R83"/>
  <c r="R79"/>
  <c r="R75"/>
  <c r="R71"/>
  <c r="R67"/>
  <c r="R63"/>
  <c r="R59"/>
  <c r="R55"/>
  <c r="R51"/>
  <c r="R47"/>
  <c r="R43"/>
  <c r="R39"/>
  <c r="R35"/>
  <c r="R31"/>
  <c r="R27"/>
  <c r="R23"/>
  <c r="R121"/>
  <c r="R113"/>
  <c r="R109"/>
  <c r="R101"/>
  <c r="R97"/>
  <c r="R93"/>
  <c r="R89"/>
  <c r="R81"/>
  <c r="R77"/>
  <c r="R380"/>
  <c r="R376"/>
  <c r="R372"/>
  <c r="R368"/>
  <c r="R364"/>
  <c r="R360"/>
  <c r="R356"/>
  <c r="R352"/>
  <c r="R348"/>
  <c r="R344"/>
  <c r="R340"/>
  <c r="R336"/>
  <c r="R332"/>
  <c r="R328"/>
  <c r="R324"/>
  <c r="R320"/>
  <c r="R316"/>
  <c r="R312"/>
  <c r="R308"/>
  <c r="R304"/>
  <c r="R300"/>
  <c r="R296"/>
  <c r="R292"/>
  <c r="R288"/>
  <c r="R284"/>
  <c r="R280"/>
  <c r="R276"/>
  <c r="R272"/>
  <c r="R268"/>
  <c r="R264"/>
  <c r="R260"/>
  <c r="R256"/>
  <c r="R252"/>
  <c r="R248"/>
  <c r="R244"/>
  <c r="R240"/>
  <c r="R236"/>
  <c r="R232"/>
  <c r="R228"/>
  <c r="R224"/>
  <c r="R220"/>
  <c r="R216"/>
  <c r="R212"/>
  <c r="R208"/>
  <c r="R204"/>
  <c r="R200"/>
  <c r="R196"/>
  <c r="R192"/>
  <c r="R188"/>
  <c r="R184"/>
  <c r="R180"/>
  <c r="R176"/>
  <c r="R172"/>
  <c r="R168"/>
  <c r="R164"/>
  <c r="R160"/>
  <c r="R156"/>
  <c r="R152"/>
  <c r="R148"/>
  <c r="R144"/>
  <c r="R140"/>
  <c r="R136"/>
  <c r="R132"/>
  <c r="R128"/>
  <c r="R124"/>
  <c r="R120"/>
  <c r="R116"/>
  <c r="R112"/>
  <c r="R108"/>
  <c r="R104"/>
  <c r="R100"/>
  <c r="R96"/>
  <c r="R92"/>
  <c r="R88"/>
  <c r="R84"/>
  <c r="R80"/>
  <c r="R76"/>
  <c r="R72"/>
  <c r="R68"/>
  <c r="R64"/>
  <c r="R60"/>
  <c r="R56"/>
  <c r="R52"/>
  <c r="R48"/>
  <c r="R44"/>
  <c r="R40"/>
  <c r="R36"/>
  <c r="R32"/>
  <c r="R28"/>
  <c r="R24"/>
  <c r="R125"/>
  <c r="R117"/>
  <c r="R105"/>
  <c r="R85"/>
  <c r="R73"/>
  <c r="U376"/>
  <c r="U356"/>
  <c r="U344"/>
  <c r="U324"/>
  <c r="U312"/>
  <c r="U292"/>
  <c r="U280"/>
  <c r="U260"/>
  <c r="U248"/>
  <c r="U228"/>
  <c r="U216"/>
  <c r="U196"/>
  <c r="U184"/>
  <c r="U164"/>
  <c r="U152"/>
  <c r="U132"/>
  <c r="U379"/>
  <c r="U359"/>
  <c r="U347"/>
  <c r="U327"/>
  <c r="U315"/>
  <c r="U295"/>
  <c r="U283"/>
  <c r="U263"/>
  <c r="U251"/>
  <c r="U231"/>
  <c r="U219"/>
  <c r="U199"/>
  <c r="U187"/>
  <c r="U167"/>
  <c r="U155"/>
  <c r="U135"/>
  <c r="U378"/>
  <c r="U358"/>
  <c r="U346"/>
  <c r="U326"/>
  <c r="U314"/>
  <c r="U294"/>
  <c r="U282"/>
  <c r="U262"/>
  <c r="U250"/>
  <c r="U230"/>
  <c r="U218"/>
  <c r="U198"/>
  <c r="U186"/>
  <c r="U166"/>
  <c r="U154"/>
  <c r="U134"/>
  <c r="U120"/>
  <c r="U100"/>
  <c r="U88"/>
  <c r="U68"/>
  <c r="U56"/>
  <c r="U36"/>
  <c r="U24"/>
  <c r="U74"/>
  <c r="U373"/>
  <c r="U353"/>
  <c r="U341"/>
  <c r="U321"/>
  <c r="U309"/>
  <c r="U289"/>
  <c r="U277"/>
  <c r="U257"/>
  <c r="U245"/>
  <c r="U225"/>
  <c r="U213"/>
  <c r="U193"/>
  <c r="U181"/>
  <c r="U161"/>
  <c r="U149"/>
  <c r="U129"/>
  <c r="U117"/>
  <c r="U97"/>
  <c r="U85"/>
  <c r="U65"/>
  <c r="U53"/>
  <c r="U33"/>
  <c r="U21"/>
  <c r="U102"/>
  <c r="U82"/>
  <c r="R26"/>
  <c r="R34"/>
  <c r="R42"/>
  <c r="R50"/>
  <c r="R58"/>
  <c r="R66"/>
  <c r="R70"/>
  <c r="R98"/>
  <c r="U99"/>
  <c r="U123"/>
  <c r="R22"/>
  <c r="R30"/>
  <c r="R38"/>
  <c r="R46"/>
  <c r="R54"/>
  <c r="R62"/>
  <c r="R74"/>
  <c r="R82"/>
  <c r="R90"/>
  <c r="R106"/>
  <c r="R114"/>
  <c r="R122"/>
  <c r="R21"/>
  <c r="R25"/>
  <c r="U26"/>
  <c r="R29"/>
  <c r="R33"/>
  <c r="R37"/>
  <c r="R41"/>
  <c r="R45"/>
  <c r="R49"/>
  <c r="U50"/>
  <c r="R53"/>
  <c r="R57"/>
  <c r="U58"/>
  <c r="R61"/>
  <c r="R65"/>
  <c r="R69"/>
  <c r="R78"/>
  <c r="R86"/>
  <c r="R94"/>
  <c r="R102"/>
  <c r="R110"/>
  <c r="R118"/>
  <c r="R126"/>
  <c r="S23"/>
  <c r="S27"/>
  <c r="S31"/>
  <c r="S35"/>
  <c r="S39"/>
  <c r="S43"/>
  <c r="S47"/>
  <c r="S51"/>
  <c r="S55"/>
  <c r="S59"/>
  <c r="S63"/>
  <c r="S67"/>
  <c r="S71"/>
  <c r="S75"/>
  <c r="S79"/>
  <c r="S83"/>
  <c r="S87"/>
  <c r="S91"/>
  <c r="S95"/>
  <c r="S99"/>
  <c r="S103"/>
  <c r="S107"/>
  <c r="S111"/>
  <c r="S115"/>
  <c r="S119"/>
  <c r="S123"/>
  <c r="S382"/>
  <c r="S378"/>
  <c r="S374"/>
  <c r="S370"/>
  <c r="S366"/>
  <c r="S362"/>
  <c r="S358"/>
  <c r="S354"/>
  <c r="S350"/>
  <c r="S346"/>
  <c r="S342"/>
  <c r="S338"/>
  <c r="S334"/>
  <c r="S330"/>
  <c r="S326"/>
  <c r="S322"/>
  <c r="S318"/>
  <c r="S314"/>
  <c r="S310"/>
  <c r="S306"/>
  <c r="S302"/>
  <c r="S298"/>
  <c r="S294"/>
  <c r="S290"/>
  <c r="S286"/>
  <c r="S282"/>
  <c r="S278"/>
  <c r="S274"/>
  <c r="S270"/>
  <c r="S266"/>
  <c r="S262"/>
  <c r="S258"/>
  <c r="S254"/>
  <c r="S250"/>
  <c r="S246"/>
  <c r="S242"/>
  <c r="S238"/>
  <c r="S234"/>
  <c r="S230"/>
  <c r="S226"/>
  <c r="S222"/>
  <c r="S218"/>
  <c r="S214"/>
  <c r="S210"/>
  <c r="S206"/>
  <c r="S202"/>
  <c r="S198"/>
  <c r="S194"/>
  <c r="S190"/>
  <c r="S186"/>
  <c r="S182"/>
  <c r="S178"/>
  <c r="S174"/>
  <c r="S170"/>
  <c r="S166"/>
  <c r="S162"/>
  <c r="S158"/>
  <c r="S154"/>
  <c r="S150"/>
  <c r="S146"/>
  <c r="S142"/>
  <c r="S138"/>
  <c r="S134"/>
  <c r="S130"/>
  <c r="S381"/>
  <c r="S377"/>
  <c r="S373"/>
  <c r="S369"/>
  <c r="S365"/>
  <c r="S361"/>
  <c r="S357"/>
  <c r="S353"/>
  <c r="S349"/>
  <c r="S345"/>
  <c r="S341"/>
  <c r="S337"/>
  <c r="S333"/>
  <c r="S329"/>
  <c r="S325"/>
  <c r="S321"/>
  <c r="S317"/>
  <c r="S313"/>
  <c r="S309"/>
  <c r="S305"/>
  <c r="S301"/>
  <c r="S297"/>
  <c r="S293"/>
  <c r="S289"/>
  <c r="S285"/>
  <c r="S281"/>
  <c r="S277"/>
  <c r="S273"/>
  <c r="S269"/>
  <c r="S265"/>
  <c r="S261"/>
  <c r="S257"/>
  <c r="S253"/>
  <c r="S249"/>
  <c r="S245"/>
  <c r="S241"/>
  <c r="S237"/>
  <c r="S233"/>
  <c r="S229"/>
  <c r="S225"/>
  <c r="S221"/>
  <c r="S217"/>
  <c r="S213"/>
  <c r="S209"/>
  <c r="S205"/>
  <c r="S201"/>
  <c r="S197"/>
  <c r="S193"/>
  <c r="S189"/>
  <c r="S185"/>
  <c r="S181"/>
  <c r="S177"/>
  <c r="S173"/>
  <c r="S169"/>
  <c r="S165"/>
  <c r="S161"/>
  <c r="S157"/>
  <c r="S153"/>
  <c r="S149"/>
  <c r="S145"/>
  <c r="S141"/>
  <c r="S137"/>
  <c r="S133"/>
  <c r="S129"/>
  <c r="S22"/>
  <c r="S26"/>
  <c r="S30"/>
  <c r="S34"/>
  <c r="S38"/>
  <c r="S42"/>
  <c r="S46"/>
  <c r="S50"/>
  <c r="S54"/>
  <c r="S58"/>
  <c r="S62"/>
  <c r="S66"/>
  <c r="S70"/>
  <c r="S74"/>
  <c r="S78"/>
  <c r="S82"/>
  <c r="S86"/>
  <c r="S90"/>
  <c r="S94"/>
  <c r="S98"/>
  <c r="S102"/>
  <c r="S106"/>
  <c r="S110"/>
  <c r="S114"/>
  <c r="S118"/>
  <c r="S122"/>
  <c r="S126"/>
  <c r="I200" i="4"/>
  <c r="I199"/>
  <c r="I198"/>
  <c r="I197"/>
  <c r="I196"/>
  <c r="I195"/>
  <c r="I194"/>
  <c r="I193"/>
  <c r="I192"/>
  <c r="I191"/>
  <c r="I190"/>
  <c r="I189"/>
  <c r="I188"/>
  <c r="I187"/>
  <c r="I186"/>
  <c r="I185"/>
  <c r="I184"/>
  <c r="I183"/>
  <c r="I182"/>
  <c r="I181"/>
  <c r="I180"/>
  <c r="I179"/>
  <c r="I178"/>
  <c r="I177"/>
  <c r="I176"/>
  <c r="I175"/>
  <c r="I174"/>
  <c r="I173"/>
  <c r="I172"/>
  <c r="I171"/>
  <c r="I170"/>
  <c r="I169"/>
  <c r="I168"/>
  <c r="I167"/>
  <c r="I166"/>
  <c r="I165"/>
  <c r="I164"/>
  <c r="I163"/>
  <c r="I162"/>
  <c r="I161"/>
  <c r="I35"/>
  <c r="I37"/>
  <c r="I39"/>
  <c r="I41"/>
  <c r="I43"/>
  <c r="I45"/>
  <c r="I13"/>
  <c r="I11"/>
  <c r="I15"/>
  <c r="I16"/>
  <c r="I34"/>
  <c r="I36"/>
  <c r="I38"/>
  <c r="I40"/>
  <c r="I42"/>
  <c r="D15" i="1"/>
  <c r="O23" i="14" l="1"/>
  <c r="O19"/>
  <c r="O21" i="13"/>
  <c r="O20"/>
  <c r="O20" i="14"/>
  <c r="O18"/>
  <c r="O18" i="13"/>
  <c r="O21" i="14"/>
  <c r="O23" i="13"/>
  <c r="O22" i="14"/>
  <c r="O22" i="13"/>
  <c r="O19"/>
  <c r="S168" i="18"/>
  <c r="U42" i="5"/>
  <c r="U78"/>
  <c r="U126"/>
  <c r="U49"/>
  <c r="U81"/>
  <c r="U113"/>
  <c r="U145"/>
  <c r="U177"/>
  <c r="U209"/>
  <c r="U241"/>
  <c r="U273"/>
  <c r="U305"/>
  <c r="U337"/>
  <c r="U369"/>
  <c r="U118"/>
  <c r="U52"/>
  <c r="U84"/>
  <c r="U116"/>
  <c r="U150"/>
  <c r="U182"/>
  <c r="U214"/>
  <c r="U246"/>
  <c r="U278"/>
  <c r="U310"/>
  <c r="U342"/>
  <c r="U374"/>
  <c r="U151"/>
  <c r="U183"/>
  <c r="U215"/>
  <c r="U247"/>
  <c r="U279"/>
  <c r="U311"/>
  <c r="U343"/>
  <c r="U375"/>
  <c r="U148"/>
  <c r="U180"/>
  <c r="U212"/>
  <c r="U244"/>
  <c r="U276"/>
  <c r="U308"/>
  <c r="U340"/>
  <c r="U372"/>
  <c r="U66"/>
  <c r="U34"/>
  <c r="U91"/>
  <c r="U110"/>
  <c r="U37"/>
  <c r="U69"/>
  <c r="U101"/>
  <c r="U133"/>
  <c r="U165"/>
  <c r="U197"/>
  <c r="U229"/>
  <c r="U261"/>
  <c r="U293"/>
  <c r="U325"/>
  <c r="U357"/>
  <c r="U86"/>
  <c r="U40"/>
  <c r="U72"/>
  <c r="U104"/>
  <c r="U138"/>
  <c r="U170"/>
  <c r="U202"/>
  <c r="U234"/>
  <c r="U266"/>
  <c r="U298"/>
  <c r="U330"/>
  <c r="U362"/>
  <c r="U139"/>
  <c r="U171"/>
  <c r="U203"/>
  <c r="U235"/>
  <c r="U267"/>
  <c r="U299"/>
  <c r="U331"/>
  <c r="U363"/>
  <c r="U136"/>
  <c r="U168"/>
  <c r="U200"/>
  <c r="U232"/>
  <c r="U264"/>
  <c r="U296"/>
  <c r="U328"/>
  <c r="F15" i="1"/>
  <c r="T10" i="5" s="1"/>
  <c r="D4" i="2" s="1"/>
  <c r="I4" s="1"/>
  <c r="T7" i="5"/>
  <c r="E6" i="2"/>
  <c r="J6" s="1"/>
  <c r="U119" i="5"/>
  <c r="U47"/>
  <c r="U67"/>
  <c r="U35"/>
  <c r="U71"/>
  <c r="U55"/>
  <c r="U111"/>
  <c r="U79"/>
  <c r="U59"/>
  <c r="U43"/>
  <c r="U27"/>
  <c r="U87"/>
  <c r="U63"/>
  <c r="U31"/>
  <c r="U127"/>
  <c r="U95"/>
  <c r="U51"/>
  <c r="U103"/>
  <c r="U39"/>
  <c r="U23"/>
  <c r="U70"/>
  <c r="U62"/>
  <c r="U54"/>
  <c r="U46"/>
  <c r="U38"/>
  <c r="U30"/>
  <c r="U22"/>
  <c r="U107"/>
  <c r="U75"/>
  <c r="U98"/>
  <c r="U122"/>
  <c r="U29"/>
  <c r="U45"/>
  <c r="U61"/>
  <c r="U77"/>
  <c r="U93"/>
  <c r="U109"/>
  <c r="U125"/>
  <c r="U141"/>
  <c r="U157"/>
  <c r="U173"/>
  <c r="U189"/>
  <c r="U205"/>
  <c r="U221"/>
  <c r="U237"/>
  <c r="U253"/>
  <c r="U269"/>
  <c r="U285"/>
  <c r="U301"/>
  <c r="U317"/>
  <c r="U333"/>
  <c r="U349"/>
  <c r="U365"/>
  <c r="U381"/>
  <c r="U106"/>
  <c r="U32"/>
  <c r="U48"/>
  <c r="U64"/>
  <c r="U80"/>
  <c r="U96"/>
  <c r="U112"/>
  <c r="U130"/>
  <c r="U146"/>
  <c r="U162"/>
  <c r="U178"/>
  <c r="U194"/>
  <c r="U210"/>
  <c r="U226"/>
  <c r="U242"/>
  <c r="U258"/>
  <c r="U274"/>
  <c r="U290"/>
  <c r="U306"/>
  <c r="U322"/>
  <c r="U338"/>
  <c r="U354"/>
  <c r="U370"/>
  <c r="U131"/>
  <c r="U147"/>
  <c r="U163"/>
  <c r="U179"/>
  <c r="U195"/>
  <c r="U211"/>
  <c r="U227"/>
  <c r="U243"/>
  <c r="U259"/>
  <c r="U275"/>
  <c r="U291"/>
  <c r="U307"/>
  <c r="U323"/>
  <c r="U339"/>
  <c r="U355"/>
  <c r="U371"/>
  <c r="U128"/>
  <c r="U144"/>
  <c r="U160"/>
  <c r="U176"/>
  <c r="U192"/>
  <c r="U208"/>
  <c r="U224"/>
  <c r="U240"/>
  <c r="U256"/>
  <c r="U272"/>
  <c r="U288"/>
  <c r="U304"/>
  <c r="U320"/>
  <c r="U336"/>
  <c r="U352"/>
  <c r="U368"/>
  <c r="U115"/>
  <c r="U83"/>
  <c r="U90"/>
  <c r="U114"/>
  <c r="U25"/>
  <c r="U41"/>
  <c r="U57"/>
  <c r="U73"/>
  <c r="U89"/>
  <c r="U105"/>
  <c r="U121"/>
  <c r="U137"/>
  <c r="U153"/>
  <c r="U169"/>
  <c r="U185"/>
  <c r="U201"/>
  <c r="U217"/>
  <c r="U233"/>
  <c r="U249"/>
  <c r="U265"/>
  <c r="U281"/>
  <c r="U297"/>
  <c r="U313"/>
  <c r="U329"/>
  <c r="U345"/>
  <c r="U361"/>
  <c r="U377"/>
  <c r="U94"/>
  <c r="U28"/>
  <c r="U44"/>
  <c r="U60"/>
  <c r="U76"/>
  <c r="U92"/>
  <c r="U108"/>
  <c r="U124"/>
  <c r="U142"/>
  <c r="U158"/>
  <c r="U174"/>
  <c r="U190"/>
  <c r="U206"/>
  <c r="U222"/>
  <c r="U238"/>
  <c r="U254"/>
  <c r="U270"/>
  <c r="U286"/>
  <c r="U302"/>
  <c r="U318"/>
  <c r="U334"/>
  <c r="U350"/>
  <c r="U366"/>
  <c r="U382"/>
  <c r="U143"/>
  <c r="U159"/>
  <c r="U175"/>
  <c r="U191"/>
  <c r="U207"/>
  <c r="U223"/>
  <c r="U239"/>
  <c r="U255"/>
  <c r="U271"/>
  <c r="U287"/>
  <c r="U303"/>
  <c r="U319"/>
  <c r="U335"/>
  <c r="U351"/>
  <c r="U367"/>
  <c r="U383"/>
  <c r="U140"/>
  <c r="U156"/>
  <c r="U172"/>
  <c r="U188"/>
  <c r="U204"/>
  <c r="U220"/>
  <c r="U236"/>
  <c r="U252"/>
  <c r="U268"/>
  <c r="U284"/>
  <c r="U300"/>
  <c r="U316"/>
  <c r="U332"/>
  <c r="U348"/>
  <c r="U364"/>
  <c r="U380"/>
  <c r="R17"/>
  <c r="R16"/>
  <c r="C11" i="2" s="1"/>
  <c r="R15" i="5"/>
  <c r="C10" i="2" s="1"/>
  <c r="C16" s="1"/>
  <c r="R14" i="5"/>
  <c r="C12" i="2" s="1"/>
  <c r="C17" s="1"/>
  <c r="R13" i="5"/>
  <c r="R12"/>
  <c r="C8" i="2" s="1"/>
  <c r="S17" i="5"/>
  <c r="S13"/>
  <c r="H9" i="2" s="1"/>
  <c r="S16" i="5"/>
  <c r="H11" i="2" s="1"/>
  <c r="S14" i="5"/>
  <c r="H12" i="2" s="1"/>
  <c r="H17" s="1"/>
  <c r="H18" s="1"/>
  <c r="H19" s="1"/>
  <c r="U20" i="14" s="1"/>
  <c r="S12" i="5"/>
  <c r="H8" i="2" s="1"/>
  <c r="S15" i="5"/>
  <c r="H10" i="2" s="1"/>
  <c r="H16" s="1"/>
  <c r="R20" i="14" l="1"/>
  <c r="R21"/>
  <c r="U18"/>
  <c r="U20" i="13"/>
  <c r="N21"/>
  <c r="U21"/>
  <c r="N19" i="14"/>
  <c r="U23"/>
  <c r="N19" i="13"/>
  <c r="N22"/>
  <c r="N22" i="14"/>
  <c r="U22"/>
  <c r="R23" i="13"/>
  <c r="N18"/>
  <c r="R18" i="14"/>
  <c r="R20" i="13"/>
  <c r="R19" i="14"/>
  <c r="R23"/>
  <c r="U14" i="5"/>
  <c r="E12" i="2" s="1"/>
  <c r="J12" s="1"/>
  <c r="J17" s="1"/>
  <c r="U19" i="13"/>
  <c r="U22"/>
  <c r="R22" i="14"/>
  <c r="N21"/>
  <c r="U18" i="13"/>
  <c r="N20" i="14"/>
  <c r="U19"/>
  <c r="D23" i="11"/>
  <c r="G19" s="1"/>
  <c r="D23" i="12"/>
  <c r="R19" i="13"/>
  <c r="R22"/>
  <c r="N23"/>
  <c r="U23"/>
  <c r="U21" i="14"/>
  <c r="R18" i="13"/>
  <c r="N18" i="14"/>
  <c r="N20" i="13"/>
  <c r="R21"/>
  <c r="N23" i="14"/>
  <c r="T168" i="18"/>
  <c r="U17" i="5"/>
  <c r="J13" i="2" s="1"/>
  <c r="U15" i="5"/>
  <c r="E10" i="2" s="1"/>
  <c r="J10" s="1"/>
  <c r="J16" s="1"/>
  <c r="H20"/>
  <c r="G20" i="11"/>
  <c r="F20"/>
  <c r="F19"/>
  <c r="E13" i="2"/>
  <c r="E17"/>
  <c r="E18" s="1"/>
  <c r="E19" s="1"/>
  <c r="C18"/>
  <c r="C20" s="1"/>
  <c r="U12" i="5"/>
  <c r="E8" i="2" s="1"/>
  <c r="J8" s="1"/>
  <c r="D23" i="1"/>
  <c r="C9" i="2"/>
  <c r="D6"/>
  <c r="I6" s="1"/>
  <c r="T56" i="5"/>
  <c r="T51"/>
  <c r="T35"/>
  <c r="T327"/>
  <c r="T307"/>
  <c r="T295"/>
  <c r="T287"/>
  <c r="T279"/>
  <c r="T271"/>
  <c r="T267"/>
  <c r="T259"/>
  <c r="T251"/>
  <c r="T243"/>
  <c r="T235"/>
  <c r="T227"/>
  <c r="T219"/>
  <c r="T211"/>
  <c r="T203"/>
  <c r="T195"/>
  <c r="T187"/>
  <c r="T179"/>
  <c r="T171"/>
  <c r="T163"/>
  <c r="T155"/>
  <c r="T147"/>
  <c r="T139"/>
  <c r="T131"/>
  <c r="T116"/>
  <c r="T103"/>
  <c r="T99"/>
  <c r="T84"/>
  <c r="T80"/>
  <c r="T60"/>
  <c r="T39"/>
  <c r="T23"/>
  <c r="T92"/>
  <c r="T88"/>
  <c r="T64"/>
  <c r="T48"/>
  <c r="T27"/>
  <c r="T382"/>
  <c r="T378"/>
  <c r="T374"/>
  <c r="T370"/>
  <c r="T366"/>
  <c r="T362"/>
  <c r="T358"/>
  <c r="T354"/>
  <c r="T350"/>
  <c r="T346"/>
  <c r="T342"/>
  <c r="T338"/>
  <c r="T334"/>
  <c r="T330"/>
  <c r="T326"/>
  <c r="T322"/>
  <c r="T318"/>
  <c r="T314"/>
  <c r="T310"/>
  <c r="T306"/>
  <c r="T302"/>
  <c r="T298"/>
  <c r="T294"/>
  <c r="T290"/>
  <c r="T286"/>
  <c r="T282"/>
  <c r="T278"/>
  <c r="T274"/>
  <c r="T270"/>
  <c r="T266"/>
  <c r="T262"/>
  <c r="T258"/>
  <c r="T254"/>
  <c r="T250"/>
  <c r="T246"/>
  <c r="T242"/>
  <c r="T238"/>
  <c r="T234"/>
  <c r="T230"/>
  <c r="T226"/>
  <c r="T222"/>
  <c r="T218"/>
  <c r="T214"/>
  <c r="T210"/>
  <c r="T206"/>
  <c r="T202"/>
  <c r="T198"/>
  <c r="T194"/>
  <c r="T190"/>
  <c r="T186"/>
  <c r="T182"/>
  <c r="T178"/>
  <c r="T174"/>
  <c r="T170"/>
  <c r="T166"/>
  <c r="T162"/>
  <c r="T158"/>
  <c r="T154"/>
  <c r="T150"/>
  <c r="T146"/>
  <c r="T142"/>
  <c r="T138"/>
  <c r="T134"/>
  <c r="T130"/>
  <c r="T119"/>
  <c r="T115"/>
  <c r="T100"/>
  <c r="T96"/>
  <c r="T87"/>
  <c r="T83"/>
  <c r="T68"/>
  <c r="T63"/>
  <c r="T52"/>
  <c r="T47"/>
  <c r="T36"/>
  <c r="T31"/>
  <c r="T127"/>
  <c r="T123"/>
  <c r="T108"/>
  <c r="T104"/>
  <c r="T95"/>
  <c r="T91"/>
  <c r="T76"/>
  <c r="T72"/>
  <c r="T67"/>
  <c r="T40"/>
  <c r="T24"/>
  <c r="T383"/>
  <c r="T379"/>
  <c r="T375"/>
  <c r="T371"/>
  <c r="T367"/>
  <c r="T363"/>
  <c r="T359"/>
  <c r="T355"/>
  <c r="T351"/>
  <c r="T347"/>
  <c r="T343"/>
  <c r="T339"/>
  <c r="T335"/>
  <c r="T331"/>
  <c r="T323"/>
  <c r="T319"/>
  <c r="T315"/>
  <c r="T311"/>
  <c r="T303"/>
  <c r="T299"/>
  <c r="T291"/>
  <c r="T283"/>
  <c r="T275"/>
  <c r="T263"/>
  <c r="T255"/>
  <c r="T247"/>
  <c r="T239"/>
  <c r="T231"/>
  <c r="T223"/>
  <c r="T215"/>
  <c r="T207"/>
  <c r="T199"/>
  <c r="T191"/>
  <c r="T183"/>
  <c r="T175"/>
  <c r="T167"/>
  <c r="T159"/>
  <c r="T151"/>
  <c r="T143"/>
  <c r="T135"/>
  <c r="T112"/>
  <c r="T71"/>
  <c r="T55"/>
  <c r="T44"/>
  <c r="T28"/>
  <c r="T124"/>
  <c r="T120"/>
  <c r="T111"/>
  <c r="T107"/>
  <c r="T79"/>
  <c r="T75"/>
  <c r="T59"/>
  <c r="T43"/>
  <c r="T32"/>
  <c r="T377"/>
  <c r="T361"/>
  <c r="T345"/>
  <c r="T329"/>
  <c r="T313"/>
  <c r="T297"/>
  <c r="T281"/>
  <c r="T265"/>
  <c r="T249"/>
  <c r="T233"/>
  <c r="T217"/>
  <c r="T201"/>
  <c r="T185"/>
  <c r="T169"/>
  <c r="T153"/>
  <c r="T137"/>
  <c r="T376"/>
  <c r="T360"/>
  <c r="T344"/>
  <c r="T328"/>
  <c r="T312"/>
  <c r="T296"/>
  <c r="T280"/>
  <c r="T264"/>
  <c r="T248"/>
  <c r="T232"/>
  <c r="T216"/>
  <c r="T200"/>
  <c r="T184"/>
  <c r="T168"/>
  <c r="T152"/>
  <c r="T136"/>
  <c r="T21"/>
  <c r="T29"/>
  <c r="T37"/>
  <c r="T45"/>
  <c r="T53"/>
  <c r="T61"/>
  <c r="T69"/>
  <c r="T77"/>
  <c r="T85"/>
  <c r="T93"/>
  <c r="T101"/>
  <c r="T109"/>
  <c r="T117"/>
  <c r="T125"/>
  <c r="T369"/>
  <c r="T353"/>
  <c r="T337"/>
  <c r="T305"/>
  <c r="T289"/>
  <c r="T257"/>
  <c r="T225"/>
  <c r="T193"/>
  <c r="T161"/>
  <c r="T129"/>
  <c r="T352"/>
  <c r="T320"/>
  <c r="T304"/>
  <c r="T272"/>
  <c r="T240"/>
  <c r="T208"/>
  <c r="T176"/>
  <c r="T144"/>
  <c r="T25"/>
  <c r="T33"/>
  <c r="T41"/>
  <c r="T57"/>
  <c r="T73"/>
  <c r="T81"/>
  <c r="T97"/>
  <c r="T113"/>
  <c r="T373"/>
  <c r="T341"/>
  <c r="T309"/>
  <c r="T277"/>
  <c r="T245"/>
  <c r="T229"/>
  <c r="T197"/>
  <c r="T165"/>
  <c r="T133"/>
  <c r="T356"/>
  <c r="T324"/>
  <c r="T292"/>
  <c r="T260"/>
  <c r="T228"/>
  <c r="T196"/>
  <c r="T164"/>
  <c r="T132"/>
  <c r="T34"/>
  <c r="T50"/>
  <c r="T66"/>
  <c r="T82"/>
  <c r="T98"/>
  <c r="T114"/>
  <c r="T381"/>
  <c r="T365"/>
  <c r="T349"/>
  <c r="T333"/>
  <c r="T317"/>
  <c r="T301"/>
  <c r="T285"/>
  <c r="T269"/>
  <c r="T253"/>
  <c r="T237"/>
  <c r="T221"/>
  <c r="T205"/>
  <c r="T189"/>
  <c r="T173"/>
  <c r="T157"/>
  <c r="T141"/>
  <c r="T380"/>
  <c r="T364"/>
  <c r="T348"/>
  <c r="T332"/>
  <c r="T316"/>
  <c r="T300"/>
  <c r="T284"/>
  <c r="T268"/>
  <c r="T252"/>
  <c r="T236"/>
  <c r="T220"/>
  <c r="T204"/>
  <c r="T188"/>
  <c r="T172"/>
  <c r="T156"/>
  <c r="T140"/>
  <c r="T22"/>
  <c r="T30"/>
  <c r="T38"/>
  <c r="T46"/>
  <c r="T54"/>
  <c r="T62"/>
  <c r="T70"/>
  <c r="T78"/>
  <c r="T86"/>
  <c r="T94"/>
  <c r="T102"/>
  <c r="T110"/>
  <c r="T118"/>
  <c r="T126"/>
  <c r="T321"/>
  <c r="T273"/>
  <c r="T241"/>
  <c r="T209"/>
  <c r="T177"/>
  <c r="T145"/>
  <c r="T368"/>
  <c r="T336"/>
  <c r="T288"/>
  <c r="T256"/>
  <c r="T224"/>
  <c r="T192"/>
  <c r="T160"/>
  <c r="T128"/>
  <c r="T49"/>
  <c r="T65"/>
  <c r="T89"/>
  <c r="T105"/>
  <c r="T121"/>
  <c r="T357"/>
  <c r="T325"/>
  <c r="T293"/>
  <c r="T261"/>
  <c r="T213"/>
  <c r="T181"/>
  <c r="T149"/>
  <c r="T372"/>
  <c r="T340"/>
  <c r="T308"/>
  <c r="T276"/>
  <c r="T244"/>
  <c r="T212"/>
  <c r="T180"/>
  <c r="T148"/>
  <c r="T26"/>
  <c r="T42"/>
  <c r="T58"/>
  <c r="T74"/>
  <c r="T90"/>
  <c r="T106"/>
  <c r="T122"/>
  <c r="U13"/>
  <c r="E9" i="2" s="1"/>
  <c r="J9" s="1"/>
  <c r="U16" i="5"/>
  <c r="E11" i="2" s="1"/>
  <c r="J11" s="1"/>
  <c r="E16" l="1"/>
  <c r="E20" s="1"/>
  <c r="G20" i="12"/>
  <c r="F19"/>
  <c r="G19"/>
  <c r="F20"/>
  <c r="X21" i="14"/>
  <c r="AG21" s="1"/>
  <c r="BA21" s="1"/>
  <c r="X23" i="13"/>
  <c r="AG23" s="1"/>
  <c r="BA23" s="1"/>
  <c r="X22" i="14"/>
  <c r="AG22" s="1"/>
  <c r="BA22" s="1"/>
  <c r="X21" i="13"/>
  <c r="AG21" s="1"/>
  <c r="BA21" s="1"/>
  <c r="X23" i="14"/>
  <c r="AG23" s="1"/>
  <c r="BA23" s="1"/>
  <c r="X22" i="13"/>
  <c r="AG22" s="1"/>
  <c r="BA22" s="1"/>
  <c r="J18" i="2"/>
  <c r="W23" i="14"/>
  <c r="AF23" s="1"/>
  <c r="W22" i="13"/>
  <c r="AF22" s="1"/>
  <c r="W21" i="14"/>
  <c r="W21" i="13"/>
  <c r="W23"/>
  <c r="AF23" s="1"/>
  <c r="W22" i="14"/>
  <c r="AF22" s="1"/>
  <c r="P19"/>
  <c r="P22"/>
  <c r="P23" i="13"/>
  <c r="P19"/>
  <c r="P23" i="14"/>
  <c r="P20" i="13"/>
  <c r="P18" i="14"/>
  <c r="P18" i="13"/>
  <c r="P21"/>
  <c r="P20" i="14"/>
  <c r="P21"/>
  <c r="P22" i="13"/>
  <c r="AF21"/>
  <c r="AF21" i="14"/>
  <c r="U168" i="18"/>
  <c r="T17" i="5"/>
  <c r="T12"/>
  <c r="D8" i="2" s="1"/>
  <c r="I8" s="1"/>
  <c r="T16" i="5"/>
  <c r="D11" i="2" s="1"/>
  <c r="I11" s="1"/>
  <c r="T13" i="5"/>
  <c r="D9" i="2" s="1"/>
  <c r="I9" s="1"/>
  <c r="T15" i="5"/>
  <c r="D10" i="2" s="1"/>
  <c r="T14" i="5"/>
  <c r="D12" i="2" s="1"/>
  <c r="G19" i="1"/>
  <c r="G20"/>
  <c r="F19"/>
  <c r="R10" i="5" s="1"/>
  <c r="C4" i="2" s="1"/>
  <c r="F20" i="1"/>
  <c r="S10" i="5" s="1"/>
  <c r="H4" i="2" s="1"/>
  <c r="C19"/>
  <c r="J20"/>
  <c r="BD22" i="14" l="1"/>
  <c r="J36" i="3" s="1"/>
  <c r="AY28" i="14"/>
  <c r="E42" i="3" s="1"/>
  <c r="AS22" i="14"/>
  <c r="BD21"/>
  <c r="J35" i="3" s="1"/>
  <c r="AY27" i="14"/>
  <c r="E41" i="3" s="1"/>
  <c r="AS21" i="14"/>
  <c r="AP22" i="13"/>
  <c r="G24" i="3"/>
  <c r="AP23" i="13"/>
  <c r="G25" i="3"/>
  <c r="J19" i="2"/>
  <c r="AA21" i="14"/>
  <c r="AJ21" s="1"/>
  <c r="AA23" i="13"/>
  <c r="AJ23" s="1"/>
  <c r="AA22"/>
  <c r="AJ22" s="1"/>
  <c r="AA21"/>
  <c r="AJ21" s="1"/>
  <c r="AA22" i="14"/>
  <c r="AJ22" s="1"/>
  <c r="AA23"/>
  <c r="AJ23" s="1"/>
  <c r="AP22"/>
  <c r="G36" i="3"/>
  <c r="BD22" i="13"/>
  <c r="J24" i="3" s="1"/>
  <c r="AY28" i="13"/>
  <c r="E30" i="3" s="1"/>
  <c r="AS22" i="13"/>
  <c r="AP23" i="14"/>
  <c r="G37" i="3"/>
  <c r="AP21" i="14"/>
  <c r="G35" i="3"/>
  <c r="Y22" i="13"/>
  <c r="AH22" s="1"/>
  <c r="AQ22" s="1"/>
  <c r="Y21" i="14"/>
  <c r="Y21" i="13"/>
  <c r="AH21" s="1"/>
  <c r="AQ21" s="1"/>
  <c r="Y22" i="14"/>
  <c r="AH22" s="1"/>
  <c r="AQ22" s="1"/>
  <c r="Y23"/>
  <c r="AH23" s="1"/>
  <c r="AQ23" s="1"/>
  <c r="Y23" i="13"/>
  <c r="AH23" s="1"/>
  <c r="AQ23" s="1"/>
  <c r="BD21"/>
  <c r="J23" i="3" s="1"/>
  <c r="AY27" i="13"/>
  <c r="E29" i="3" s="1"/>
  <c r="AS21" i="13"/>
  <c r="BD23"/>
  <c r="J25" i="3" s="1"/>
  <c r="AY29" i="13"/>
  <c r="E31" i="3" s="1"/>
  <c r="AS23" i="13"/>
  <c r="BD23" i="14"/>
  <c r="J37" i="3" s="1"/>
  <c r="AY29" i="14"/>
  <c r="E43" i="3" s="1"/>
  <c r="AS23" i="14"/>
  <c r="AP21" i="13"/>
  <c r="G23" i="3"/>
  <c r="AH21" i="14"/>
  <c r="AQ21" s="1"/>
  <c r="V168" i="18"/>
  <c r="D16" i="2"/>
  <c r="I10"/>
  <c r="I16" s="1"/>
  <c r="D17"/>
  <c r="I12"/>
  <c r="I17" s="1"/>
  <c r="I13"/>
  <c r="D13"/>
  <c r="B18" i="6"/>
  <c r="G18" s="1"/>
  <c r="A24"/>
  <c r="A19"/>
  <c r="AY21" i="13" l="1"/>
  <c r="E23" i="3" s="1"/>
  <c r="AU21" i="13"/>
  <c r="AU23" i="14"/>
  <c r="AY23"/>
  <c r="E37" i="3" s="1"/>
  <c r="I18" i="2"/>
  <c r="I20" s="1"/>
  <c r="W19" i="13"/>
  <c r="AF19" s="1"/>
  <c r="W18"/>
  <c r="AF18" s="1"/>
  <c r="W20" i="14"/>
  <c r="AF20" s="1"/>
  <c r="W20" i="13"/>
  <c r="AF20" s="1"/>
  <c r="W18" i="14"/>
  <c r="AF18" s="1"/>
  <c r="W19"/>
  <c r="AF19" s="1"/>
  <c r="X19"/>
  <c r="AG19" s="1"/>
  <c r="BA19" s="1"/>
  <c r="X18"/>
  <c r="AG18" s="1"/>
  <c r="BA18" s="1"/>
  <c r="X20" i="13"/>
  <c r="AG20" s="1"/>
  <c r="BA20" s="1"/>
  <c r="X18"/>
  <c r="AG18" s="1"/>
  <c r="BA18" s="1"/>
  <c r="X20" i="14"/>
  <c r="AG20" s="1"/>
  <c r="BA20" s="1"/>
  <c r="X19" i="13"/>
  <c r="AG19" s="1"/>
  <c r="BA19" s="1"/>
  <c r="AU22"/>
  <c r="AY22"/>
  <c r="E24" i="3" s="1"/>
  <c r="AU22" i="14"/>
  <c r="AY22"/>
  <c r="E36" i="3" s="1"/>
  <c r="AU21" i="14"/>
  <c r="AY21"/>
  <c r="E35" i="3" s="1"/>
  <c r="AY23" i="13"/>
  <c r="E25" i="3" s="1"/>
  <c r="AU23" i="13"/>
  <c r="AD23" i="14"/>
  <c r="AM23" s="1"/>
  <c r="AR23" s="1"/>
  <c r="BK23" s="1"/>
  <c r="Q37" i="3" s="1"/>
  <c r="AD22" i="14"/>
  <c r="AM22" s="1"/>
  <c r="AR22" s="1"/>
  <c r="BK22" s="1"/>
  <c r="Q36" i="3" s="1"/>
  <c r="AD22" i="13"/>
  <c r="AM22" s="1"/>
  <c r="AR22" s="1"/>
  <c r="BK22" s="1"/>
  <c r="Q24" i="3" s="1"/>
  <c r="AD21" i="13"/>
  <c r="AM21" s="1"/>
  <c r="AR21" s="1"/>
  <c r="BK21" s="1"/>
  <c r="Q23" i="3" s="1"/>
  <c r="AD23" i="13"/>
  <c r="AM23" s="1"/>
  <c r="AR23" s="1"/>
  <c r="BK23" s="1"/>
  <c r="Q25" i="3" s="1"/>
  <c r="AD21" i="14"/>
  <c r="AM21" s="1"/>
  <c r="AR21" s="1"/>
  <c r="BK21" s="1"/>
  <c r="Q35" i="3" s="1"/>
  <c r="W168" i="18"/>
  <c r="C18" i="6"/>
  <c r="D18" s="1"/>
  <c r="H18" s="1"/>
  <c r="O18"/>
  <c r="R18"/>
  <c r="U18"/>
  <c r="N18"/>
  <c r="P18"/>
  <c r="D18" i="2"/>
  <c r="D20" s="1"/>
  <c r="B24" i="6"/>
  <c r="G24" s="1"/>
  <c r="A25"/>
  <c r="B19"/>
  <c r="G19" s="1"/>
  <c r="A20"/>
  <c r="AP19" i="13" l="1"/>
  <c r="G21" i="3"/>
  <c r="BD18" i="14"/>
  <c r="J32" i="3" s="1"/>
  <c r="AY24" i="14"/>
  <c r="E38" i="3" s="1"/>
  <c r="AS18" i="14"/>
  <c r="BD18" i="13"/>
  <c r="J20" i="3" s="1"/>
  <c r="AY24" i="13"/>
  <c r="E26" i="3" s="1"/>
  <c r="AS18" i="13"/>
  <c r="AP18"/>
  <c r="G20" i="3"/>
  <c r="AY26" i="14"/>
  <c r="E40" i="3" s="1"/>
  <c r="BD20" i="14"/>
  <c r="J34" i="3" s="1"/>
  <c r="AS20" i="14"/>
  <c r="AP20"/>
  <c r="G34" i="3"/>
  <c r="AP19" i="14"/>
  <c r="G33" i="3"/>
  <c r="AY26" i="13"/>
  <c r="E28" i="3" s="1"/>
  <c r="BD20" i="13"/>
  <c r="J22" i="3" s="1"/>
  <c r="AS20" i="13"/>
  <c r="I19" i="2"/>
  <c r="AA20" i="14"/>
  <c r="AJ20" s="1"/>
  <c r="AA20" i="13"/>
  <c r="AJ20" s="1"/>
  <c r="AA18" i="14"/>
  <c r="AJ18" s="1"/>
  <c r="AA19"/>
  <c r="AJ19" s="1"/>
  <c r="AA19" i="13"/>
  <c r="AJ19" s="1"/>
  <c r="AA18"/>
  <c r="AJ18" s="1"/>
  <c r="AP18" i="14"/>
  <c r="G32" i="3"/>
  <c r="BD19" i="13"/>
  <c r="J21" i="3" s="1"/>
  <c r="AY25" i="13"/>
  <c r="E27" i="3" s="1"/>
  <c r="AS19" i="13"/>
  <c r="AP20"/>
  <c r="G22" i="3"/>
  <c r="BD19" i="14"/>
  <c r="J33" i="3" s="1"/>
  <c r="AY25" i="14"/>
  <c r="E39" i="3" s="1"/>
  <c r="AS19" i="14"/>
  <c r="Y19" i="13"/>
  <c r="AH19" s="1"/>
  <c r="Y19" i="14"/>
  <c r="AH19" s="1"/>
  <c r="Y18" i="13"/>
  <c r="AH18" s="1"/>
  <c r="AQ18" s="1"/>
  <c r="Y20" i="14"/>
  <c r="AH20" s="1"/>
  <c r="Y20" i="13"/>
  <c r="AH20" s="1"/>
  <c r="Y18" i="14"/>
  <c r="AH18" s="1"/>
  <c r="AQ18" s="1"/>
  <c r="X168" i="18"/>
  <c r="C24" i="6"/>
  <c r="C19"/>
  <c r="D19" s="1"/>
  <c r="H19" s="1"/>
  <c r="AD18"/>
  <c r="AM18" s="1"/>
  <c r="W18"/>
  <c r="AF18" s="1"/>
  <c r="Y18"/>
  <c r="AH18" s="1"/>
  <c r="AA18"/>
  <c r="AJ18" s="1"/>
  <c r="X18"/>
  <c r="AG18" s="1"/>
  <c r="BA18" s="1"/>
  <c r="D19" i="2"/>
  <c r="U19" i="6"/>
  <c r="N19"/>
  <c r="O19"/>
  <c r="P19"/>
  <c r="R19"/>
  <c r="B20"/>
  <c r="G20" s="1"/>
  <c r="A21"/>
  <c r="A26"/>
  <c r="B25"/>
  <c r="G25" s="1"/>
  <c r="E18"/>
  <c r="AQ19" i="14" l="1"/>
  <c r="AY19" s="1"/>
  <c r="E33" i="3" s="1"/>
  <c r="AU18" i="14"/>
  <c r="AY18"/>
  <c r="E32" i="3" s="1"/>
  <c r="AY18" i="13"/>
  <c r="E20" i="3" s="1"/>
  <c r="AU18" i="13"/>
  <c r="AD20"/>
  <c r="AM20" s="1"/>
  <c r="AR20" s="1"/>
  <c r="BK20" s="1"/>
  <c r="Q22" i="3" s="1"/>
  <c r="AD18" i="13"/>
  <c r="AM18" s="1"/>
  <c r="AR18" s="1"/>
  <c r="BK18" s="1"/>
  <c r="Q20" i="3" s="1"/>
  <c r="AD18" i="14"/>
  <c r="AM18" s="1"/>
  <c r="AR18" s="1"/>
  <c r="BK18" s="1"/>
  <c r="Q32" i="3" s="1"/>
  <c r="AD20" i="14"/>
  <c r="AM20" s="1"/>
  <c r="AR20" s="1"/>
  <c r="BK20" s="1"/>
  <c r="Q34" i="3" s="1"/>
  <c r="AD19" i="13"/>
  <c r="AM19" s="1"/>
  <c r="AR19" s="1"/>
  <c r="BK19" s="1"/>
  <c r="Q21" i="3" s="1"/>
  <c r="AD19" i="14"/>
  <c r="AM19" s="1"/>
  <c r="AR19" s="1"/>
  <c r="BK19" s="1"/>
  <c r="Q33" i="3" s="1"/>
  <c r="AQ20" i="14"/>
  <c r="AQ20" i="13"/>
  <c r="AQ19"/>
  <c r="D24" i="6"/>
  <c r="H24" s="1"/>
  <c r="C20"/>
  <c r="D20" s="1"/>
  <c r="H20" s="1"/>
  <c r="AY24"/>
  <c r="E14" i="3" s="1"/>
  <c r="BD18" i="6"/>
  <c r="J8" i="3" s="1"/>
  <c r="AP18" i="6"/>
  <c r="G8" i="3"/>
  <c r="R20" i="6"/>
  <c r="U20"/>
  <c r="N20"/>
  <c r="P20"/>
  <c r="O20"/>
  <c r="AA19"/>
  <c r="AJ19" s="1"/>
  <c r="AD19"/>
  <c r="AM19" s="1"/>
  <c r="W19"/>
  <c r="AF19" s="1"/>
  <c r="X19"/>
  <c r="AG19" s="1"/>
  <c r="BA19" s="1"/>
  <c r="Y19"/>
  <c r="AH19" s="1"/>
  <c r="A27"/>
  <c r="B21"/>
  <c r="G21" s="1"/>
  <c r="A22"/>
  <c r="AS18"/>
  <c r="I18"/>
  <c r="L18"/>
  <c r="AR18" s="1"/>
  <c r="BK18" s="1"/>
  <c r="Q8" i="3" s="1"/>
  <c r="C25" i="6"/>
  <c r="B26"/>
  <c r="G26" s="1"/>
  <c r="E19"/>
  <c r="AU19" i="14" l="1"/>
  <c r="AU20" i="13"/>
  <c r="AY20"/>
  <c r="E22" i="3" s="1"/>
  <c r="AU19" i="13"/>
  <c r="AY19"/>
  <c r="E21" i="3" s="1"/>
  <c r="AY20" i="14"/>
  <c r="E34" i="3" s="1"/>
  <c r="AU20" i="14"/>
  <c r="E24" i="6"/>
  <c r="I24" s="1"/>
  <c r="C8" i="3"/>
  <c r="B8" s="1"/>
  <c r="BD19" i="6"/>
  <c r="J9" i="3" s="1"/>
  <c r="AY25" i="6"/>
  <c r="E15" i="3" s="1"/>
  <c r="AP19" i="6"/>
  <c r="G9" i="3"/>
  <c r="Y20" i="6"/>
  <c r="AH20" s="1"/>
  <c r="AA20"/>
  <c r="AJ20" s="1"/>
  <c r="X20"/>
  <c r="AG20" s="1"/>
  <c r="BA20" s="1"/>
  <c r="AD20"/>
  <c r="AM20" s="1"/>
  <c r="W20"/>
  <c r="AF20" s="1"/>
  <c r="P21"/>
  <c r="R21"/>
  <c r="O21"/>
  <c r="U21"/>
  <c r="N21"/>
  <c r="I19"/>
  <c r="L19"/>
  <c r="AQ19" s="1"/>
  <c r="AS19"/>
  <c r="B22"/>
  <c r="G22" s="1"/>
  <c r="A28"/>
  <c r="A23"/>
  <c r="D25"/>
  <c r="H25" s="1"/>
  <c r="AO18"/>
  <c r="AW24"/>
  <c r="C14" i="3" s="1"/>
  <c r="B14" s="1"/>
  <c r="B27" i="6"/>
  <c r="G27" s="1"/>
  <c r="AQ18"/>
  <c r="E20"/>
  <c r="C21"/>
  <c r="C26"/>
  <c r="AT18" l="1"/>
  <c r="AT18" i="14"/>
  <c r="AT18" i="13"/>
  <c r="C27" i="6"/>
  <c r="E25"/>
  <c r="I25" s="1"/>
  <c r="C9" i="3"/>
  <c r="BD20" i="6"/>
  <c r="J10" i="3" s="1"/>
  <c r="AY26" i="6"/>
  <c r="E16" i="3" s="1"/>
  <c r="O22" i="6"/>
  <c r="P22"/>
  <c r="U22"/>
  <c r="N22"/>
  <c r="R22"/>
  <c r="AP20"/>
  <c r="G10" i="3"/>
  <c r="AU19" i="6"/>
  <c r="AY19"/>
  <c r="E9" i="3" s="1"/>
  <c r="AS20" i="6"/>
  <c r="D26"/>
  <c r="H26" s="1"/>
  <c r="AY18"/>
  <c r="E8" i="3" s="1"/>
  <c r="AU18" i="6"/>
  <c r="B28"/>
  <c r="G28" s="1"/>
  <c r="A29"/>
  <c r="B23"/>
  <c r="G23" s="1"/>
  <c r="I20"/>
  <c r="L20"/>
  <c r="AR20" s="1"/>
  <c r="BK20" s="1"/>
  <c r="Q10" i="3" s="1"/>
  <c r="AW25" i="6"/>
  <c r="C15" i="3" s="1"/>
  <c r="B15" s="1"/>
  <c r="AO19" i="6"/>
  <c r="AR19"/>
  <c r="BK19" s="1"/>
  <c r="Q9" i="3" s="1"/>
  <c r="C22" i="6"/>
  <c r="D21"/>
  <c r="H21" s="1"/>
  <c r="D27"/>
  <c r="H27" s="1"/>
  <c r="AT19" l="1"/>
  <c r="B9" i="3"/>
  <c r="AT19" i="14"/>
  <c r="AT19" i="13"/>
  <c r="AT20"/>
  <c r="C10" i="3"/>
  <c r="E27" i="6"/>
  <c r="I27" s="1"/>
  <c r="X21"/>
  <c r="AG21" s="1"/>
  <c r="BA21" s="1"/>
  <c r="Y21"/>
  <c r="AH21" s="1"/>
  <c r="AD21"/>
  <c r="AM21" s="1"/>
  <c r="W21"/>
  <c r="AF21" s="1"/>
  <c r="AA21"/>
  <c r="AJ21" s="1"/>
  <c r="U23"/>
  <c r="N23"/>
  <c r="O23"/>
  <c r="R23"/>
  <c r="P23"/>
  <c r="B29"/>
  <c r="G29" s="1"/>
  <c r="D22"/>
  <c r="H22" s="1"/>
  <c r="AO20"/>
  <c r="AW26"/>
  <c r="C16" i="3" s="1"/>
  <c r="AQ20" i="6"/>
  <c r="E21"/>
  <c r="C23"/>
  <c r="C28"/>
  <c r="E26"/>
  <c r="I26" s="1"/>
  <c r="C8" i="10" l="1"/>
  <c r="C7" i="15" s="1"/>
  <c r="B16" i="3"/>
  <c r="AT20" i="14"/>
  <c r="B10" i="3"/>
  <c r="AT20" i="6"/>
  <c r="C7" i="10"/>
  <c r="C6" i="15" s="1"/>
  <c r="C29" i="6"/>
  <c r="D29" s="1"/>
  <c r="H29" s="1"/>
  <c r="E22"/>
  <c r="L22" s="1"/>
  <c r="AP21"/>
  <c r="G11" i="3"/>
  <c r="AD22" i="6"/>
  <c r="AM22" s="1"/>
  <c r="W22"/>
  <c r="AF22" s="1"/>
  <c r="X22"/>
  <c r="AG22" s="1"/>
  <c r="BA22" s="1"/>
  <c r="AA22"/>
  <c r="AJ22" s="1"/>
  <c r="Y22"/>
  <c r="AH22" s="1"/>
  <c r="AY27"/>
  <c r="E17" i="3" s="1"/>
  <c r="BD21" i="6"/>
  <c r="J11" i="3" s="1"/>
  <c r="AY20" i="6"/>
  <c r="E10" i="3" s="1"/>
  <c r="AU20" i="6"/>
  <c r="I22"/>
  <c r="AS21"/>
  <c r="I21"/>
  <c r="L21"/>
  <c r="AR21" s="1"/>
  <c r="BK21" s="1"/>
  <c r="Q11" i="3" s="1"/>
  <c r="D23" i="6"/>
  <c r="H23" s="1"/>
  <c r="D28"/>
  <c r="H28" s="1"/>
  <c r="B7" i="10" l="1"/>
  <c r="E7" s="1"/>
  <c r="E6" i="15" s="1"/>
  <c r="B8" i="10"/>
  <c r="E29" i="6"/>
  <c r="I29" s="1"/>
  <c r="C11" i="3"/>
  <c r="B11" s="1"/>
  <c r="C12"/>
  <c r="B12" s="1"/>
  <c r="AQ22" i="6"/>
  <c r="AU22" s="1"/>
  <c r="AR22"/>
  <c r="BK22" s="1"/>
  <c r="Q12" i="3" s="1"/>
  <c r="E28" i="6"/>
  <c r="I28" s="1"/>
  <c r="AP22"/>
  <c r="G12" i="3"/>
  <c r="AA23" i="6"/>
  <c r="AJ23" s="1"/>
  <c r="AD23"/>
  <c r="AM23" s="1"/>
  <c r="Y23"/>
  <c r="AH23" s="1"/>
  <c r="W23"/>
  <c r="AF23" s="1"/>
  <c r="X23"/>
  <c r="AG23" s="1"/>
  <c r="BA23" s="1"/>
  <c r="BD22"/>
  <c r="J12" i="3" s="1"/>
  <c r="AY28" i="6"/>
  <c r="E18" i="3" s="1"/>
  <c r="AS22" i="6"/>
  <c r="AO22"/>
  <c r="AW28"/>
  <c r="C18" i="3" s="1"/>
  <c r="B18" s="1"/>
  <c r="AQ21" i="6"/>
  <c r="E23"/>
  <c r="AW27"/>
  <c r="C17" i="3" s="1"/>
  <c r="B17" s="1"/>
  <c r="AO21" i="6"/>
  <c r="F7" i="10" l="1"/>
  <c r="F6" i="15" s="1"/>
  <c r="J7" i="10"/>
  <c r="J6" i="15" s="1"/>
  <c r="N7" i="10"/>
  <c r="N6" i="15" s="1"/>
  <c r="R7" i="10"/>
  <c r="R6" i="15" s="1"/>
  <c r="H7" i="10"/>
  <c r="H6" i="15" s="1"/>
  <c r="L7" i="10"/>
  <c r="L6" i="15" s="1"/>
  <c r="P7" i="10"/>
  <c r="P6" i="15" s="1"/>
  <c r="G7" i="10"/>
  <c r="G6" i="15" s="1"/>
  <c r="K7" i="10"/>
  <c r="K6" i="15" s="1"/>
  <c r="O7" i="10"/>
  <c r="O6" i="15" s="1"/>
  <c r="I7" i="10"/>
  <c r="I6" i="15" s="1"/>
  <c r="M7" i="10"/>
  <c r="M6" i="15" s="1"/>
  <c r="Q7" i="10"/>
  <c r="Q6" i="15" s="1"/>
  <c r="AT21" i="6"/>
  <c r="AT22" i="14"/>
  <c r="AT21" i="13"/>
  <c r="AT22"/>
  <c r="AT21" i="14"/>
  <c r="AT22" i="6"/>
  <c r="AY22"/>
  <c r="E12" i="3" s="1"/>
  <c r="BD23" i="6"/>
  <c r="J13" i="3" s="1"/>
  <c r="AY29" i="6"/>
  <c r="AP23"/>
  <c r="G13" i="3"/>
  <c r="I23" i="6"/>
  <c r="L23"/>
  <c r="AQ23" s="1"/>
  <c r="AS23"/>
  <c r="AU21"/>
  <c r="AY21"/>
  <c r="E11" i="3" s="1"/>
  <c r="A8" i="16" l="1"/>
  <c r="B6" i="15"/>
  <c r="C8" i="16" s="1"/>
  <c r="M8"/>
  <c r="N8"/>
  <c r="J8"/>
  <c r="A9"/>
  <c r="B7" i="15"/>
  <c r="E8" i="16"/>
  <c r="F8"/>
  <c r="L8"/>
  <c r="O8"/>
  <c r="D8"/>
  <c r="E19" i="3"/>
  <c r="AR23" i="6"/>
  <c r="BK23" s="1"/>
  <c r="Q13" i="3" s="1"/>
  <c r="C13"/>
  <c r="B13" s="1"/>
  <c r="AU23" i="6"/>
  <c r="AY23"/>
  <c r="E13" i="3" s="1"/>
  <c r="AW29" i="6"/>
  <c r="C19" i="3" s="1"/>
  <c r="B19" s="1"/>
  <c r="AO23" i="6"/>
  <c r="I9" i="10" l="1"/>
  <c r="I8" i="15" s="1"/>
  <c r="Q9" i="10"/>
  <c r="Q8" i="15" s="1"/>
  <c r="R11" i="10"/>
  <c r="R12"/>
  <c r="K11"/>
  <c r="K10" i="15" s="1"/>
  <c r="K12" s="1"/>
  <c r="I14" i="16" s="1"/>
  <c r="I8"/>
  <c r="K8"/>
  <c r="H8"/>
  <c r="G9" i="10"/>
  <c r="G8" i="15" s="1"/>
  <c r="E9" i="10"/>
  <c r="E8" i="15" s="1"/>
  <c r="L12" i="10"/>
  <c r="H12"/>
  <c r="H11" i="15" s="1"/>
  <c r="H13" s="1"/>
  <c r="F15" i="16" s="1"/>
  <c r="P9" i="10"/>
  <c r="P8" i="15" s="1"/>
  <c r="M9" i="10"/>
  <c r="M8" i="15" s="1"/>
  <c r="E12" i="10"/>
  <c r="E11" i="15" s="1"/>
  <c r="E13" s="1"/>
  <c r="C15" i="16" s="1"/>
  <c r="H9" i="10"/>
  <c r="H8" i="15" s="1"/>
  <c r="P10" i="10"/>
  <c r="P9" i="15" s="1"/>
  <c r="Q11" i="10"/>
  <c r="Q10" i="15" s="1"/>
  <c r="Q12" s="1"/>
  <c r="O14" i="16" s="1"/>
  <c r="G8" i="10"/>
  <c r="G7" i="15" s="1"/>
  <c r="M8" i="10"/>
  <c r="M7" i="15" s="1"/>
  <c r="K9" i="16" s="1"/>
  <c r="L8" i="10"/>
  <c r="J8"/>
  <c r="J7" i="15" s="1"/>
  <c r="N10" i="10"/>
  <c r="N9" i="15" s="1"/>
  <c r="K12" i="10"/>
  <c r="K11" i="15" s="1"/>
  <c r="K13" s="1"/>
  <c r="I15" i="16" s="1"/>
  <c r="O11" i="10"/>
  <c r="O10" i="15" s="1"/>
  <c r="O12" s="1"/>
  <c r="M14" i="16" s="1"/>
  <c r="I10" i="10"/>
  <c r="I9" i="15" s="1"/>
  <c r="E10" i="10"/>
  <c r="E9" i="15" s="1"/>
  <c r="F11" i="10"/>
  <c r="R10"/>
  <c r="R9" i="15" s="1"/>
  <c r="N12" i="10"/>
  <c r="G10"/>
  <c r="G9" i="15" s="1"/>
  <c r="H8" i="10"/>
  <c r="H7" i="15" s="1"/>
  <c r="Q12" i="10"/>
  <c r="Q11" i="15" s="1"/>
  <c r="Q13" s="1"/>
  <c r="O15" i="16" s="1"/>
  <c r="M12" i="10"/>
  <c r="M11" i="15" s="1"/>
  <c r="M13" s="1"/>
  <c r="K15" i="16" s="1"/>
  <c r="J12" i="10"/>
  <c r="J11" i="15" s="1"/>
  <c r="J13" s="1"/>
  <c r="H15" i="16" s="1"/>
  <c r="O10" i="10"/>
  <c r="O9" i="15" s="1"/>
  <c r="F9" i="10"/>
  <c r="F8" i="15" s="1"/>
  <c r="K9" i="10"/>
  <c r="K8" i="15" s="1"/>
  <c r="H11" i="10"/>
  <c r="H10" i="15" s="1"/>
  <c r="H12" s="1"/>
  <c r="F14" i="16" s="1"/>
  <c r="P12" i="10"/>
  <c r="R8"/>
  <c r="F12"/>
  <c r="R9"/>
  <c r="R8" i="15" s="1"/>
  <c r="J11" i="10"/>
  <c r="J10" i="15" s="1"/>
  <c r="J12" s="1"/>
  <c r="H14" i="16" s="1"/>
  <c r="E11" i="10"/>
  <c r="E10" i="15" s="1"/>
  <c r="E12" s="1"/>
  <c r="C14" i="16" s="1"/>
  <c r="F10" i="10"/>
  <c r="F9" i="15" s="1"/>
  <c r="J10" i="10"/>
  <c r="J9" i="15" s="1"/>
  <c r="L11" i="10"/>
  <c r="L10" i="15" s="1"/>
  <c r="L12" s="1"/>
  <c r="J14" i="16" s="1"/>
  <c r="P11" i="10"/>
  <c r="G12"/>
  <c r="G11" i="15" s="1"/>
  <c r="G13" s="1"/>
  <c r="E15" i="16" s="1"/>
  <c r="H10" i="10"/>
  <c r="H9" i="15" s="1"/>
  <c r="G11" i="10"/>
  <c r="G10" i="15" s="1"/>
  <c r="G12" s="1"/>
  <c r="E14" i="16" s="1"/>
  <c r="O12" i="10"/>
  <c r="O11" i="15" s="1"/>
  <c r="O13" s="1"/>
  <c r="M15" i="16" s="1"/>
  <c r="K8" i="10"/>
  <c r="K7" i="15" s="1"/>
  <c r="I9" i="16" s="1"/>
  <c r="Q8" i="10"/>
  <c r="Q7" i="15" s="1"/>
  <c r="O9" i="16" s="1"/>
  <c r="P8" i="10"/>
  <c r="N8"/>
  <c r="M10"/>
  <c r="M9" i="15" s="1"/>
  <c r="Q10" i="10"/>
  <c r="Q9" i="15" s="1"/>
  <c r="I12" i="10"/>
  <c r="N9"/>
  <c r="N8" i="15" s="1"/>
  <c r="L9" i="10"/>
  <c r="L8" i="15" s="1"/>
  <c r="I8" i="10"/>
  <c r="F8"/>
  <c r="L10"/>
  <c r="L9" i="15" s="1"/>
  <c r="K10" i="10"/>
  <c r="K9" i="15" s="1"/>
  <c r="M11" i="10"/>
  <c r="M10" i="15" s="1"/>
  <c r="M12" s="1"/>
  <c r="K14" i="16" s="1"/>
  <c r="O9" i="10"/>
  <c r="O8" i="15" s="1"/>
  <c r="I11" i="10"/>
  <c r="N11"/>
  <c r="O8"/>
  <c r="O7" i="15" s="1"/>
  <c r="M9" i="16" s="1"/>
  <c r="E8" i="10"/>
  <c r="E7" i="15" s="1"/>
  <c r="C9" i="16" s="1"/>
  <c r="J9" i="10"/>
  <c r="J8" i="15" s="1"/>
  <c r="AT23" i="13"/>
  <c r="AT23" i="14"/>
  <c r="AT23" i="6"/>
  <c r="N7" i="15" l="1"/>
  <c r="L9" i="16" s="1"/>
  <c r="N10"/>
  <c r="P10" i="15"/>
  <c r="P12" s="1"/>
  <c r="N14" i="16" s="1"/>
  <c r="L7" i="15"/>
  <c r="J9" i="16" s="1"/>
  <c r="D11"/>
  <c r="F11" i="15"/>
  <c r="L11" i="16"/>
  <c r="N11" i="15"/>
  <c r="N13" s="1"/>
  <c r="L15" i="16" s="1"/>
  <c r="R10" i="15"/>
  <c r="F7"/>
  <c r="D9" i="16" s="1"/>
  <c r="I11" i="15"/>
  <c r="P7"/>
  <c r="N9" i="16" s="1"/>
  <c r="N11"/>
  <c r="P11" i="15"/>
  <c r="P13" s="1"/>
  <c r="N15" i="16" s="1"/>
  <c r="D10"/>
  <c r="F10" i="15"/>
  <c r="I10"/>
  <c r="R7"/>
  <c r="P9" i="16" s="1"/>
  <c r="L10"/>
  <c r="N10" i="15"/>
  <c r="N12" s="1"/>
  <c r="L14" i="16" s="1"/>
  <c r="I7" i="15"/>
  <c r="J11" i="16"/>
  <c r="L11" i="15"/>
  <c r="L13" s="1"/>
  <c r="J15" i="16" s="1"/>
  <c r="P11"/>
  <c r="R11" i="15"/>
  <c r="H12" i="16"/>
  <c r="M11"/>
  <c r="C10"/>
  <c r="O11"/>
  <c r="E12"/>
  <c r="K13"/>
  <c r="E11"/>
  <c r="I12"/>
  <c r="O10"/>
  <c r="K12"/>
  <c r="C12"/>
  <c r="M12"/>
  <c r="E10"/>
  <c r="H10"/>
  <c r="M13"/>
  <c r="F9"/>
  <c r="I11"/>
  <c r="F12"/>
  <c r="F11"/>
  <c r="I10"/>
  <c r="J10"/>
  <c r="M10"/>
  <c r="O12"/>
  <c r="I13"/>
  <c r="K11"/>
  <c r="H9"/>
  <c r="K10"/>
  <c r="O13"/>
  <c r="F13"/>
  <c r="H13"/>
  <c r="F10"/>
  <c r="H11"/>
  <c r="E13"/>
  <c r="C13"/>
  <c r="E9"/>
  <c r="C11"/>
  <c r="I13" i="15" l="1"/>
  <c r="D13" i="16"/>
  <c r="F13" i="15"/>
  <c r="D15" i="16" s="1"/>
  <c r="P13"/>
  <c r="R13" i="15"/>
  <c r="P15" i="16" s="1"/>
  <c r="D12"/>
  <c r="F12" i="15"/>
  <c r="D14" i="16" s="1"/>
  <c r="R12" i="15"/>
  <c r="I12"/>
  <c r="L12" i="16"/>
  <c r="J12"/>
  <c r="N12"/>
  <c r="L13" l="1"/>
  <c r="J13"/>
  <c r="N13"/>
  <c r="T56" i="17" l="1"/>
  <c r="T93" s="1"/>
  <c r="G56"/>
  <c r="G93" s="1"/>
  <c r="J56"/>
  <c r="J93" s="1"/>
  <c r="M56"/>
  <c r="M93" s="1"/>
  <c r="P56"/>
  <c r="P93" s="1"/>
  <c r="Q56"/>
  <c r="Q93" s="1"/>
  <c r="F56"/>
  <c r="F93" s="1"/>
  <c r="W56"/>
  <c r="W93" s="1"/>
  <c r="K56"/>
  <c r="K93" s="1"/>
  <c r="O56"/>
  <c r="O93" s="1"/>
  <c r="S56"/>
  <c r="S93" s="1"/>
  <c r="U56"/>
  <c r="U93" s="1"/>
  <c r="V56"/>
  <c r="V93" s="1"/>
  <c r="H56"/>
  <c r="H93" s="1"/>
  <c r="I56"/>
  <c r="I93" s="1"/>
  <c r="R56"/>
  <c r="R93" s="1"/>
  <c r="N56"/>
  <c r="N93" s="1"/>
  <c r="L56"/>
  <c r="L93" s="1"/>
  <c r="X56"/>
  <c r="X93" s="1"/>
  <c r="E56" l="1"/>
  <c r="E93" s="1"/>
  <c r="Y93" s="1"/>
  <c r="F93" i="18" l="1"/>
  <c r="F130" s="1"/>
  <c r="E93"/>
  <c r="E130" s="1"/>
  <c r="E169" s="1"/>
  <c r="F169" l="1"/>
  <c r="G93"/>
  <c r="G130" s="1"/>
  <c r="G169" l="1"/>
  <c r="H93"/>
  <c r="H130" s="1"/>
  <c r="I93"/>
  <c r="I130" s="1"/>
  <c r="H169" l="1"/>
  <c r="I169" s="1"/>
  <c r="J93"/>
  <c r="J130" s="1"/>
  <c r="J169" l="1"/>
  <c r="K93"/>
  <c r="K130" s="1"/>
  <c r="K169" l="1"/>
  <c r="L93"/>
  <c r="L130" s="1"/>
  <c r="L169" l="1"/>
  <c r="M93"/>
  <c r="M130" s="1"/>
  <c r="M169" l="1"/>
  <c r="N93"/>
  <c r="N130" s="1"/>
  <c r="N169" l="1"/>
  <c r="O93"/>
  <c r="O130" s="1"/>
  <c r="O169" l="1"/>
  <c r="P93"/>
  <c r="P130" s="1"/>
  <c r="P169" l="1"/>
  <c r="Q93"/>
  <c r="Q130" s="1"/>
  <c r="Q169" l="1"/>
  <c r="R93"/>
  <c r="R130" s="1"/>
  <c r="R169" l="1"/>
  <c r="S93"/>
  <c r="S130" s="1"/>
  <c r="S169" l="1"/>
  <c r="T93"/>
  <c r="T130" s="1"/>
  <c r="T169" l="1"/>
  <c r="U93"/>
  <c r="U130" s="1"/>
  <c r="U169" l="1"/>
  <c r="V93"/>
  <c r="V130" s="1"/>
  <c r="V169" l="1"/>
  <c r="W93"/>
  <c r="W130" s="1"/>
  <c r="W169" l="1"/>
  <c r="X93"/>
  <c r="X130" s="1"/>
  <c r="X169" l="1"/>
  <c r="K58" i="17" l="1"/>
  <c r="K59"/>
  <c r="K57"/>
  <c r="K94" s="1"/>
  <c r="T58"/>
  <c r="T59"/>
  <c r="T57"/>
  <c r="T94" s="1"/>
  <c r="J57"/>
  <c r="J94" s="1"/>
  <c r="J58"/>
  <c r="J59"/>
  <c r="Q58"/>
  <c r="Q59"/>
  <c r="Q57"/>
  <c r="Q94" s="1"/>
  <c r="S58"/>
  <c r="S59"/>
  <c r="S57"/>
  <c r="S94" s="1"/>
  <c r="I59"/>
  <c r="I57"/>
  <c r="I94" s="1"/>
  <c r="I58"/>
  <c r="V59"/>
  <c r="V57"/>
  <c r="V94" s="1"/>
  <c r="V58"/>
  <c r="O58"/>
  <c r="O59"/>
  <c r="O57"/>
  <c r="O94" s="1"/>
  <c r="N58"/>
  <c r="N59"/>
  <c r="N57"/>
  <c r="N94" s="1"/>
  <c r="U57"/>
  <c r="U94" s="1"/>
  <c r="U59"/>
  <c r="U58"/>
  <c r="P59"/>
  <c r="P58"/>
  <c r="P57"/>
  <c r="P94" s="1"/>
  <c r="H57"/>
  <c r="H94" s="1"/>
  <c r="H58"/>
  <c r="H59"/>
  <c r="E59"/>
  <c r="E58"/>
  <c r="E57"/>
  <c r="E94" s="1"/>
  <c r="M58"/>
  <c r="M59"/>
  <c r="M57"/>
  <c r="M94" s="1"/>
  <c r="G57"/>
  <c r="G94" s="1"/>
  <c r="G58"/>
  <c r="G59"/>
  <c r="L57"/>
  <c r="L94" s="1"/>
  <c r="L59"/>
  <c r="L58"/>
  <c r="F57"/>
  <c r="F94" s="1"/>
  <c r="F58"/>
  <c r="F59"/>
  <c r="W57"/>
  <c r="W94" s="1"/>
  <c r="W58"/>
  <c r="W59"/>
  <c r="R59"/>
  <c r="R57"/>
  <c r="R94" s="1"/>
  <c r="R58"/>
  <c r="X57"/>
  <c r="X94" s="1"/>
  <c r="X58"/>
  <c r="X59"/>
  <c r="Y94" l="1"/>
  <c r="W95"/>
  <c r="L95"/>
  <c r="G95"/>
  <c r="F95"/>
  <c r="U95"/>
  <c r="X95"/>
  <c r="R95"/>
  <c r="V95"/>
  <c r="M96"/>
  <c r="J96"/>
  <c r="K96"/>
  <c r="H95"/>
  <c r="P96"/>
  <c r="Q96"/>
  <c r="G96"/>
  <c r="U96"/>
  <c r="N95"/>
  <c r="X96"/>
  <c r="W96"/>
  <c r="F96"/>
  <c r="O96"/>
  <c r="M95"/>
  <c r="E96"/>
  <c r="I95"/>
  <c r="T96"/>
  <c r="S95"/>
  <c r="R96"/>
  <c r="L96"/>
  <c r="H96"/>
  <c r="N96"/>
  <c r="O95"/>
  <c r="I96"/>
  <c r="J95"/>
  <c r="T95"/>
  <c r="P95"/>
  <c r="V96"/>
  <c r="E95"/>
  <c r="S96"/>
  <c r="Q95"/>
  <c r="K95"/>
  <c r="Y95" l="1"/>
  <c r="Y96"/>
  <c r="E96" i="18"/>
  <c r="E95"/>
  <c r="E94"/>
  <c r="E131" s="1"/>
  <c r="E170" s="1"/>
  <c r="E132" l="1"/>
  <c r="E171" s="1"/>
  <c r="E133"/>
  <c r="E172" s="1"/>
  <c r="H95" l="1"/>
  <c r="H94"/>
  <c r="H131" s="1"/>
  <c r="H96"/>
  <c r="G94"/>
  <c r="G131" s="1"/>
  <c r="G96"/>
  <c r="G95"/>
  <c r="F96"/>
  <c r="F95"/>
  <c r="F94"/>
  <c r="F131" s="1"/>
  <c r="F170" s="1"/>
  <c r="G170" l="1"/>
  <c r="H170" s="1"/>
  <c r="F132"/>
  <c r="F171" s="1"/>
  <c r="F133"/>
  <c r="F172" s="1"/>
  <c r="G132"/>
  <c r="H132"/>
  <c r="H133"/>
  <c r="I96"/>
  <c r="I95"/>
  <c r="I94"/>
  <c r="I131" s="1"/>
  <c r="G133"/>
  <c r="G171" l="1"/>
  <c r="H171" s="1"/>
  <c r="I170"/>
  <c r="G172"/>
  <c r="H172" s="1"/>
  <c r="J94"/>
  <c r="J131" s="1"/>
  <c r="J95"/>
  <c r="J96"/>
  <c r="I132"/>
  <c r="I133"/>
  <c r="I171" l="1"/>
  <c r="J170"/>
  <c r="I172"/>
  <c r="J132"/>
  <c r="J133"/>
  <c r="K96"/>
  <c r="K94"/>
  <c r="K131" s="1"/>
  <c r="K95"/>
  <c r="J171" l="1"/>
  <c r="J172"/>
  <c r="K170"/>
  <c r="K132"/>
  <c r="K133"/>
  <c r="L96"/>
  <c r="L94"/>
  <c r="L131" s="1"/>
  <c r="L170" s="1"/>
  <c r="L95"/>
  <c r="K171" l="1"/>
  <c r="K172"/>
  <c r="L132"/>
  <c r="M94"/>
  <c r="M131" s="1"/>
  <c r="M170" s="1"/>
  <c r="M95"/>
  <c r="M96"/>
  <c r="L133"/>
  <c r="L172" l="1"/>
  <c r="L171"/>
  <c r="M132"/>
  <c r="N96"/>
  <c r="N95"/>
  <c r="N94"/>
  <c r="N131" s="1"/>
  <c r="N170" s="1"/>
  <c r="M133"/>
  <c r="M172" l="1"/>
  <c r="M171"/>
  <c r="N132"/>
  <c r="O96"/>
  <c r="O95"/>
  <c r="O94"/>
  <c r="O131" s="1"/>
  <c r="O170" s="1"/>
  <c r="N133"/>
  <c r="N171" l="1"/>
  <c r="N172"/>
  <c r="P95"/>
  <c r="P96"/>
  <c r="P94"/>
  <c r="P131" s="1"/>
  <c r="P170" s="1"/>
  <c r="O132"/>
  <c r="O133"/>
  <c r="O171" l="1"/>
  <c r="O172"/>
  <c r="Q94"/>
  <c r="Q131" s="1"/>
  <c r="Q170" s="1"/>
  <c r="Q96"/>
  <c r="Q95"/>
  <c r="P133"/>
  <c r="P132"/>
  <c r="P172" l="1"/>
  <c r="P171"/>
  <c r="Q133"/>
  <c r="R96"/>
  <c r="R95"/>
  <c r="R94"/>
  <c r="R131" s="1"/>
  <c r="R170" s="1"/>
  <c r="Q132"/>
  <c r="Q172" l="1"/>
  <c r="Q171"/>
  <c r="S96"/>
  <c r="S95"/>
  <c r="S94"/>
  <c r="S131" s="1"/>
  <c r="S170" s="1"/>
  <c r="R132"/>
  <c r="R133"/>
  <c r="R171" l="1"/>
  <c r="R172"/>
  <c r="S133"/>
  <c r="T96"/>
  <c r="T95"/>
  <c r="T94"/>
  <c r="T131" s="1"/>
  <c r="T170" s="1"/>
  <c r="S132"/>
  <c r="S171" l="1"/>
  <c r="S172"/>
  <c r="T132"/>
  <c r="T133"/>
  <c r="U96"/>
  <c r="U95"/>
  <c r="U94"/>
  <c r="U131" s="1"/>
  <c r="U170" s="1"/>
  <c r="T171" l="1"/>
  <c r="T172"/>
  <c r="U133"/>
  <c r="V96"/>
  <c r="V95"/>
  <c r="V94"/>
  <c r="V131" s="1"/>
  <c r="V170" s="1"/>
  <c r="U132"/>
  <c r="U171" l="1"/>
  <c r="U172"/>
  <c r="W95"/>
  <c r="W94"/>
  <c r="W131" s="1"/>
  <c r="W170" s="1"/>
  <c r="W96"/>
  <c r="V132"/>
  <c r="V133"/>
  <c r="V171" l="1"/>
  <c r="V172"/>
  <c r="X95"/>
  <c r="X96"/>
  <c r="X94"/>
  <c r="X131" s="1"/>
  <c r="W132"/>
  <c r="W133"/>
  <c r="W171" l="1"/>
  <c r="W172"/>
  <c r="X170"/>
  <c r="X133"/>
  <c r="X132"/>
  <c r="X171" l="1"/>
  <c r="X172"/>
  <c r="A9" i="23" l="1"/>
  <c r="A23" i="17"/>
  <c r="C45" i="18"/>
  <c r="A4" i="23"/>
  <c r="A5"/>
  <c r="M59" i="18"/>
  <c r="K32" i="17"/>
  <c r="F32"/>
  <c r="P59" i="18"/>
  <c r="K59"/>
  <c r="E32" i="17"/>
  <c r="E59" i="18"/>
  <c r="X32" i="17"/>
  <c r="X59" i="18"/>
  <c r="W32" i="17"/>
  <c r="C54" i="18"/>
  <c r="C51"/>
  <c r="C43"/>
  <c r="C46"/>
  <c r="C44"/>
  <c r="A26" i="17"/>
  <c r="A46" i="18"/>
  <c r="A25" i="17"/>
  <c r="A51" i="18"/>
  <c r="A54"/>
  <c r="C52"/>
  <c r="C53"/>
  <c r="B44"/>
  <c r="B46"/>
  <c r="B43"/>
  <c r="L32" i="17" l="1"/>
  <c r="H59" i="18"/>
  <c r="H32" i="17"/>
  <c r="J59" i="18"/>
  <c r="J32" i="17"/>
  <c r="O32"/>
  <c r="Q59" i="18"/>
  <c r="I59"/>
  <c r="P32" i="17"/>
  <c r="R59" i="18"/>
  <c r="A8" i="23"/>
  <c r="A3"/>
  <c r="A9" i="17"/>
  <c r="E3" i="23" s="1"/>
  <c r="A52" i="18"/>
  <c r="A53"/>
  <c r="R32" i="17"/>
  <c r="N59" i="18"/>
  <c r="I32" i="17"/>
  <c r="O59" i="18"/>
  <c r="T59"/>
  <c r="T32" i="17"/>
  <c r="V59" i="18"/>
  <c r="G32" i="17"/>
  <c r="Q32"/>
  <c r="W59" i="18"/>
  <c r="A6" i="23"/>
  <c r="A7"/>
  <c r="A9" i="18"/>
  <c r="E8" i="23" s="1"/>
  <c r="A44" i="18"/>
  <c r="A24" i="17"/>
  <c r="S59" i="18"/>
  <c r="N32" i="17"/>
  <c r="S32"/>
  <c r="U59" i="18"/>
  <c r="U32" i="17"/>
  <c r="F59" i="18"/>
  <c r="M32" i="17"/>
  <c r="V32"/>
  <c r="G59" i="18"/>
  <c r="L59"/>
  <c r="A10" i="23"/>
  <c r="A43" i="18"/>
  <c r="A45"/>
  <c r="E4" i="23"/>
  <c r="E7"/>
  <c r="E9"/>
  <c r="P25" i="18"/>
  <c r="L24"/>
  <c r="H23"/>
  <c r="R25"/>
  <c r="R23"/>
  <c r="I26"/>
  <c r="I25"/>
  <c r="I24"/>
  <c r="I23"/>
  <c r="J23"/>
  <c r="G26"/>
  <c r="G25"/>
  <c r="G24"/>
  <c r="G23"/>
  <c r="N23"/>
  <c r="H26"/>
  <c r="P24"/>
  <c r="L23"/>
  <c r="J26"/>
  <c r="J24"/>
  <c r="M26"/>
  <c r="M25"/>
  <c r="M24"/>
  <c r="M23"/>
  <c r="R24"/>
  <c r="K26"/>
  <c r="K25"/>
  <c r="K24"/>
  <c r="K23"/>
  <c r="F24"/>
  <c r="L26"/>
  <c r="H25"/>
  <c r="P23"/>
  <c r="R26"/>
  <c r="N24"/>
  <c r="Q26"/>
  <c r="Q25"/>
  <c r="Q24"/>
  <c r="Q23"/>
  <c r="J25"/>
  <c r="O25"/>
  <c r="O24"/>
  <c r="N25"/>
  <c r="P26"/>
  <c r="L25"/>
  <c r="H24"/>
  <c r="E23"/>
  <c r="F25"/>
  <c r="F23"/>
  <c r="E26"/>
  <c r="E25"/>
  <c r="E24"/>
  <c r="N26"/>
  <c r="S26"/>
  <c r="S25"/>
  <c r="S24"/>
  <c r="S23"/>
  <c r="F26"/>
  <c r="O26"/>
  <c r="O23"/>
  <c r="B26" i="17"/>
  <c r="B54" i="18"/>
  <c r="B52"/>
  <c r="B24" i="17"/>
  <c r="B23"/>
  <c r="B51" i="18"/>
  <c r="B45"/>
  <c r="E5" i="23" l="1"/>
  <c r="E6"/>
  <c r="E10"/>
  <c r="Q28" i="18"/>
  <c r="N28"/>
  <c r="O28"/>
  <c r="M28"/>
  <c r="E28"/>
  <c r="S28"/>
  <c r="F28"/>
  <c r="P28"/>
  <c r="K28"/>
  <c r="I28"/>
  <c r="R28"/>
  <c r="H28"/>
  <c r="L28"/>
  <c r="G28"/>
  <c r="J28"/>
  <c r="B53"/>
  <c r="B25" i="17"/>
  <c r="R51" i="18"/>
  <c r="H51"/>
  <c r="S51"/>
  <c r="I51"/>
  <c r="J51"/>
  <c r="P51"/>
  <c r="O51"/>
  <c r="M51"/>
  <c r="Q51"/>
  <c r="F51"/>
  <c r="K51"/>
  <c r="E51"/>
  <c r="L51"/>
  <c r="G51"/>
  <c r="N51"/>
  <c r="R52"/>
  <c r="J52"/>
  <c r="L52"/>
  <c r="Q52"/>
  <c r="N52"/>
  <c r="E52"/>
  <c r="I52"/>
  <c r="K52"/>
  <c r="S52"/>
  <c r="O52"/>
  <c r="G52"/>
  <c r="P52"/>
  <c r="H52"/>
  <c r="M52"/>
  <c r="F52"/>
  <c r="I54"/>
  <c r="O54"/>
  <c r="K54"/>
  <c r="N54"/>
  <c r="L54"/>
  <c r="R54"/>
  <c r="E54"/>
  <c r="G54"/>
  <c r="M54"/>
  <c r="F54"/>
  <c r="H54"/>
  <c r="S54"/>
  <c r="J54"/>
  <c r="Q54"/>
  <c r="P54"/>
  <c r="J53" l="1"/>
  <c r="R53"/>
  <c r="Q53"/>
  <c r="L53"/>
  <c r="P53"/>
  <c r="N53"/>
  <c r="H53"/>
  <c r="S53"/>
  <c r="K53"/>
  <c r="O53"/>
  <c r="F53"/>
  <c r="M53"/>
  <c r="I53"/>
  <c r="E53"/>
  <c r="G53"/>
  <c r="L56"/>
  <c r="J56"/>
  <c r="P56" l="1"/>
  <c r="O56"/>
  <c r="F56"/>
  <c r="M56"/>
  <c r="I56"/>
  <c r="H56"/>
  <c r="R56"/>
  <c r="S56"/>
  <c r="G56"/>
  <c r="E56"/>
  <c r="N56"/>
  <c r="Q56"/>
  <c r="K56"/>
  <c r="L13" l="1"/>
  <c r="Q16"/>
  <c r="H16"/>
  <c r="F16"/>
  <c r="H15"/>
  <c r="G15"/>
  <c r="J13"/>
  <c r="F13"/>
  <c r="W13"/>
  <c r="L16"/>
  <c r="Q14"/>
  <c r="L14"/>
  <c r="T13"/>
  <c r="U15"/>
  <c r="U45" s="1"/>
  <c r="F14"/>
  <c r="F15"/>
  <c r="L15"/>
  <c r="T16"/>
  <c r="T46" s="1"/>
  <c r="Q15"/>
  <c r="W14"/>
  <c r="W44" s="1"/>
  <c r="X16"/>
  <c r="I16"/>
  <c r="O16"/>
  <c r="T14"/>
  <c r="T44" s="1"/>
  <c r="N16"/>
  <c r="R13"/>
  <c r="S13"/>
  <c r="K13"/>
  <c r="J16"/>
  <c r="W15"/>
  <c r="W45" s="1"/>
  <c r="O15"/>
  <c r="G13"/>
  <c r="K14"/>
  <c r="T15"/>
  <c r="T45" s="1"/>
  <c r="H13"/>
  <c r="U16"/>
  <c r="U46" s="1"/>
  <c r="P15"/>
  <c r="R14"/>
  <c r="X14"/>
  <c r="Q13"/>
  <c r="K15"/>
  <c r="J14"/>
  <c r="N14"/>
  <c r="G14"/>
  <c r="V16"/>
  <c r="V46" s="1"/>
  <c r="W16"/>
  <c r="W46" s="1"/>
  <c r="V13"/>
  <c r="O13"/>
  <c r="M15"/>
  <c r="X15"/>
  <c r="I15"/>
  <c r="N15"/>
  <c r="U14"/>
  <c r="U44" s="1"/>
  <c r="X13"/>
  <c r="P14"/>
  <c r="V14"/>
  <c r="V44" s="1"/>
  <c r="K16"/>
  <c r="H14"/>
  <c r="M16"/>
  <c r="R16"/>
  <c r="U13"/>
  <c r="R15"/>
  <c r="I13"/>
  <c r="M13"/>
  <c r="O14"/>
  <c r="G16"/>
  <c r="M14"/>
  <c r="I14"/>
  <c r="V15"/>
  <c r="V45" s="1"/>
  <c r="S15"/>
  <c r="P13"/>
  <c r="S14"/>
  <c r="S16"/>
  <c r="P16"/>
  <c r="N13"/>
  <c r="J15"/>
  <c r="E15"/>
  <c r="E16"/>
  <c r="E14"/>
  <c r="E13"/>
  <c r="X16" i="17"/>
  <c r="S13"/>
  <c r="K15"/>
  <c r="J16"/>
  <c r="Q15"/>
  <c r="K14"/>
  <c r="Q14"/>
  <c r="V14"/>
  <c r="S15"/>
  <c r="V15"/>
  <c r="R14"/>
  <c r="F13"/>
  <c r="M15"/>
  <c r="K16"/>
  <c r="U15"/>
  <c r="O15"/>
  <c r="L13"/>
  <c r="F14"/>
  <c r="T13"/>
  <c r="I16"/>
  <c r="J14"/>
  <c r="S14"/>
  <c r="J13"/>
  <c r="O14"/>
  <c r="X13"/>
  <c r="N14"/>
  <c r="U16"/>
  <c r="H16"/>
  <c r="W16"/>
  <c r="R16"/>
  <c r="L14"/>
  <c r="I14"/>
  <c r="N16"/>
  <c r="G16"/>
  <c r="H13"/>
  <c r="G14"/>
  <c r="N13"/>
  <c r="R13"/>
  <c r="M16"/>
  <c r="M14"/>
  <c r="K13"/>
  <c r="O16"/>
  <c r="J15"/>
  <c r="Q13"/>
  <c r="W15"/>
  <c r="S16"/>
  <c r="F16"/>
  <c r="N15"/>
  <c r="G13"/>
  <c r="F15"/>
  <c r="Q16"/>
  <c r="T14"/>
  <c r="I15"/>
  <c r="R15"/>
  <c r="X14"/>
  <c r="O13"/>
  <c r="X15"/>
  <c r="T16"/>
  <c r="I13"/>
  <c r="V16"/>
  <c r="P13"/>
  <c r="V13"/>
  <c r="M13"/>
  <c r="L15"/>
  <c r="P14"/>
  <c r="H14"/>
  <c r="U13"/>
  <c r="U14"/>
  <c r="W14"/>
  <c r="P16"/>
  <c r="G15"/>
  <c r="W13"/>
  <c r="L16"/>
  <c r="T15"/>
  <c r="P15"/>
  <c r="H15"/>
  <c r="E14"/>
  <c r="E16"/>
  <c r="E15"/>
  <c r="E13"/>
  <c r="N18" i="18" l="1"/>
  <c r="N43"/>
  <c r="N33"/>
  <c r="S46"/>
  <c r="S63" s="1"/>
  <c r="S84" s="1"/>
  <c r="S36"/>
  <c r="P18"/>
  <c r="P43"/>
  <c r="P33"/>
  <c r="M44"/>
  <c r="M61" s="1"/>
  <c r="M82" s="1"/>
  <c r="M34"/>
  <c r="O34"/>
  <c r="O44"/>
  <c r="O61" s="1"/>
  <c r="O82" s="1"/>
  <c r="I18"/>
  <c r="I43"/>
  <c r="I33"/>
  <c r="U18"/>
  <c r="U43"/>
  <c r="U48" s="1"/>
  <c r="M46"/>
  <c r="M63" s="1"/>
  <c r="M84" s="1"/>
  <c r="M36"/>
  <c r="K46"/>
  <c r="K63" s="1"/>
  <c r="K84" s="1"/>
  <c r="K36"/>
  <c r="P34"/>
  <c r="P44"/>
  <c r="P61" s="1"/>
  <c r="P82" s="1"/>
  <c r="I35"/>
  <c r="I45"/>
  <c r="I62" s="1"/>
  <c r="I83" s="1"/>
  <c r="O9" i="23" s="1"/>
  <c r="M35" i="18"/>
  <c r="M45"/>
  <c r="M62" s="1"/>
  <c r="M83" s="1"/>
  <c r="S9" i="23" s="1"/>
  <c r="V18" i="18"/>
  <c r="V43"/>
  <c r="N34"/>
  <c r="N44"/>
  <c r="N61" s="1"/>
  <c r="N82" s="1"/>
  <c r="K35"/>
  <c r="K45"/>
  <c r="X44"/>
  <c r="Z44"/>
  <c r="P35"/>
  <c r="P45"/>
  <c r="P62" s="1"/>
  <c r="P83" s="1"/>
  <c r="V9" i="23" s="1"/>
  <c r="H18" i="18"/>
  <c r="H43"/>
  <c r="H33"/>
  <c r="K34"/>
  <c r="K44"/>
  <c r="K61" s="1"/>
  <c r="K82" s="1"/>
  <c r="O35"/>
  <c r="O45"/>
  <c r="O62" s="1"/>
  <c r="O83" s="1"/>
  <c r="U9" i="23" s="1"/>
  <c r="J46" i="18"/>
  <c r="J63" s="1"/>
  <c r="J84" s="1"/>
  <c r="J36"/>
  <c r="S18"/>
  <c r="S43"/>
  <c r="S33"/>
  <c r="N46"/>
  <c r="N63" s="1"/>
  <c r="N84" s="1"/>
  <c r="N36"/>
  <c r="O46"/>
  <c r="O63" s="1"/>
  <c r="O84" s="1"/>
  <c r="O36"/>
  <c r="Z46"/>
  <c r="X46"/>
  <c r="Q35"/>
  <c r="Q45"/>
  <c r="L35"/>
  <c r="L45"/>
  <c r="F34"/>
  <c r="F44"/>
  <c r="F61" s="1"/>
  <c r="F82" s="1"/>
  <c r="T18"/>
  <c r="T43"/>
  <c r="Q34"/>
  <c r="Q44"/>
  <c r="Q61" s="1"/>
  <c r="Q82" s="1"/>
  <c r="W18"/>
  <c r="W43"/>
  <c r="W48" s="1"/>
  <c r="J18"/>
  <c r="J43"/>
  <c r="J60" s="1"/>
  <c r="J33"/>
  <c r="H35"/>
  <c r="H45"/>
  <c r="H62" s="1"/>
  <c r="H83" s="1"/>
  <c r="N9" i="23" s="1"/>
  <c r="H46" i="18"/>
  <c r="H63" s="1"/>
  <c r="H84" s="1"/>
  <c r="H36"/>
  <c r="L18"/>
  <c r="L33"/>
  <c r="L43"/>
  <c r="L60" s="1"/>
  <c r="V48"/>
  <c r="J35"/>
  <c r="J45"/>
  <c r="P46"/>
  <c r="P63" s="1"/>
  <c r="P84" s="1"/>
  <c r="P36"/>
  <c r="S44"/>
  <c r="S61" s="1"/>
  <c r="S82" s="1"/>
  <c r="S34"/>
  <c r="S45"/>
  <c r="S62" s="1"/>
  <c r="S83" s="1"/>
  <c r="Y9" i="23" s="1"/>
  <c r="S35" i="18"/>
  <c r="I44"/>
  <c r="I61" s="1"/>
  <c r="I82" s="1"/>
  <c r="I34"/>
  <c r="G46"/>
  <c r="G63" s="1"/>
  <c r="G84" s="1"/>
  <c r="G36"/>
  <c r="M18"/>
  <c r="M43"/>
  <c r="M33"/>
  <c r="M38" s="1"/>
  <c r="R45"/>
  <c r="R35"/>
  <c r="R46"/>
  <c r="R63" s="1"/>
  <c r="R84" s="1"/>
  <c r="R36"/>
  <c r="H34"/>
  <c r="H44"/>
  <c r="H61" s="1"/>
  <c r="H82" s="1"/>
  <c r="X18"/>
  <c r="Z43"/>
  <c r="X43"/>
  <c r="N35"/>
  <c r="N45"/>
  <c r="N62" s="1"/>
  <c r="N83" s="1"/>
  <c r="T9" i="23" s="1"/>
  <c r="Z45" i="18"/>
  <c r="X45"/>
  <c r="X48" s="1"/>
  <c r="O18"/>
  <c r="O43"/>
  <c r="O33"/>
  <c r="O38" s="1"/>
  <c r="G44"/>
  <c r="G61" s="1"/>
  <c r="G82" s="1"/>
  <c r="G34"/>
  <c r="J34"/>
  <c r="J44"/>
  <c r="J61" s="1"/>
  <c r="J82" s="1"/>
  <c r="Q18"/>
  <c r="Q43"/>
  <c r="Q60" s="1"/>
  <c r="Q33"/>
  <c r="R34"/>
  <c r="R44"/>
  <c r="R61" s="1"/>
  <c r="R82" s="1"/>
  <c r="G18"/>
  <c r="G43"/>
  <c r="G60" s="1"/>
  <c r="G33"/>
  <c r="K18"/>
  <c r="K43"/>
  <c r="K60" s="1"/>
  <c r="K33"/>
  <c r="K38" s="1"/>
  <c r="R18"/>
  <c r="R43"/>
  <c r="R60" s="1"/>
  <c r="R33"/>
  <c r="R38" s="1"/>
  <c r="I46"/>
  <c r="I63" s="1"/>
  <c r="I84" s="1"/>
  <c r="I36"/>
  <c r="F35"/>
  <c r="F45"/>
  <c r="F62" s="1"/>
  <c r="F83" s="1"/>
  <c r="L9" i="23" s="1"/>
  <c r="L34" i="18"/>
  <c r="L44"/>
  <c r="L61" s="1"/>
  <c r="L82" s="1"/>
  <c r="L46"/>
  <c r="L63" s="1"/>
  <c r="L84" s="1"/>
  <c r="L36"/>
  <c r="F18"/>
  <c r="F43"/>
  <c r="F33"/>
  <c r="G35"/>
  <c r="G45"/>
  <c r="F46"/>
  <c r="F63" s="1"/>
  <c r="F84" s="1"/>
  <c r="F36"/>
  <c r="Q46"/>
  <c r="Q63" s="1"/>
  <c r="Q84" s="1"/>
  <c r="Q36"/>
  <c r="T48"/>
  <c r="E44"/>
  <c r="E61" s="1"/>
  <c r="E34"/>
  <c r="E45"/>
  <c r="E62" s="1"/>
  <c r="E35"/>
  <c r="E46"/>
  <c r="E63" s="1"/>
  <c r="E36"/>
  <c r="E18"/>
  <c r="E43"/>
  <c r="E33"/>
  <c r="P25" i="17"/>
  <c r="P35" s="1"/>
  <c r="P46" s="1"/>
  <c r="V5" i="23" s="1"/>
  <c r="L26" i="17"/>
  <c r="L36" s="1"/>
  <c r="L47" s="1"/>
  <c r="G25"/>
  <c r="G35" s="1"/>
  <c r="G46" s="1"/>
  <c r="M5" i="23" s="1"/>
  <c r="W24" i="17"/>
  <c r="W34" s="1"/>
  <c r="W45" s="1"/>
  <c r="U18"/>
  <c r="U23"/>
  <c r="P24"/>
  <c r="P34" s="1"/>
  <c r="P45" s="1"/>
  <c r="M18"/>
  <c r="M23"/>
  <c r="P18"/>
  <c r="P23"/>
  <c r="I18"/>
  <c r="I23"/>
  <c r="X25"/>
  <c r="X35" s="1"/>
  <c r="X46" s="1"/>
  <c r="AD5" i="23" s="1"/>
  <c r="X24" i="17"/>
  <c r="X34" s="1"/>
  <c r="X45" s="1"/>
  <c r="I25"/>
  <c r="I35" s="1"/>
  <c r="I46" s="1"/>
  <c r="O5" i="23" s="1"/>
  <c r="Q26" i="17"/>
  <c r="Q36" s="1"/>
  <c r="Q47" s="1"/>
  <c r="G18"/>
  <c r="G23"/>
  <c r="F26"/>
  <c r="F36" s="1"/>
  <c r="F47" s="1"/>
  <c r="W25"/>
  <c r="W35" s="1"/>
  <c r="W46" s="1"/>
  <c r="AC5" i="23" s="1"/>
  <c r="J25" i="17"/>
  <c r="J35" s="1"/>
  <c r="J46" s="1"/>
  <c r="P5" i="23" s="1"/>
  <c r="K18" i="17"/>
  <c r="K23"/>
  <c r="M26"/>
  <c r="M36" s="1"/>
  <c r="M47" s="1"/>
  <c r="N18"/>
  <c r="N23"/>
  <c r="H18"/>
  <c r="H23"/>
  <c r="N26"/>
  <c r="N36" s="1"/>
  <c r="N47" s="1"/>
  <c r="L24"/>
  <c r="L34" s="1"/>
  <c r="L45" s="1"/>
  <c r="W26"/>
  <c r="W36" s="1"/>
  <c r="W47" s="1"/>
  <c r="U26"/>
  <c r="U36" s="1"/>
  <c r="U47" s="1"/>
  <c r="X18"/>
  <c r="X23"/>
  <c r="J18"/>
  <c r="J23"/>
  <c r="J24"/>
  <c r="J34" s="1"/>
  <c r="J45" s="1"/>
  <c r="T18"/>
  <c r="T23"/>
  <c r="L18"/>
  <c r="L23"/>
  <c r="U25"/>
  <c r="U35" s="1"/>
  <c r="U46" s="1"/>
  <c r="AA5" i="23" s="1"/>
  <c r="M25" i="17"/>
  <c r="M35" s="1"/>
  <c r="M46" s="1"/>
  <c r="S5" i="23" s="1"/>
  <c r="R24" i="17"/>
  <c r="R34" s="1"/>
  <c r="R45" s="1"/>
  <c r="S25"/>
  <c r="S35" s="1"/>
  <c r="S46" s="1"/>
  <c r="Y5" i="23" s="1"/>
  <c r="Q24" i="17"/>
  <c r="Q34" s="1"/>
  <c r="Q45" s="1"/>
  <c r="Q25"/>
  <c r="Q35" s="1"/>
  <c r="Q46" s="1"/>
  <c r="W5" i="23" s="1"/>
  <c r="K25" i="17"/>
  <c r="K35" s="1"/>
  <c r="K46" s="1"/>
  <c r="Q5" i="23" s="1"/>
  <c r="X26" i="17"/>
  <c r="X36" s="1"/>
  <c r="X47" s="1"/>
  <c r="H25"/>
  <c r="H35" s="1"/>
  <c r="H46" s="1"/>
  <c r="N5" i="23" s="1"/>
  <c r="T25" i="17"/>
  <c r="T35" s="1"/>
  <c r="T46" s="1"/>
  <c r="Z5" i="23" s="1"/>
  <c r="W18" i="17"/>
  <c r="W23"/>
  <c r="P26"/>
  <c r="P36" s="1"/>
  <c r="P47" s="1"/>
  <c r="U24"/>
  <c r="U34" s="1"/>
  <c r="U45" s="1"/>
  <c r="H24"/>
  <c r="H34" s="1"/>
  <c r="H45" s="1"/>
  <c r="L25"/>
  <c r="L35" s="1"/>
  <c r="L46" s="1"/>
  <c r="R5" i="23" s="1"/>
  <c r="V18" i="17"/>
  <c r="V23"/>
  <c r="V26"/>
  <c r="V36" s="1"/>
  <c r="V47" s="1"/>
  <c r="T26"/>
  <c r="T36" s="1"/>
  <c r="T47" s="1"/>
  <c r="O18"/>
  <c r="O23"/>
  <c r="R25"/>
  <c r="R35" s="1"/>
  <c r="R46" s="1"/>
  <c r="X5" i="23" s="1"/>
  <c r="T24" i="17"/>
  <c r="T34" s="1"/>
  <c r="T45" s="1"/>
  <c r="F25"/>
  <c r="F35" s="1"/>
  <c r="F46" s="1"/>
  <c r="L5" i="23" s="1"/>
  <c r="N25" i="17"/>
  <c r="N35" s="1"/>
  <c r="N46" s="1"/>
  <c r="T5" i="23" s="1"/>
  <c r="S26" i="17"/>
  <c r="S36" s="1"/>
  <c r="S47" s="1"/>
  <c r="Q18"/>
  <c r="Q23"/>
  <c r="O26"/>
  <c r="O36" s="1"/>
  <c r="O47" s="1"/>
  <c r="M24"/>
  <c r="M34" s="1"/>
  <c r="M45" s="1"/>
  <c r="R18"/>
  <c r="R23"/>
  <c r="G24"/>
  <c r="G34" s="1"/>
  <c r="G45" s="1"/>
  <c r="G26"/>
  <c r="G36" s="1"/>
  <c r="G47" s="1"/>
  <c r="I24"/>
  <c r="I34" s="1"/>
  <c r="I45" s="1"/>
  <c r="R26"/>
  <c r="R36" s="1"/>
  <c r="R47" s="1"/>
  <c r="H26"/>
  <c r="H36" s="1"/>
  <c r="H47" s="1"/>
  <c r="N24"/>
  <c r="N34" s="1"/>
  <c r="N45" s="1"/>
  <c r="O24"/>
  <c r="O34" s="1"/>
  <c r="O45" s="1"/>
  <c r="S24"/>
  <c r="S34" s="1"/>
  <c r="S45" s="1"/>
  <c r="I26"/>
  <c r="I36" s="1"/>
  <c r="I47" s="1"/>
  <c r="F24"/>
  <c r="F34" s="1"/>
  <c r="F45" s="1"/>
  <c r="O25"/>
  <c r="O35" s="1"/>
  <c r="O46" s="1"/>
  <c r="U5" i="23" s="1"/>
  <c r="K26" i="17"/>
  <c r="K36" s="1"/>
  <c r="K47" s="1"/>
  <c r="F18"/>
  <c r="F23"/>
  <c r="V25"/>
  <c r="V35" s="1"/>
  <c r="V46" s="1"/>
  <c r="AB5" i="23" s="1"/>
  <c r="V24" i="17"/>
  <c r="V34" s="1"/>
  <c r="V45" s="1"/>
  <c r="K24"/>
  <c r="K34" s="1"/>
  <c r="K45" s="1"/>
  <c r="J26"/>
  <c r="J36" s="1"/>
  <c r="J47" s="1"/>
  <c r="S18"/>
  <c r="S23"/>
  <c r="AA15"/>
  <c r="E25"/>
  <c r="AA14"/>
  <c r="E24"/>
  <c r="AA16"/>
  <c r="E26"/>
  <c r="AA13"/>
  <c r="E18"/>
  <c r="E23"/>
  <c r="W10" i="23" l="1"/>
  <c r="Q97" i="18"/>
  <c r="Q134" s="1"/>
  <c r="L10" i="23"/>
  <c r="F97" i="18"/>
  <c r="F134" s="1"/>
  <c r="F60"/>
  <c r="F48"/>
  <c r="R8" i="23"/>
  <c r="K81" i="18"/>
  <c r="Q81"/>
  <c r="P8" i="23"/>
  <c r="N8"/>
  <c r="H101" i="18"/>
  <c r="H102"/>
  <c r="H104"/>
  <c r="H106"/>
  <c r="H105"/>
  <c r="H142" s="1"/>
  <c r="H100"/>
  <c r="H99"/>
  <c r="H103"/>
  <c r="H140" s="1"/>
  <c r="H98"/>
  <c r="M10" i="23"/>
  <c r="G97" i="18"/>
  <c r="G134" s="1"/>
  <c r="O8" i="23"/>
  <c r="I106" i="18"/>
  <c r="I143" s="1"/>
  <c r="I99"/>
  <c r="I98"/>
  <c r="I102"/>
  <c r="I104"/>
  <c r="I105"/>
  <c r="I103"/>
  <c r="I141" s="1"/>
  <c r="I100"/>
  <c r="I137" s="1"/>
  <c r="I101"/>
  <c r="I138" s="1"/>
  <c r="Y8" i="23"/>
  <c r="S104" i="18"/>
  <c r="S141" s="1"/>
  <c r="S98"/>
  <c r="S106"/>
  <c r="S143" s="1"/>
  <c r="S103"/>
  <c r="S102"/>
  <c r="S100"/>
  <c r="S101"/>
  <c r="S138" s="1"/>
  <c r="S105"/>
  <c r="S99"/>
  <c r="S136" s="1"/>
  <c r="P97"/>
  <c r="P134" s="1"/>
  <c r="V10" i="23"/>
  <c r="L81" i="18"/>
  <c r="H97"/>
  <c r="H134" s="1"/>
  <c r="N10" i="23"/>
  <c r="J81" i="18"/>
  <c r="W8" i="23"/>
  <c r="L8"/>
  <c r="F99" i="18"/>
  <c r="F103"/>
  <c r="F101"/>
  <c r="F102"/>
  <c r="F105"/>
  <c r="F98"/>
  <c r="F135" s="1"/>
  <c r="F106"/>
  <c r="F143" s="1"/>
  <c r="F100"/>
  <c r="F104"/>
  <c r="L48"/>
  <c r="L62"/>
  <c r="L83" s="1"/>
  <c r="R9" i="23" s="1"/>
  <c r="Q48" i="18"/>
  <c r="Q62"/>
  <c r="Q83" s="1"/>
  <c r="W9" i="23" s="1"/>
  <c r="J97" i="18"/>
  <c r="J134" s="1"/>
  <c r="P10" i="23"/>
  <c r="H60" i="18"/>
  <c r="H48"/>
  <c r="K48"/>
  <c r="K62"/>
  <c r="K83" s="1"/>
  <c r="Q9" i="23" s="1"/>
  <c r="T8"/>
  <c r="N104" i="18"/>
  <c r="N105"/>
  <c r="N99"/>
  <c r="N103"/>
  <c r="N102"/>
  <c r="N100"/>
  <c r="N101"/>
  <c r="N106"/>
  <c r="N143" s="1"/>
  <c r="N98"/>
  <c r="V8" i="23"/>
  <c r="P98" i="18"/>
  <c r="P135" s="1"/>
  <c r="P105"/>
  <c r="P102"/>
  <c r="P101"/>
  <c r="P103"/>
  <c r="P140" s="1"/>
  <c r="P104"/>
  <c r="P99"/>
  <c r="P136" s="1"/>
  <c r="P100"/>
  <c r="P106"/>
  <c r="S8" i="23"/>
  <c r="M104" i="18"/>
  <c r="M99"/>
  <c r="M100"/>
  <c r="M98"/>
  <c r="M103"/>
  <c r="M101"/>
  <c r="M105"/>
  <c r="M142" s="1"/>
  <c r="M106"/>
  <c r="M102"/>
  <c r="P60"/>
  <c r="P48"/>
  <c r="G38"/>
  <c r="S38"/>
  <c r="I38"/>
  <c r="N38"/>
  <c r="G48"/>
  <c r="G62"/>
  <c r="G83" s="1"/>
  <c r="M9" i="23" s="1"/>
  <c r="L97" i="18"/>
  <c r="L134" s="1"/>
  <c r="R10" i="23"/>
  <c r="I97" i="18"/>
  <c r="I134" s="1"/>
  <c r="O10" i="23"/>
  <c r="R81" i="18"/>
  <c r="G81"/>
  <c r="X8" i="23"/>
  <c r="M8"/>
  <c r="G104" i="18"/>
  <c r="O48"/>
  <c r="O60"/>
  <c r="X10" i="23"/>
  <c r="R97" i="18"/>
  <c r="R134" s="1"/>
  <c r="R48"/>
  <c r="R62"/>
  <c r="R83" s="1"/>
  <c r="X9" i="23" s="1"/>
  <c r="M60" i="18"/>
  <c r="M48"/>
  <c r="J48"/>
  <c r="J62"/>
  <c r="J83" s="1"/>
  <c r="P9" i="23" s="1"/>
  <c r="U10"/>
  <c r="O97" i="18"/>
  <c r="O134" s="1"/>
  <c r="T10" i="23"/>
  <c r="N97" i="18"/>
  <c r="N134" s="1"/>
  <c r="S48"/>
  <c r="S60"/>
  <c r="Q8" i="23"/>
  <c r="K99" i="18"/>
  <c r="K98"/>
  <c r="K106"/>
  <c r="K100"/>
  <c r="K105"/>
  <c r="K142" s="1"/>
  <c r="K104"/>
  <c r="K102"/>
  <c r="K139" s="1"/>
  <c r="K101"/>
  <c r="K138" s="1"/>
  <c r="K103"/>
  <c r="K140" s="1"/>
  <c r="K97"/>
  <c r="K134" s="1"/>
  <c r="Q10" i="23"/>
  <c r="M97" i="18"/>
  <c r="M134" s="1"/>
  <c r="S10" i="23"/>
  <c r="I48" i="18"/>
  <c r="I60"/>
  <c r="U8" i="23"/>
  <c r="O104" i="18"/>
  <c r="O102"/>
  <c r="O100"/>
  <c r="O103"/>
  <c r="O140" s="1"/>
  <c r="O101"/>
  <c r="O138" s="1"/>
  <c r="O106"/>
  <c r="O99"/>
  <c r="O105"/>
  <c r="O98"/>
  <c r="O135" s="1"/>
  <c r="Y10" i="23"/>
  <c r="S97" i="18"/>
  <c r="S134" s="1"/>
  <c r="N48"/>
  <c r="N60"/>
  <c r="E38"/>
  <c r="F38"/>
  <c r="Q38"/>
  <c r="L38"/>
  <c r="J38"/>
  <c r="H38"/>
  <c r="P38"/>
  <c r="E72"/>
  <c r="F72" s="1"/>
  <c r="G72" s="1"/>
  <c r="H72" s="1"/>
  <c r="I72" s="1"/>
  <c r="J72" s="1"/>
  <c r="K72" s="1"/>
  <c r="L72" s="1"/>
  <c r="M72" s="1"/>
  <c r="N72" s="1"/>
  <c r="O72" s="1"/>
  <c r="P72" s="1"/>
  <c r="Q72" s="1"/>
  <c r="R72" s="1"/>
  <c r="S72" s="1"/>
  <c r="E84"/>
  <c r="E83"/>
  <c r="K9" i="23" s="1"/>
  <c r="E71" i="18"/>
  <c r="F71" s="1"/>
  <c r="G71" s="1"/>
  <c r="H71" s="1"/>
  <c r="I71" s="1"/>
  <c r="E82"/>
  <c r="E70"/>
  <c r="F70" s="1"/>
  <c r="G70" s="1"/>
  <c r="H70" s="1"/>
  <c r="I70" s="1"/>
  <c r="J70" s="1"/>
  <c r="K70" s="1"/>
  <c r="L70" s="1"/>
  <c r="M70" s="1"/>
  <c r="N70" s="1"/>
  <c r="O70" s="1"/>
  <c r="P70" s="1"/>
  <c r="Q70" s="1"/>
  <c r="R70" s="1"/>
  <c r="S70" s="1"/>
  <c r="AA18" i="17"/>
  <c r="K139"/>
  <c r="O138"/>
  <c r="F137"/>
  <c r="U24" i="18" s="1"/>
  <c r="I139" i="17"/>
  <c r="X26" i="18" s="1"/>
  <c r="X36" s="1"/>
  <c r="Z36" s="1"/>
  <c r="S137" i="17"/>
  <c r="O137"/>
  <c r="N137"/>
  <c r="H139"/>
  <c r="W26" i="18" s="1"/>
  <c r="R139" i="17"/>
  <c r="I137"/>
  <c r="X24" i="18" s="1"/>
  <c r="X52" s="1"/>
  <c r="X61" s="1"/>
  <c r="X82" s="1"/>
  <c r="G139" i="17"/>
  <c r="V26" i="18" s="1"/>
  <c r="G137" i="17"/>
  <c r="V24" i="18" s="1"/>
  <c r="S139" i="17"/>
  <c r="N138"/>
  <c r="F138"/>
  <c r="U25" i="18" s="1"/>
  <c r="T137" i="17"/>
  <c r="R138"/>
  <c r="L138"/>
  <c r="H137"/>
  <c r="W24" i="18" s="1"/>
  <c r="U137" i="17"/>
  <c r="P139"/>
  <c r="J138"/>
  <c r="W138"/>
  <c r="F139"/>
  <c r="U26" i="18" s="1"/>
  <c r="P137" i="17"/>
  <c r="E60" i="18"/>
  <c r="E48"/>
  <c r="Q4" i="23"/>
  <c r="K64" i="17"/>
  <c r="K67"/>
  <c r="K63"/>
  <c r="K69"/>
  <c r="K65"/>
  <c r="K102" s="1"/>
  <c r="K68"/>
  <c r="K105" s="1"/>
  <c r="K61"/>
  <c r="K62"/>
  <c r="K99" s="1"/>
  <c r="K66"/>
  <c r="K103" s="1"/>
  <c r="F33"/>
  <c r="F28"/>
  <c r="X54" i="18"/>
  <c r="X63" s="1"/>
  <c r="X84" s="1"/>
  <c r="V54"/>
  <c r="V63" s="1"/>
  <c r="V84" s="1"/>
  <c r="V36"/>
  <c r="S4" i="23"/>
  <c r="M66" i="17"/>
  <c r="M65"/>
  <c r="M62"/>
  <c r="M61"/>
  <c r="M64"/>
  <c r="M67"/>
  <c r="M68"/>
  <c r="M63"/>
  <c r="M69"/>
  <c r="M106" s="1"/>
  <c r="U53" i="18"/>
  <c r="U62" s="1"/>
  <c r="U83" s="1"/>
  <c r="AA9" i="23" s="1"/>
  <c r="U35" i="18"/>
  <c r="AB6" i="23"/>
  <c r="V60" i="17"/>
  <c r="V97" s="1"/>
  <c r="V33"/>
  <c r="V28"/>
  <c r="W52" i="18"/>
  <c r="W61" s="1"/>
  <c r="W82" s="1"/>
  <c r="W34"/>
  <c r="AD6" i="23"/>
  <c r="X60" i="17"/>
  <c r="X97" s="1"/>
  <c r="W4" i="23"/>
  <c r="Q67" i="17"/>
  <c r="Q69"/>
  <c r="Q63"/>
  <c r="Q65"/>
  <c r="Q66"/>
  <c r="Q68"/>
  <c r="Q61"/>
  <c r="Q64"/>
  <c r="Q62"/>
  <c r="Q99" s="1"/>
  <c r="X4" i="23"/>
  <c r="R62" i="17"/>
  <c r="R65"/>
  <c r="R68"/>
  <c r="R61"/>
  <c r="R67"/>
  <c r="R66"/>
  <c r="R103" s="1"/>
  <c r="R64"/>
  <c r="R69"/>
  <c r="R63"/>
  <c r="R100" s="1"/>
  <c r="L33"/>
  <c r="L28"/>
  <c r="P4" i="23"/>
  <c r="J65" i="17"/>
  <c r="J66"/>
  <c r="J67"/>
  <c r="J62"/>
  <c r="J64"/>
  <c r="J69"/>
  <c r="J63"/>
  <c r="J61"/>
  <c r="J68"/>
  <c r="J105" s="1"/>
  <c r="J33"/>
  <c r="J28"/>
  <c r="U60"/>
  <c r="U97" s="1"/>
  <c r="AA6" i="23"/>
  <c r="AC6"/>
  <c r="W60" i="17"/>
  <c r="W97" s="1"/>
  <c r="R4" i="23"/>
  <c r="L68" i="17"/>
  <c r="L63"/>
  <c r="L65"/>
  <c r="L64"/>
  <c r="L101" s="1"/>
  <c r="L69"/>
  <c r="L106" s="1"/>
  <c r="L62"/>
  <c r="L66"/>
  <c r="L103" s="1"/>
  <c r="L61"/>
  <c r="L67"/>
  <c r="L104" s="1"/>
  <c r="T6" i="23"/>
  <c r="N60" i="17"/>
  <c r="N97" s="1"/>
  <c r="H33"/>
  <c r="H28"/>
  <c r="S6" i="23"/>
  <c r="M60" i="17"/>
  <c r="M97" s="1"/>
  <c r="K33"/>
  <c r="K28"/>
  <c r="U54" i="18"/>
  <c r="U63" s="1"/>
  <c r="U84" s="1"/>
  <c r="U36"/>
  <c r="Q60" i="17"/>
  <c r="Q97" s="1"/>
  <c r="W6" i="23"/>
  <c r="AD4"/>
  <c r="X61" i="17"/>
  <c r="X98" s="1"/>
  <c r="X63"/>
  <c r="X66"/>
  <c r="X64"/>
  <c r="X101" s="1"/>
  <c r="X67"/>
  <c r="X104" s="1"/>
  <c r="X62"/>
  <c r="X69"/>
  <c r="X68"/>
  <c r="X65"/>
  <c r="I33"/>
  <c r="I28"/>
  <c r="M33"/>
  <c r="M28"/>
  <c r="AC4" i="23"/>
  <c r="W68" i="17"/>
  <c r="W65"/>
  <c r="W61"/>
  <c r="W98" s="1"/>
  <c r="W66"/>
  <c r="W103" s="1"/>
  <c r="W69"/>
  <c r="W106" s="1"/>
  <c r="W64"/>
  <c r="W63"/>
  <c r="W62"/>
  <c r="W67"/>
  <c r="R6" i="23"/>
  <c r="L60" i="17"/>
  <c r="L97" s="1"/>
  <c r="J60"/>
  <c r="J97" s="1"/>
  <c r="P6" i="23"/>
  <c r="AB4"/>
  <c r="V64" i="17"/>
  <c r="V61"/>
  <c r="V98" s="1"/>
  <c r="V66"/>
  <c r="V65"/>
  <c r="V63"/>
  <c r="V62"/>
  <c r="V67"/>
  <c r="V104" s="1"/>
  <c r="V69"/>
  <c r="V68"/>
  <c r="V105" s="1"/>
  <c r="U34" i="18"/>
  <c r="U52"/>
  <c r="U61" s="1"/>
  <c r="U82" s="1"/>
  <c r="W54"/>
  <c r="W63" s="1"/>
  <c r="W84" s="1"/>
  <c r="W36"/>
  <c r="V52"/>
  <c r="V61" s="1"/>
  <c r="V82" s="1"/>
  <c r="V34"/>
  <c r="O60" i="17"/>
  <c r="O97" s="1"/>
  <c r="U6" i="23"/>
  <c r="Q33" i="17"/>
  <c r="Q28"/>
  <c r="Z6" i="23"/>
  <c r="T60" i="17"/>
  <c r="T97" s="1"/>
  <c r="S33"/>
  <c r="S28"/>
  <c r="Q6" i="23"/>
  <c r="K60" i="17"/>
  <c r="K97" s="1"/>
  <c r="L4" i="23"/>
  <c r="F68" i="17"/>
  <c r="F69"/>
  <c r="F62"/>
  <c r="F65"/>
  <c r="F64"/>
  <c r="F66"/>
  <c r="F103" s="1"/>
  <c r="F67"/>
  <c r="F104" s="1"/>
  <c r="F61"/>
  <c r="F63"/>
  <c r="F100" s="1"/>
  <c r="I60"/>
  <c r="I97" s="1"/>
  <c r="O6" i="23"/>
  <c r="Y4"/>
  <c r="S61" i="17"/>
  <c r="S64"/>
  <c r="S67"/>
  <c r="S68"/>
  <c r="S65"/>
  <c r="S102" s="1"/>
  <c r="S66"/>
  <c r="S69"/>
  <c r="S106" s="1"/>
  <c r="S62"/>
  <c r="S63"/>
  <c r="S100" s="1"/>
  <c r="O66"/>
  <c r="O69"/>
  <c r="U4" i="23"/>
  <c r="O64" i="17"/>
  <c r="O62"/>
  <c r="O63"/>
  <c r="O100" s="1"/>
  <c r="O65"/>
  <c r="O68"/>
  <c r="O105" s="1"/>
  <c r="O67"/>
  <c r="O104" s="1"/>
  <c r="O61"/>
  <c r="O98" s="1"/>
  <c r="T4" i="23"/>
  <c r="N63" i="17"/>
  <c r="N65"/>
  <c r="N64"/>
  <c r="N61"/>
  <c r="N98" s="1"/>
  <c r="N67"/>
  <c r="N68"/>
  <c r="N62"/>
  <c r="N99" s="1"/>
  <c r="N69"/>
  <c r="N106" s="1"/>
  <c r="N66"/>
  <c r="N103" s="1"/>
  <c r="N6" i="23"/>
  <c r="H60" i="17"/>
  <c r="H97" s="1"/>
  <c r="R60"/>
  <c r="R97" s="1"/>
  <c r="X6" i="23"/>
  <c r="O4"/>
  <c r="I61" i="17"/>
  <c r="I98" s="1"/>
  <c r="I68"/>
  <c r="I66"/>
  <c r="I67"/>
  <c r="I65"/>
  <c r="I63"/>
  <c r="I69"/>
  <c r="I106" s="1"/>
  <c r="I62"/>
  <c r="I64"/>
  <c r="I101" s="1"/>
  <c r="M6" i="23"/>
  <c r="G60" i="17"/>
  <c r="G97" s="1"/>
  <c r="G63"/>
  <c r="M4" i="23"/>
  <c r="G66" i="17"/>
  <c r="G62"/>
  <c r="G99" s="1"/>
  <c r="G68"/>
  <c r="G67"/>
  <c r="G61"/>
  <c r="G69"/>
  <c r="G106" s="1"/>
  <c r="G64"/>
  <c r="G101" s="1"/>
  <c r="G65"/>
  <c r="R33"/>
  <c r="R28"/>
  <c r="Y6" i="23"/>
  <c r="S60" i="17"/>
  <c r="S97" s="1"/>
  <c r="Z4" i="23"/>
  <c r="T61" i="17"/>
  <c r="T98" s="1"/>
  <c r="T65"/>
  <c r="T63"/>
  <c r="T64"/>
  <c r="T67"/>
  <c r="T69"/>
  <c r="T68"/>
  <c r="T105" s="1"/>
  <c r="T66"/>
  <c r="T103" s="1"/>
  <c r="T62"/>
  <c r="T99" s="1"/>
  <c r="O33"/>
  <c r="O28"/>
  <c r="N4" i="23"/>
  <c r="H63" i="17"/>
  <c r="H67"/>
  <c r="H65"/>
  <c r="H66"/>
  <c r="H62"/>
  <c r="H61"/>
  <c r="H69"/>
  <c r="H68"/>
  <c r="H105" s="1"/>
  <c r="H64"/>
  <c r="H101" s="1"/>
  <c r="AA4" i="23"/>
  <c r="U66" i="17"/>
  <c r="U63"/>
  <c r="U68"/>
  <c r="U69"/>
  <c r="U64"/>
  <c r="U61"/>
  <c r="U98" s="1"/>
  <c r="U65"/>
  <c r="U67"/>
  <c r="U62"/>
  <c r="P60"/>
  <c r="P97" s="1"/>
  <c r="V6" i="23"/>
  <c r="W33" i="17"/>
  <c r="W28"/>
  <c r="T33"/>
  <c r="T28"/>
  <c r="X33"/>
  <c r="X28"/>
  <c r="N33"/>
  <c r="N28"/>
  <c r="L6" i="23"/>
  <c r="F60" i="17"/>
  <c r="F97" s="1"/>
  <c r="G33"/>
  <c r="G28"/>
  <c r="P33"/>
  <c r="P28"/>
  <c r="V4" i="23"/>
  <c r="P65" i="17"/>
  <c r="P61"/>
  <c r="P98" s="1"/>
  <c r="P62"/>
  <c r="P64"/>
  <c r="P69"/>
  <c r="P66"/>
  <c r="P67"/>
  <c r="P68"/>
  <c r="P63"/>
  <c r="P100" s="1"/>
  <c r="U33"/>
  <c r="U28"/>
  <c r="J139"/>
  <c r="K137"/>
  <c r="V137"/>
  <c r="V138"/>
  <c r="M137"/>
  <c r="O139"/>
  <c r="T139"/>
  <c r="V139"/>
  <c r="T138"/>
  <c r="H138"/>
  <c r="W25" i="18" s="1"/>
  <c r="X139" i="17"/>
  <c r="K138"/>
  <c r="Q138"/>
  <c r="Q137"/>
  <c r="S138"/>
  <c r="R137"/>
  <c r="M138"/>
  <c r="U138"/>
  <c r="J137"/>
  <c r="U139"/>
  <c r="W139"/>
  <c r="L137"/>
  <c r="N139"/>
  <c r="M139"/>
  <c r="Q139"/>
  <c r="I138"/>
  <c r="X25" i="18" s="1"/>
  <c r="X137" i="17"/>
  <c r="X138"/>
  <c r="W137"/>
  <c r="G138"/>
  <c r="V25" i="18" s="1"/>
  <c r="L139" i="17"/>
  <c r="P138"/>
  <c r="E36"/>
  <c r="AA26"/>
  <c r="AA24"/>
  <c r="E34"/>
  <c r="AA25"/>
  <c r="E35"/>
  <c r="AA23"/>
  <c r="E33"/>
  <c r="E28"/>
  <c r="G99" i="18" l="1"/>
  <c r="G106"/>
  <c r="P143"/>
  <c r="G103"/>
  <c r="G101"/>
  <c r="G65"/>
  <c r="M100" i="17"/>
  <c r="M104"/>
  <c r="X34" i="18"/>
  <c r="Z34" s="1"/>
  <c r="O141"/>
  <c r="M139"/>
  <c r="M137"/>
  <c r="P139"/>
  <c r="N138"/>
  <c r="N141"/>
  <c r="F141"/>
  <c r="F138"/>
  <c r="F136"/>
  <c r="P104" i="17"/>
  <c r="P106"/>
  <c r="P99"/>
  <c r="U99"/>
  <c r="U105"/>
  <c r="H106"/>
  <c r="H99"/>
  <c r="T104"/>
  <c r="H141" i="18"/>
  <c r="H138"/>
  <c r="K136"/>
  <c r="K135"/>
  <c r="M65"/>
  <c r="M81"/>
  <c r="M7" i="23"/>
  <c r="G118" i="18"/>
  <c r="G109"/>
  <c r="G117"/>
  <c r="G119"/>
  <c r="G121"/>
  <c r="G116"/>
  <c r="G110"/>
  <c r="G147" s="1"/>
  <c r="G114"/>
  <c r="G108"/>
  <c r="G122"/>
  <c r="G159" s="1"/>
  <c r="G123"/>
  <c r="G120"/>
  <c r="G157" s="1"/>
  <c r="G112"/>
  <c r="G86"/>
  <c r="G115"/>
  <c r="G152" s="1"/>
  <c r="G107"/>
  <c r="G144" s="1"/>
  <c r="G113"/>
  <c r="G150" s="1"/>
  <c r="G111"/>
  <c r="G148" s="1"/>
  <c r="X7" i="23"/>
  <c r="R108" i="18"/>
  <c r="R119"/>
  <c r="R118"/>
  <c r="R122"/>
  <c r="R111"/>
  <c r="R112"/>
  <c r="R109"/>
  <c r="R146" s="1"/>
  <c r="R113"/>
  <c r="R150" s="1"/>
  <c r="R115"/>
  <c r="R120"/>
  <c r="R157" s="1"/>
  <c r="R117"/>
  <c r="R107"/>
  <c r="R116"/>
  <c r="R153" s="1"/>
  <c r="R121"/>
  <c r="R158" s="1"/>
  <c r="R110"/>
  <c r="R147" s="1"/>
  <c r="R114"/>
  <c r="R151" s="1"/>
  <c r="R86"/>
  <c r="R123"/>
  <c r="R160" s="1"/>
  <c r="P81"/>
  <c r="P65"/>
  <c r="H81"/>
  <c r="H65"/>
  <c r="P7" i="23"/>
  <c r="J117" i="18"/>
  <c r="J113"/>
  <c r="J121"/>
  <c r="J118"/>
  <c r="J108"/>
  <c r="J86"/>
  <c r="J119"/>
  <c r="J156" s="1"/>
  <c r="J115"/>
  <c r="J120"/>
  <c r="J157" s="1"/>
  <c r="J112"/>
  <c r="J116"/>
  <c r="J153" s="1"/>
  <c r="J109"/>
  <c r="J111"/>
  <c r="J123"/>
  <c r="J114"/>
  <c r="J151" s="1"/>
  <c r="J107"/>
  <c r="J122"/>
  <c r="J159" s="1"/>
  <c r="J110"/>
  <c r="J147" s="1"/>
  <c r="L121"/>
  <c r="L115"/>
  <c r="L113"/>
  <c r="L116"/>
  <c r="L153" s="1"/>
  <c r="L108"/>
  <c r="L117"/>
  <c r="L154" s="1"/>
  <c r="L114"/>
  <c r="L151" s="1"/>
  <c r="L120"/>
  <c r="L111"/>
  <c r="R7" i="23"/>
  <c r="L109" i="18"/>
  <c r="L146" s="1"/>
  <c r="L123"/>
  <c r="L119"/>
  <c r="L156" s="1"/>
  <c r="L118"/>
  <c r="L155" s="1"/>
  <c r="L86"/>
  <c r="L107"/>
  <c r="L112"/>
  <c r="L149" s="1"/>
  <c r="L110"/>
  <c r="L122"/>
  <c r="L159" s="1"/>
  <c r="I140"/>
  <c r="I139"/>
  <c r="W7" i="23"/>
  <c r="Q123" i="18"/>
  <c r="Q120"/>
  <c r="Q110"/>
  <c r="Q107"/>
  <c r="Q114"/>
  <c r="Q86"/>
  <c r="Q121"/>
  <c r="Q158" s="1"/>
  <c r="Q117"/>
  <c r="Q122"/>
  <c r="Q159" s="1"/>
  <c r="Q112"/>
  <c r="Q119"/>
  <c r="Q116"/>
  <c r="Q118"/>
  <c r="Q155" s="1"/>
  <c r="Q113"/>
  <c r="Q150" s="1"/>
  <c r="Q109"/>
  <c r="Q111"/>
  <c r="Q108"/>
  <c r="Q145" s="1"/>
  <c r="Q115"/>
  <c r="F81"/>
  <c r="F65"/>
  <c r="S104" i="17"/>
  <c r="F99"/>
  <c r="V103"/>
  <c r="W104"/>
  <c r="W100"/>
  <c r="X102"/>
  <c r="X106"/>
  <c r="L102"/>
  <c r="J100"/>
  <c r="J104"/>
  <c r="R104"/>
  <c r="Q103"/>
  <c r="M105"/>
  <c r="M99"/>
  <c r="M103"/>
  <c r="Z48" i="18"/>
  <c r="J71"/>
  <c r="K71" s="1"/>
  <c r="L71" s="1"/>
  <c r="M71" s="1"/>
  <c r="N71" s="1"/>
  <c r="O71" s="1"/>
  <c r="P71" s="1"/>
  <c r="Q71" s="1"/>
  <c r="R71" s="1"/>
  <c r="S71" s="1"/>
  <c r="O142"/>
  <c r="O143"/>
  <c r="O139"/>
  <c r="K141"/>
  <c r="K137"/>
  <c r="G100"/>
  <c r="G137" s="1"/>
  <c r="G105"/>
  <c r="G142" s="1"/>
  <c r="G102"/>
  <c r="G139" s="1"/>
  <c r="G98"/>
  <c r="G135" s="1"/>
  <c r="R102"/>
  <c r="R100"/>
  <c r="R98"/>
  <c r="R135" s="1"/>
  <c r="R103"/>
  <c r="M143"/>
  <c r="M138"/>
  <c r="M135"/>
  <c r="M136"/>
  <c r="P137"/>
  <c r="P141"/>
  <c r="P138"/>
  <c r="P142"/>
  <c r="N137"/>
  <c r="N140"/>
  <c r="N142"/>
  <c r="F137"/>
  <c r="F139"/>
  <c r="F140"/>
  <c r="Q99"/>
  <c r="Q102"/>
  <c r="Q103"/>
  <c r="Q100"/>
  <c r="S142"/>
  <c r="S137"/>
  <c r="S140"/>
  <c r="S135"/>
  <c r="I142"/>
  <c r="I136"/>
  <c r="H137"/>
  <c r="H143"/>
  <c r="H139"/>
  <c r="J101"/>
  <c r="J99"/>
  <c r="J103"/>
  <c r="J102"/>
  <c r="K65"/>
  <c r="L100"/>
  <c r="L106"/>
  <c r="L101"/>
  <c r="L138" s="1"/>
  <c r="L105"/>
  <c r="N81"/>
  <c r="N65"/>
  <c r="I65"/>
  <c r="I81"/>
  <c r="S65"/>
  <c r="S81"/>
  <c r="O81"/>
  <c r="O65"/>
  <c r="M141"/>
  <c r="M140"/>
  <c r="K123"/>
  <c r="K121"/>
  <c r="K108"/>
  <c r="K118"/>
  <c r="K117"/>
  <c r="K110"/>
  <c r="K86"/>
  <c r="K109"/>
  <c r="K120"/>
  <c r="Q7" i="23"/>
  <c r="K114" i="18"/>
  <c r="K111"/>
  <c r="K148" s="1"/>
  <c r="K112"/>
  <c r="K115"/>
  <c r="K113"/>
  <c r="K150" s="1"/>
  <c r="K107"/>
  <c r="K144" s="1"/>
  <c r="K122"/>
  <c r="K159" s="1"/>
  <c r="K119"/>
  <c r="K156" s="1"/>
  <c r="K116"/>
  <c r="O136"/>
  <c r="O137"/>
  <c r="K143"/>
  <c r="G136"/>
  <c r="G141"/>
  <c r="G138"/>
  <c r="G143"/>
  <c r="R104"/>
  <c r="R141" s="1"/>
  <c r="R105"/>
  <c r="R106"/>
  <c r="R101"/>
  <c r="R138" s="1"/>
  <c r="R99"/>
  <c r="R136" s="1"/>
  <c r="R65"/>
  <c r="N135"/>
  <c r="N139"/>
  <c r="N136"/>
  <c r="F142"/>
  <c r="Q98"/>
  <c r="Q135" s="1"/>
  <c r="Q106"/>
  <c r="Q104"/>
  <c r="Q141" s="1"/>
  <c r="Q101"/>
  <c r="Q138" s="1"/>
  <c r="Q105"/>
  <c r="Q142" s="1"/>
  <c r="J65"/>
  <c r="L65"/>
  <c r="S139"/>
  <c r="I135"/>
  <c r="H135"/>
  <c r="H136"/>
  <c r="J100"/>
  <c r="J137" s="1"/>
  <c r="J104"/>
  <c r="J141" s="1"/>
  <c r="J105"/>
  <c r="J98"/>
  <c r="J135" s="1"/>
  <c r="J106"/>
  <c r="J143" s="1"/>
  <c r="Q65"/>
  <c r="L104"/>
  <c r="L98"/>
  <c r="L135" s="1"/>
  <c r="L102"/>
  <c r="L139" s="1"/>
  <c r="L99"/>
  <c r="L136" s="1"/>
  <c r="L103"/>
  <c r="L140" s="1"/>
  <c r="K8" i="23"/>
  <c r="E103" i="18"/>
  <c r="E99"/>
  <c r="E106"/>
  <c r="E101"/>
  <c r="E105"/>
  <c r="E104"/>
  <c r="E98"/>
  <c r="E100"/>
  <c r="E137" s="1"/>
  <c r="E176" s="1"/>
  <c r="F176" s="1"/>
  <c r="G176" s="1"/>
  <c r="H176" s="1"/>
  <c r="I176" s="1"/>
  <c r="E102"/>
  <c r="K10" i="23"/>
  <c r="E97" i="18"/>
  <c r="E134" s="1"/>
  <c r="E173" s="1"/>
  <c r="F173" s="1"/>
  <c r="G173" s="1"/>
  <c r="H173" s="1"/>
  <c r="I173" s="1"/>
  <c r="J173" s="1"/>
  <c r="K173" s="1"/>
  <c r="L173" s="1"/>
  <c r="M173" s="1"/>
  <c r="N173" s="1"/>
  <c r="O173" s="1"/>
  <c r="P173" s="1"/>
  <c r="Q173" s="1"/>
  <c r="R173" s="1"/>
  <c r="S173" s="1"/>
  <c r="E81"/>
  <c r="E69"/>
  <c r="E65"/>
  <c r="R99" i="17"/>
  <c r="U102"/>
  <c r="U101"/>
  <c r="G103"/>
  <c r="G102"/>
  <c r="U38"/>
  <c r="U44"/>
  <c r="U136"/>
  <c r="U141" s="1"/>
  <c r="P102"/>
  <c r="P101"/>
  <c r="P38"/>
  <c r="P44"/>
  <c r="P136"/>
  <c r="P141" s="1"/>
  <c r="G44"/>
  <c r="G38"/>
  <c r="G136"/>
  <c r="N44"/>
  <c r="N38"/>
  <c r="N136"/>
  <c r="N141" s="1"/>
  <c r="X44"/>
  <c r="X38"/>
  <c r="X136"/>
  <c r="X141" s="1"/>
  <c r="T38"/>
  <c r="T44"/>
  <c r="T136"/>
  <c r="T141" s="1"/>
  <c r="W38"/>
  <c r="W44"/>
  <c r="W136"/>
  <c r="W141" s="1"/>
  <c r="O44"/>
  <c r="O38"/>
  <c r="O136"/>
  <c r="O141" s="1"/>
  <c r="R38"/>
  <c r="R44"/>
  <c r="R136"/>
  <c r="R141" s="1"/>
  <c r="I105"/>
  <c r="I104"/>
  <c r="S44"/>
  <c r="S38"/>
  <c r="S136"/>
  <c r="S141" s="1"/>
  <c r="Q44"/>
  <c r="Q38"/>
  <c r="Q136"/>
  <c r="Q141" s="1"/>
  <c r="AB8" i="23"/>
  <c r="W97" i="18"/>
  <c r="W134" s="1"/>
  <c r="AC10" i="23"/>
  <c r="V100" i="17"/>
  <c r="V99"/>
  <c r="M44"/>
  <c r="M38"/>
  <c r="M136"/>
  <c r="M141" s="1"/>
  <c r="I38"/>
  <c r="I44"/>
  <c r="I136"/>
  <c r="AA10" i="23"/>
  <c r="U97" i="18"/>
  <c r="U134" s="1"/>
  <c r="K44" i="17"/>
  <c r="K38"/>
  <c r="K136"/>
  <c r="K141" s="1"/>
  <c r="H38"/>
  <c r="H44"/>
  <c r="H136"/>
  <c r="J44"/>
  <c r="J38"/>
  <c r="J136"/>
  <c r="J141" s="1"/>
  <c r="L38"/>
  <c r="L44"/>
  <c r="L136"/>
  <c r="L141" s="1"/>
  <c r="AC8" i="23"/>
  <c r="V44" i="17"/>
  <c r="V38"/>
  <c r="V136"/>
  <c r="V141" s="1"/>
  <c r="AB10" i="23"/>
  <c r="V97" i="18"/>
  <c r="V134" s="1"/>
  <c r="AD10" i="23"/>
  <c r="X97" i="18"/>
  <c r="X134" s="1"/>
  <c r="F38" i="17"/>
  <c r="F44"/>
  <c r="F136"/>
  <c r="U103"/>
  <c r="H102"/>
  <c r="AA28"/>
  <c r="P105"/>
  <c r="P103"/>
  <c r="U104"/>
  <c r="U106"/>
  <c r="U100"/>
  <c r="H98"/>
  <c r="H103"/>
  <c r="H104"/>
  <c r="T106"/>
  <c r="T102"/>
  <c r="G98"/>
  <c r="G100"/>
  <c r="I99"/>
  <c r="I100"/>
  <c r="O102"/>
  <c r="O99"/>
  <c r="O103"/>
  <c r="S99"/>
  <c r="S103"/>
  <c r="S105"/>
  <c r="S101"/>
  <c r="F98"/>
  <c r="F102"/>
  <c r="F106"/>
  <c r="V106"/>
  <c r="V102"/>
  <c r="W99"/>
  <c r="W101"/>
  <c r="W102"/>
  <c r="X105"/>
  <c r="X99"/>
  <c r="X100"/>
  <c r="L98"/>
  <c r="L99"/>
  <c r="L100"/>
  <c r="J98"/>
  <c r="J106"/>
  <c r="J99"/>
  <c r="J103"/>
  <c r="R106"/>
  <c r="R98"/>
  <c r="R102"/>
  <c r="Q101"/>
  <c r="Q105"/>
  <c r="Q102"/>
  <c r="Q106"/>
  <c r="M98"/>
  <c r="M102"/>
  <c r="K106"/>
  <c r="K104"/>
  <c r="V53" i="18"/>
  <c r="V62" s="1"/>
  <c r="V83" s="1"/>
  <c r="AB9" i="23" s="1"/>
  <c r="V35" i="18"/>
  <c r="X35"/>
  <c r="Z35" s="1"/>
  <c r="X53"/>
  <c r="X62" s="1"/>
  <c r="X83" s="1"/>
  <c r="AD9" i="23" s="1"/>
  <c r="W35" i="18"/>
  <c r="W53"/>
  <c r="W62" s="1"/>
  <c r="W83" s="1"/>
  <c r="AC9" i="23" s="1"/>
  <c r="T101" i="17"/>
  <c r="T100"/>
  <c r="G105"/>
  <c r="G104"/>
  <c r="N105"/>
  <c r="N104"/>
  <c r="N102"/>
  <c r="N101"/>
  <c r="AA8" i="23"/>
  <c r="U103" i="18"/>
  <c r="U104"/>
  <c r="U101"/>
  <c r="U99"/>
  <c r="U105"/>
  <c r="U98"/>
  <c r="U106"/>
  <c r="U143" s="1"/>
  <c r="U100"/>
  <c r="U137" s="1"/>
  <c r="U102"/>
  <c r="U139" s="1"/>
  <c r="AD8" i="23"/>
  <c r="X104" i="18"/>
  <c r="H100" i="17"/>
  <c r="I102"/>
  <c r="I103"/>
  <c r="N100"/>
  <c r="O101"/>
  <c r="O106"/>
  <c r="S98"/>
  <c r="F101"/>
  <c r="F105"/>
  <c r="V101"/>
  <c r="W105"/>
  <c r="X103"/>
  <c r="L105"/>
  <c r="J101"/>
  <c r="J102"/>
  <c r="R101"/>
  <c r="R105"/>
  <c r="Q98"/>
  <c r="Q100"/>
  <c r="Q104"/>
  <c r="M101"/>
  <c r="K98"/>
  <c r="K100"/>
  <c r="K101"/>
  <c r="E45"/>
  <c r="AA34"/>
  <c r="E137"/>
  <c r="AA36"/>
  <c r="E47"/>
  <c r="E139"/>
  <c r="E46"/>
  <c r="AA35"/>
  <c r="E138"/>
  <c r="AA33"/>
  <c r="E44"/>
  <c r="E38"/>
  <c r="E136"/>
  <c r="G156" i="18" l="1"/>
  <c r="U142"/>
  <c r="E139"/>
  <c r="E178" s="1"/>
  <c r="F178" s="1"/>
  <c r="G178" s="1"/>
  <c r="H178" s="1"/>
  <c r="I178" s="1"/>
  <c r="E142"/>
  <c r="E181" s="1"/>
  <c r="F181" s="1"/>
  <c r="G181" s="1"/>
  <c r="H181" s="1"/>
  <c r="I181" s="1"/>
  <c r="J142"/>
  <c r="G140"/>
  <c r="Q151"/>
  <c r="J148"/>
  <c r="L148"/>
  <c r="L158"/>
  <c r="R149"/>
  <c r="G160"/>
  <c r="R156"/>
  <c r="X98"/>
  <c r="X135" s="1"/>
  <c r="AA38" i="17"/>
  <c r="X103" i="18"/>
  <c r="X101"/>
  <c r="X99"/>
  <c r="X100"/>
  <c r="X102"/>
  <c r="R143"/>
  <c r="K152"/>
  <c r="K146"/>
  <c r="K155"/>
  <c r="K158"/>
  <c r="J140"/>
  <c r="Q137"/>
  <c r="Q152"/>
  <c r="Q148"/>
  <c r="X140"/>
  <c r="U7" i="23"/>
  <c r="O86" i="18"/>
  <c r="O111"/>
  <c r="O108"/>
  <c r="O113"/>
  <c r="O109"/>
  <c r="O146" s="1"/>
  <c r="O123"/>
  <c r="O116"/>
  <c r="O119"/>
  <c r="O118"/>
  <c r="O120"/>
  <c r="O157" s="1"/>
  <c r="O122"/>
  <c r="O110"/>
  <c r="O147" s="1"/>
  <c r="O112"/>
  <c r="O149" s="1"/>
  <c r="O114"/>
  <c r="O151" s="1"/>
  <c r="O107"/>
  <c r="O144" s="1"/>
  <c r="O117"/>
  <c r="O154" s="1"/>
  <c r="O115"/>
  <c r="O152" s="1"/>
  <c r="O121"/>
  <c r="O158" s="1"/>
  <c r="T7" i="23"/>
  <c r="N86" i="18"/>
  <c r="N116"/>
  <c r="N115"/>
  <c r="N112"/>
  <c r="N114"/>
  <c r="N119"/>
  <c r="N117"/>
  <c r="N108"/>
  <c r="N123"/>
  <c r="N118"/>
  <c r="N155" s="1"/>
  <c r="N110"/>
  <c r="N121"/>
  <c r="N109"/>
  <c r="N122"/>
  <c r="N159" s="1"/>
  <c r="N111"/>
  <c r="N148" s="1"/>
  <c r="N120"/>
  <c r="N157" s="1"/>
  <c r="N113"/>
  <c r="N107"/>
  <c r="N144" s="1"/>
  <c r="H112"/>
  <c r="H109"/>
  <c r="H117"/>
  <c r="H116"/>
  <c r="H107"/>
  <c r="H144" s="1"/>
  <c r="H108"/>
  <c r="H118"/>
  <c r="H155" s="1"/>
  <c r="H121"/>
  <c r="H114"/>
  <c r="N7" i="23"/>
  <c r="H120" i="18"/>
  <c r="H122"/>
  <c r="H159" s="1"/>
  <c r="H123"/>
  <c r="H113"/>
  <c r="H150" s="1"/>
  <c r="H111"/>
  <c r="H110"/>
  <c r="H147" s="1"/>
  <c r="H115"/>
  <c r="H152" s="1"/>
  <c r="H86"/>
  <c r="H119"/>
  <c r="H156" s="1"/>
  <c r="P112"/>
  <c r="P121"/>
  <c r="P86"/>
  <c r="P115"/>
  <c r="P110"/>
  <c r="P113"/>
  <c r="P116"/>
  <c r="P117"/>
  <c r="P122"/>
  <c r="V7" i="23"/>
  <c r="P109" i="18"/>
  <c r="P111"/>
  <c r="P114"/>
  <c r="P107"/>
  <c r="P144" s="1"/>
  <c r="P108"/>
  <c r="P123"/>
  <c r="P119"/>
  <c r="P118"/>
  <c r="P155" s="1"/>
  <c r="P120"/>
  <c r="P157" s="1"/>
  <c r="X105"/>
  <c r="X106"/>
  <c r="U135"/>
  <c r="J176"/>
  <c r="K176" s="1"/>
  <c r="E141"/>
  <c r="E180" s="1"/>
  <c r="F180" s="1"/>
  <c r="G180" s="1"/>
  <c r="H180" s="1"/>
  <c r="I180" s="1"/>
  <c r="J180" s="1"/>
  <c r="K180" s="1"/>
  <c r="Q143"/>
  <c r="R142"/>
  <c r="K153"/>
  <c r="K149"/>
  <c r="K151"/>
  <c r="K157"/>
  <c r="K154"/>
  <c r="K145"/>
  <c r="K160"/>
  <c r="L137"/>
  <c r="J139"/>
  <c r="J178" s="1"/>
  <c r="K178" s="1"/>
  <c r="L178" s="1"/>
  <c r="M178" s="1"/>
  <c r="N178" s="1"/>
  <c r="O178" s="1"/>
  <c r="P178" s="1"/>
  <c r="J136"/>
  <c r="Q140"/>
  <c r="Q136"/>
  <c r="R140"/>
  <c r="R137"/>
  <c r="Q153"/>
  <c r="Q149"/>
  <c r="Q154"/>
  <c r="Q144"/>
  <c r="Q157"/>
  <c r="L147"/>
  <c r="L144"/>
  <c r="L160"/>
  <c r="L157"/>
  <c r="L152"/>
  <c r="J144"/>
  <c r="J160"/>
  <c r="J146"/>
  <c r="J149"/>
  <c r="J152"/>
  <c r="J155"/>
  <c r="J150"/>
  <c r="R154"/>
  <c r="R152"/>
  <c r="R148"/>
  <c r="R155"/>
  <c r="R145"/>
  <c r="G151"/>
  <c r="G153"/>
  <c r="G146"/>
  <c r="S112"/>
  <c r="S122"/>
  <c r="S119"/>
  <c r="S120"/>
  <c r="S113"/>
  <c r="S150" s="1"/>
  <c r="S111"/>
  <c r="S115"/>
  <c r="S123"/>
  <c r="S160" s="1"/>
  <c r="S107"/>
  <c r="S144" s="1"/>
  <c r="Y7" i="23"/>
  <c r="S110" i="18"/>
  <c r="S121"/>
  <c r="S158" s="1"/>
  <c r="S114"/>
  <c r="S151" s="1"/>
  <c r="S86"/>
  <c r="S108"/>
  <c r="S145" s="1"/>
  <c r="S116"/>
  <c r="S117"/>
  <c r="S109"/>
  <c r="S118"/>
  <c r="S155" s="1"/>
  <c r="I121"/>
  <c r="I107"/>
  <c r="I144" s="1"/>
  <c r="I110"/>
  <c r="I123"/>
  <c r="I118"/>
  <c r="I115"/>
  <c r="I117"/>
  <c r="I113"/>
  <c r="I120"/>
  <c r="O7" i="23"/>
  <c r="I111" i="18"/>
  <c r="I148" s="1"/>
  <c r="I114"/>
  <c r="I151" s="1"/>
  <c r="I109"/>
  <c r="I86"/>
  <c r="I112"/>
  <c r="I149" s="1"/>
  <c r="I116"/>
  <c r="I153" s="1"/>
  <c r="I108"/>
  <c r="I145" s="1"/>
  <c r="I119"/>
  <c r="I122"/>
  <c r="I159" s="1"/>
  <c r="L7" i="23"/>
  <c r="F107" i="18"/>
  <c r="F144" s="1"/>
  <c r="F110"/>
  <c r="F123"/>
  <c r="F112"/>
  <c r="F114"/>
  <c r="F113"/>
  <c r="F150" s="1"/>
  <c r="F118"/>
  <c r="F120"/>
  <c r="F109"/>
  <c r="F121"/>
  <c r="F158" s="1"/>
  <c r="F108"/>
  <c r="F145" s="1"/>
  <c r="F111"/>
  <c r="F148" s="1"/>
  <c r="F115"/>
  <c r="F152" s="1"/>
  <c r="F86"/>
  <c r="F122"/>
  <c r="F119"/>
  <c r="F117"/>
  <c r="F116"/>
  <c r="M121"/>
  <c r="M108"/>
  <c r="M109"/>
  <c r="M111"/>
  <c r="M123"/>
  <c r="M86"/>
  <c r="M113"/>
  <c r="M120"/>
  <c r="M116"/>
  <c r="S7" i="23"/>
  <c r="M117" i="18"/>
  <c r="M154" s="1"/>
  <c r="M115"/>
  <c r="M112"/>
  <c r="M119"/>
  <c r="M122"/>
  <c r="M159" s="1"/>
  <c r="M118"/>
  <c r="M110"/>
  <c r="M147" s="1"/>
  <c r="M107"/>
  <c r="M144" s="1"/>
  <c r="M114"/>
  <c r="M151" s="1"/>
  <c r="L141"/>
  <c r="K147"/>
  <c r="L142"/>
  <c r="L143"/>
  <c r="J138"/>
  <c r="Q139"/>
  <c r="R139"/>
  <c r="Q146"/>
  <c r="Q156"/>
  <c r="Q147"/>
  <c r="Q160"/>
  <c r="L145"/>
  <c r="L150"/>
  <c r="J145"/>
  <c r="J158"/>
  <c r="J154"/>
  <c r="R144"/>
  <c r="R159"/>
  <c r="G149"/>
  <c r="G145"/>
  <c r="G158"/>
  <c r="G154"/>
  <c r="G155"/>
  <c r="E138"/>
  <c r="E177" s="1"/>
  <c r="F177" s="1"/>
  <c r="G177" s="1"/>
  <c r="H177" s="1"/>
  <c r="I177" s="1"/>
  <c r="E136"/>
  <c r="E175" s="1"/>
  <c r="F175" s="1"/>
  <c r="G175" s="1"/>
  <c r="H175" s="1"/>
  <c r="I175" s="1"/>
  <c r="J175" s="1"/>
  <c r="K175" s="1"/>
  <c r="L175" s="1"/>
  <c r="M175" s="1"/>
  <c r="N175" s="1"/>
  <c r="O175" s="1"/>
  <c r="P175" s="1"/>
  <c r="Q175" s="1"/>
  <c r="R175" s="1"/>
  <c r="S175" s="1"/>
  <c r="E135"/>
  <c r="E174" s="1"/>
  <c r="F174" s="1"/>
  <c r="G174" s="1"/>
  <c r="H174" s="1"/>
  <c r="I174" s="1"/>
  <c r="J174" s="1"/>
  <c r="K174" s="1"/>
  <c r="L174" s="1"/>
  <c r="M174" s="1"/>
  <c r="N174" s="1"/>
  <c r="O174" s="1"/>
  <c r="P174" s="1"/>
  <c r="Q174" s="1"/>
  <c r="R174" s="1"/>
  <c r="S174" s="1"/>
  <c r="E143"/>
  <c r="E182" s="1"/>
  <c r="F182" s="1"/>
  <c r="G182" s="1"/>
  <c r="H182" s="1"/>
  <c r="I182" s="1"/>
  <c r="J182" s="1"/>
  <c r="K182" s="1"/>
  <c r="E140"/>
  <c r="E179" s="1"/>
  <c r="F179" s="1"/>
  <c r="G179" s="1"/>
  <c r="H179" s="1"/>
  <c r="I179" s="1"/>
  <c r="J179" s="1"/>
  <c r="K179" s="1"/>
  <c r="L179" s="1"/>
  <c r="M179" s="1"/>
  <c r="N179" s="1"/>
  <c r="O179" s="1"/>
  <c r="P179" s="1"/>
  <c r="Q179" s="1"/>
  <c r="R179" s="1"/>
  <c r="S179" s="1"/>
  <c r="E118"/>
  <c r="K7" i="23"/>
  <c r="E112" i="18"/>
  <c r="E115"/>
  <c r="E109"/>
  <c r="E116"/>
  <c r="E153" s="1"/>
  <c r="E192" s="1"/>
  <c r="E123"/>
  <c r="E114"/>
  <c r="E113"/>
  <c r="E150" s="1"/>
  <c r="E189" s="1"/>
  <c r="F189" s="1"/>
  <c r="G189" s="1"/>
  <c r="H189" s="1"/>
  <c r="E111"/>
  <c r="E122"/>
  <c r="E121"/>
  <c r="E86"/>
  <c r="E87" s="1"/>
  <c r="F87" s="1"/>
  <c r="G87" s="1"/>
  <c r="H87" s="1"/>
  <c r="I87" s="1"/>
  <c r="J87" s="1"/>
  <c r="K87" s="1"/>
  <c r="L87" s="1"/>
  <c r="M87" s="1"/>
  <c r="N87" s="1"/>
  <c r="O87" s="1"/>
  <c r="P87" s="1"/>
  <c r="Q87" s="1"/>
  <c r="R87" s="1"/>
  <c r="E119"/>
  <c r="E156" s="1"/>
  <c r="E195" s="1"/>
  <c r="E120"/>
  <c r="E117"/>
  <c r="E154" s="1"/>
  <c r="E193" s="1"/>
  <c r="E110"/>
  <c r="E147" s="1"/>
  <c r="E186" s="1"/>
  <c r="E108"/>
  <c r="E107"/>
  <c r="E144" s="1"/>
  <c r="U141"/>
  <c r="F69"/>
  <c r="E74"/>
  <c r="U23"/>
  <c r="F141" i="17"/>
  <c r="H141"/>
  <c r="W23" i="18"/>
  <c r="X23"/>
  <c r="I141" i="17"/>
  <c r="Q49"/>
  <c r="Q85"/>
  <c r="Q82"/>
  <c r="Q86"/>
  <c r="Q74"/>
  <c r="Q79"/>
  <c r="Q84"/>
  <c r="Q83"/>
  <c r="Q70"/>
  <c r="Q107" s="1"/>
  <c r="Q72"/>
  <c r="W3" i="23"/>
  <c r="Q81" i="17"/>
  <c r="Q78"/>
  <c r="Q75"/>
  <c r="Q112" s="1"/>
  <c r="Q77"/>
  <c r="Q80"/>
  <c r="Q117" s="1"/>
  <c r="Q76"/>
  <c r="Q73"/>
  <c r="Q110" s="1"/>
  <c r="Q71"/>
  <c r="Q108" s="1"/>
  <c r="T49"/>
  <c r="T76"/>
  <c r="T71"/>
  <c r="T84"/>
  <c r="T86"/>
  <c r="T82"/>
  <c r="T81"/>
  <c r="T83"/>
  <c r="T120" s="1"/>
  <c r="T77"/>
  <c r="T114" s="1"/>
  <c r="T79"/>
  <c r="Z3" i="23"/>
  <c r="T80" i="17"/>
  <c r="T117" s="1"/>
  <c r="T75"/>
  <c r="T73"/>
  <c r="T72"/>
  <c r="T109" s="1"/>
  <c r="T78"/>
  <c r="T85"/>
  <c r="T122" s="1"/>
  <c r="T74"/>
  <c r="T111" s="1"/>
  <c r="T70"/>
  <c r="T107" s="1"/>
  <c r="X75"/>
  <c r="X76"/>
  <c r="X78"/>
  <c r="X81"/>
  <c r="X80"/>
  <c r="X83"/>
  <c r="X77"/>
  <c r="X82"/>
  <c r="X119" s="1"/>
  <c r="X71"/>
  <c r="X49"/>
  <c r="AD3" i="23"/>
  <c r="X86" i="17"/>
  <c r="X123" s="1"/>
  <c r="X85"/>
  <c r="X70"/>
  <c r="X107" s="1"/>
  <c r="X73"/>
  <c r="X74"/>
  <c r="X84"/>
  <c r="X79"/>
  <c r="X116" s="1"/>
  <c r="X72"/>
  <c r="X109" s="1"/>
  <c r="V23" i="18"/>
  <c r="G141" i="17"/>
  <c r="G49"/>
  <c r="G79"/>
  <c r="G70"/>
  <c r="G107" s="1"/>
  <c r="G76"/>
  <c r="G73"/>
  <c r="G85"/>
  <c r="G82"/>
  <c r="G78"/>
  <c r="G75"/>
  <c r="G80"/>
  <c r="G117" s="1"/>
  <c r="M3" i="23"/>
  <c r="G71" i="17"/>
  <c r="G81"/>
  <c r="G84"/>
  <c r="G77"/>
  <c r="G86"/>
  <c r="G74"/>
  <c r="G111" s="1"/>
  <c r="G72"/>
  <c r="G109" s="1"/>
  <c r="G83"/>
  <c r="G120" s="1"/>
  <c r="P49"/>
  <c r="V3" i="23"/>
  <c r="P73" i="17"/>
  <c r="P85"/>
  <c r="P78"/>
  <c r="P83"/>
  <c r="P77"/>
  <c r="P71"/>
  <c r="P81"/>
  <c r="P80"/>
  <c r="P82"/>
  <c r="P119" s="1"/>
  <c r="P86"/>
  <c r="P84"/>
  <c r="P79"/>
  <c r="P72"/>
  <c r="P76"/>
  <c r="P75"/>
  <c r="P74"/>
  <c r="P111" s="1"/>
  <c r="P70"/>
  <c r="P107" s="1"/>
  <c r="X139" i="18"/>
  <c r="X141"/>
  <c r="U138"/>
  <c r="U140"/>
  <c r="W99"/>
  <c r="W104"/>
  <c r="W106"/>
  <c r="W98"/>
  <c r="W135" s="1"/>
  <c r="W103"/>
  <c r="V105"/>
  <c r="V104"/>
  <c r="V100"/>
  <c r="V101"/>
  <c r="V99"/>
  <c r="X138"/>
  <c r="X137"/>
  <c r="F49" i="17"/>
  <c r="L3" i="23"/>
  <c r="F78" i="17"/>
  <c r="F72"/>
  <c r="F76"/>
  <c r="F77"/>
  <c r="F79"/>
  <c r="F116" s="1"/>
  <c r="F75"/>
  <c r="F82"/>
  <c r="F70"/>
  <c r="F107" s="1"/>
  <c r="F81"/>
  <c r="F73"/>
  <c r="F110" s="1"/>
  <c r="F85"/>
  <c r="F74"/>
  <c r="F111" s="1"/>
  <c r="F84"/>
  <c r="F83"/>
  <c r="F80"/>
  <c r="F117" s="1"/>
  <c r="F86"/>
  <c r="F123" s="1"/>
  <c r="F71"/>
  <c r="AB3" i="23"/>
  <c r="V78" i="17"/>
  <c r="V71"/>
  <c r="V70"/>
  <c r="V107" s="1"/>
  <c r="V76"/>
  <c r="V75"/>
  <c r="V84"/>
  <c r="V73"/>
  <c r="V85"/>
  <c r="V122" s="1"/>
  <c r="V49"/>
  <c r="V77"/>
  <c r="V114" s="1"/>
  <c r="V81"/>
  <c r="V74"/>
  <c r="V82"/>
  <c r="V119" s="1"/>
  <c r="V72"/>
  <c r="V109" s="1"/>
  <c r="V80"/>
  <c r="V79"/>
  <c r="V83"/>
  <c r="V120" s="1"/>
  <c r="V86"/>
  <c r="L49"/>
  <c r="R3" i="23"/>
  <c r="L81" i="17"/>
  <c r="L86"/>
  <c r="L70"/>
  <c r="L107" s="1"/>
  <c r="L78"/>
  <c r="L83"/>
  <c r="L71"/>
  <c r="L84"/>
  <c r="L121" s="1"/>
  <c r="L85"/>
  <c r="L72"/>
  <c r="L73"/>
  <c r="L82"/>
  <c r="L119" s="1"/>
  <c r="L80"/>
  <c r="L79"/>
  <c r="L74"/>
  <c r="L111" s="1"/>
  <c r="L77"/>
  <c r="L75"/>
  <c r="L112" s="1"/>
  <c r="L76"/>
  <c r="P3" i="23"/>
  <c r="J73" i="17"/>
  <c r="J83"/>
  <c r="J82"/>
  <c r="J78"/>
  <c r="J81"/>
  <c r="J72"/>
  <c r="J70"/>
  <c r="J107" s="1"/>
  <c r="J77"/>
  <c r="J49"/>
  <c r="J80"/>
  <c r="J76"/>
  <c r="J75"/>
  <c r="J86"/>
  <c r="J74"/>
  <c r="J71"/>
  <c r="J108" s="1"/>
  <c r="J79"/>
  <c r="J116" s="1"/>
  <c r="J84"/>
  <c r="J121" s="1"/>
  <c r="J85"/>
  <c r="H49"/>
  <c r="H78"/>
  <c r="H71"/>
  <c r="H82"/>
  <c r="H77"/>
  <c r="H75"/>
  <c r="H83"/>
  <c r="H85"/>
  <c r="H79"/>
  <c r="H72"/>
  <c r="N3" i="23"/>
  <c r="H70" i="17"/>
  <c r="H107" s="1"/>
  <c r="H74"/>
  <c r="H80"/>
  <c r="H86"/>
  <c r="H81"/>
  <c r="H118" s="1"/>
  <c r="H84"/>
  <c r="H121" s="1"/>
  <c r="H76"/>
  <c r="H113" s="1"/>
  <c r="H73"/>
  <c r="K49"/>
  <c r="Q3" i="23"/>
  <c r="K78" i="17"/>
  <c r="K81"/>
  <c r="K71"/>
  <c r="K73"/>
  <c r="K86"/>
  <c r="K74"/>
  <c r="K111" s="1"/>
  <c r="K84"/>
  <c r="K70"/>
  <c r="K107" s="1"/>
  <c r="K85"/>
  <c r="K122" s="1"/>
  <c r="K75"/>
  <c r="K112" s="1"/>
  <c r="K80"/>
  <c r="K76"/>
  <c r="K113" s="1"/>
  <c r="K77"/>
  <c r="K79"/>
  <c r="K82"/>
  <c r="K72"/>
  <c r="K83"/>
  <c r="K120" s="1"/>
  <c r="I49"/>
  <c r="I76"/>
  <c r="I71"/>
  <c r="I85"/>
  <c r="I80"/>
  <c r="I72"/>
  <c r="I70"/>
  <c r="I107" s="1"/>
  <c r="I86"/>
  <c r="I79"/>
  <c r="I75"/>
  <c r="O3" i="23"/>
  <c r="I84" i="17"/>
  <c r="I73"/>
  <c r="I81"/>
  <c r="I82"/>
  <c r="I83"/>
  <c r="I74"/>
  <c r="I111" s="1"/>
  <c r="I77"/>
  <c r="I114" s="1"/>
  <c r="I78"/>
  <c r="M49"/>
  <c r="S3" i="23"/>
  <c r="M85" i="17"/>
  <c r="M70"/>
  <c r="M107" s="1"/>
  <c r="M75"/>
  <c r="M74"/>
  <c r="M84"/>
  <c r="M86"/>
  <c r="M79"/>
  <c r="M73"/>
  <c r="M80"/>
  <c r="M117" s="1"/>
  <c r="M76"/>
  <c r="M82"/>
  <c r="M81"/>
  <c r="M72"/>
  <c r="M71"/>
  <c r="M108" s="1"/>
  <c r="M78"/>
  <c r="M77"/>
  <c r="M114" s="1"/>
  <c r="M83"/>
  <c r="M120" s="1"/>
  <c r="S49"/>
  <c r="S75"/>
  <c r="S81"/>
  <c r="S70"/>
  <c r="S107" s="1"/>
  <c r="S86"/>
  <c r="S82"/>
  <c r="S73"/>
  <c r="S83"/>
  <c r="S120" s="1"/>
  <c r="S85"/>
  <c r="S84"/>
  <c r="S121" s="1"/>
  <c r="Y3" i="23"/>
  <c r="S78" i="17"/>
  <c r="S80"/>
  <c r="S72"/>
  <c r="S74"/>
  <c r="S111" s="1"/>
  <c r="S76"/>
  <c r="S113" s="1"/>
  <c r="S77"/>
  <c r="S71"/>
  <c r="S108" s="1"/>
  <c r="S79"/>
  <c r="R49"/>
  <c r="R83"/>
  <c r="R86"/>
  <c r="R73"/>
  <c r="R72"/>
  <c r="R80"/>
  <c r="R77"/>
  <c r="R82"/>
  <c r="R79"/>
  <c r="R75"/>
  <c r="X3" i="23"/>
  <c r="R84" i="17"/>
  <c r="R121" s="1"/>
  <c r="R76"/>
  <c r="R78"/>
  <c r="R74"/>
  <c r="R81"/>
  <c r="R118" s="1"/>
  <c r="R70"/>
  <c r="R107" s="1"/>
  <c r="R71"/>
  <c r="R85"/>
  <c r="O49"/>
  <c r="O75"/>
  <c r="O83"/>
  <c r="O77"/>
  <c r="O70"/>
  <c r="O107" s="1"/>
  <c r="O78"/>
  <c r="O115" s="1"/>
  <c r="O81"/>
  <c r="O71"/>
  <c r="O82"/>
  <c r="O119" s="1"/>
  <c r="O79"/>
  <c r="O116" s="1"/>
  <c r="U3" i="23"/>
  <c r="O74" i="17"/>
  <c r="O85"/>
  <c r="O76"/>
  <c r="O113" s="1"/>
  <c r="O86"/>
  <c r="O72"/>
  <c r="O109" s="1"/>
  <c r="O80"/>
  <c r="O73"/>
  <c r="O110" s="1"/>
  <c r="O84"/>
  <c r="O121" s="1"/>
  <c r="W49"/>
  <c r="AC3" i="23"/>
  <c r="W86" i="17"/>
  <c r="W78"/>
  <c r="W81"/>
  <c r="W79"/>
  <c r="W116" s="1"/>
  <c r="W85"/>
  <c r="W70"/>
  <c r="W107" s="1"/>
  <c r="W72"/>
  <c r="W76"/>
  <c r="W75"/>
  <c r="W82"/>
  <c r="W77"/>
  <c r="W83"/>
  <c r="W120" s="1"/>
  <c r="W84"/>
  <c r="W80"/>
  <c r="W117" s="1"/>
  <c r="W74"/>
  <c r="W71"/>
  <c r="W108" s="1"/>
  <c r="W73"/>
  <c r="W110" s="1"/>
  <c r="N49"/>
  <c r="T3" i="23"/>
  <c r="N79" i="17"/>
  <c r="N76"/>
  <c r="N75"/>
  <c r="N71"/>
  <c r="N78"/>
  <c r="N82"/>
  <c r="N83"/>
  <c r="N84"/>
  <c r="N80"/>
  <c r="N117" s="1"/>
  <c r="N72"/>
  <c r="N109" s="1"/>
  <c r="N86"/>
  <c r="N123" s="1"/>
  <c r="N85"/>
  <c r="N122" s="1"/>
  <c r="N77"/>
  <c r="N73"/>
  <c r="N110" s="1"/>
  <c r="N74"/>
  <c r="N70"/>
  <c r="N107" s="1"/>
  <c r="N81"/>
  <c r="N118" s="1"/>
  <c r="U49"/>
  <c r="AA3" i="23"/>
  <c r="U80" i="17"/>
  <c r="U77"/>
  <c r="U79"/>
  <c r="U86"/>
  <c r="U74"/>
  <c r="U73"/>
  <c r="U70"/>
  <c r="U107" s="1"/>
  <c r="U81"/>
  <c r="U76"/>
  <c r="U82"/>
  <c r="U119" s="1"/>
  <c r="U78"/>
  <c r="U85"/>
  <c r="U71"/>
  <c r="U108" s="1"/>
  <c r="U84"/>
  <c r="U75"/>
  <c r="U112" s="1"/>
  <c r="U83"/>
  <c r="U120" s="1"/>
  <c r="U72"/>
  <c r="U109" s="1"/>
  <c r="X136" i="18"/>
  <c r="X142"/>
  <c r="X143"/>
  <c r="U136"/>
  <c r="W105"/>
  <c r="W142" s="1"/>
  <c r="W100"/>
  <c r="W137" s="1"/>
  <c r="W102"/>
  <c r="W101"/>
  <c r="W138" s="1"/>
  <c r="V103"/>
  <c r="V106"/>
  <c r="V143" s="1"/>
  <c r="V98"/>
  <c r="V135" s="1"/>
  <c r="V102"/>
  <c r="V139" s="1"/>
  <c r="Y46" i="17"/>
  <c r="AE5" i="23" s="1"/>
  <c r="K5"/>
  <c r="AA46" i="17"/>
  <c r="Y47"/>
  <c r="AE6" i="23" s="1"/>
  <c r="E60" i="17"/>
  <c r="E97" s="1"/>
  <c r="Y97" s="1"/>
  <c r="K6" i="23"/>
  <c r="AA137" i="17"/>
  <c r="T24" i="18"/>
  <c r="Y45" i="17"/>
  <c r="AE4" i="23" s="1"/>
  <c r="E64" i="17"/>
  <c r="E67"/>
  <c r="E68"/>
  <c r="K4" i="23"/>
  <c r="E65" i="17"/>
  <c r="E102" s="1"/>
  <c r="Y102" s="1"/>
  <c r="E61"/>
  <c r="E98" s="1"/>
  <c r="Y98" s="1"/>
  <c r="E63"/>
  <c r="E62"/>
  <c r="E69"/>
  <c r="E106" s="1"/>
  <c r="Y106" s="1"/>
  <c r="E66"/>
  <c r="AA138"/>
  <c r="T25" i="18"/>
  <c r="T26"/>
  <c r="AA139" i="17"/>
  <c r="AA136"/>
  <c r="T23" i="18"/>
  <c r="E141" i="17"/>
  <c r="AA141" s="1"/>
  <c r="E83"/>
  <c r="E80"/>
  <c r="E74"/>
  <c r="Y44"/>
  <c r="E86"/>
  <c r="K3" i="23"/>
  <c r="E76" i="17"/>
  <c r="E73"/>
  <c r="E75"/>
  <c r="E112" s="1"/>
  <c r="E71"/>
  <c r="E82"/>
  <c r="E78"/>
  <c r="E70"/>
  <c r="E84"/>
  <c r="E49"/>
  <c r="E85"/>
  <c r="E122" s="1"/>
  <c r="E79"/>
  <c r="AA44"/>
  <c r="E81"/>
  <c r="E77"/>
  <c r="E72"/>
  <c r="L116" l="1"/>
  <c r="F108"/>
  <c r="K109"/>
  <c r="K116"/>
  <c r="F159" i="18"/>
  <c r="J181"/>
  <c r="K181" s="1"/>
  <c r="L181" s="1"/>
  <c r="M181" s="1"/>
  <c r="N181" s="1"/>
  <c r="O181" s="1"/>
  <c r="P181" s="1"/>
  <c r="Q181" s="1"/>
  <c r="R181" s="1"/>
  <c r="S181" s="1"/>
  <c r="M149"/>
  <c r="H145"/>
  <c r="P159"/>
  <c r="M153"/>
  <c r="M146"/>
  <c r="S153"/>
  <c r="P116" i="17"/>
  <c r="G114"/>
  <c r="Q120"/>
  <c r="J177" i="18"/>
  <c r="K177" s="1"/>
  <c r="L177" s="1"/>
  <c r="M177" s="1"/>
  <c r="N177" s="1"/>
  <c r="O177" s="1"/>
  <c r="P177" s="1"/>
  <c r="Q177" s="1"/>
  <c r="R177" s="1"/>
  <c r="S177" s="1"/>
  <c r="G162"/>
  <c r="U115" i="17"/>
  <c r="U111"/>
  <c r="N121"/>
  <c r="N113"/>
  <c r="W121"/>
  <c r="W114"/>
  <c r="O108"/>
  <c r="R122"/>
  <c r="R111"/>
  <c r="R113"/>
  <c r="R116"/>
  <c r="S115"/>
  <c r="S119"/>
  <c r="M115"/>
  <c r="M109"/>
  <c r="M119"/>
  <c r="M112"/>
  <c r="I120"/>
  <c r="I118"/>
  <c r="I109"/>
  <c r="K119"/>
  <c r="H117"/>
  <c r="H109"/>
  <c r="J111"/>
  <c r="V123"/>
  <c r="V116"/>
  <c r="V111"/>
  <c r="F120"/>
  <c r="P109"/>
  <c r="P121"/>
  <c r="G123"/>
  <c r="G108"/>
  <c r="X121"/>
  <c r="X114"/>
  <c r="T115"/>
  <c r="S87" i="18"/>
  <c r="M155"/>
  <c r="F153"/>
  <c r="F192" s="1"/>
  <c r="G192" s="1"/>
  <c r="F156"/>
  <c r="F195" s="1"/>
  <c r="G195" s="1"/>
  <c r="H195" s="1"/>
  <c r="I156"/>
  <c r="I150"/>
  <c r="I189" s="1"/>
  <c r="J189" s="1"/>
  <c r="K189" s="1"/>
  <c r="L189" s="1"/>
  <c r="S154"/>
  <c r="S147"/>
  <c r="R162"/>
  <c r="J162"/>
  <c r="L162"/>
  <c r="K162"/>
  <c r="P160"/>
  <c r="P148"/>
  <c r="P154"/>
  <c r="P150"/>
  <c r="H148"/>
  <c r="H160"/>
  <c r="N150"/>
  <c r="N146"/>
  <c r="N154"/>
  <c r="O156"/>
  <c r="W141"/>
  <c r="P112" i="17"/>
  <c r="P118"/>
  <c r="E157" i="18"/>
  <c r="E196" s="1"/>
  <c r="E159"/>
  <c r="E198" s="1"/>
  <c r="F198" s="1"/>
  <c r="G198" s="1"/>
  <c r="H198" s="1"/>
  <c r="I198" s="1"/>
  <c r="J198" s="1"/>
  <c r="K198" s="1"/>
  <c r="L198" s="1"/>
  <c r="M198" s="1"/>
  <c r="N198" s="1"/>
  <c r="L182"/>
  <c r="M182" s="1"/>
  <c r="N182" s="1"/>
  <c r="O182" s="1"/>
  <c r="P182" s="1"/>
  <c r="Q182" s="1"/>
  <c r="R182" s="1"/>
  <c r="S182" s="1"/>
  <c r="Q178"/>
  <c r="R178" s="1"/>
  <c r="S178" s="1"/>
  <c r="M156"/>
  <c r="M152"/>
  <c r="M157"/>
  <c r="M148"/>
  <c r="M145"/>
  <c r="F157"/>
  <c r="F149"/>
  <c r="F147"/>
  <c r="F186" s="1"/>
  <c r="G186" s="1"/>
  <c r="H186" s="1"/>
  <c r="I152"/>
  <c r="I160"/>
  <c r="S152"/>
  <c r="S156"/>
  <c r="S149"/>
  <c r="Q162"/>
  <c r="L180"/>
  <c r="M180" s="1"/>
  <c r="N180" s="1"/>
  <c r="O180" s="1"/>
  <c r="P180" s="1"/>
  <c r="Q180" s="1"/>
  <c r="R180" s="1"/>
  <c r="S180" s="1"/>
  <c r="P152"/>
  <c r="P158"/>
  <c r="H157"/>
  <c r="H151"/>
  <c r="H154"/>
  <c r="H149"/>
  <c r="N147"/>
  <c r="N160"/>
  <c r="N151"/>
  <c r="N152"/>
  <c r="O160"/>
  <c r="O150"/>
  <c r="O148"/>
  <c r="M150"/>
  <c r="M160"/>
  <c r="M158"/>
  <c r="F154"/>
  <c r="F193" s="1"/>
  <c r="G193" s="1"/>
  <c r="H193" s="1"/>
  <c r="F146"/>
  <c r="F155"/>
  <c r="F151"/>
  <c r="F160"/>
  <c r="I146"/>
  <c r="I157"/>
  <c r="I154"/>
  <c r="I155"/>
  <c r="I147"/>
  <c r="I158"/>
  <c r="S146"/>
  <c r="S148"/>
  <c r="S157"/>
  <c r="S159"/>
  <c r="L176"/>
  <c r="M176" s="1"/>
  <c r="N176" s="1"/>
  <c r="O176" s="1"/>
  <c r="P176" s="1"/>
  <c r="Q176" s="1"/>
  <c r="R176" s="1"/>
  <c r="S176" s="1"/>
  <c r="P156"/>
  <c r="P145"/>
  <c r="P151"/>
  <c r="P146"/>
  <c r="P153"/>
  <c r="P147"/>
  <c r="P149"/>
  <c r="H158"/>
  <c r="H153"/>
  <c r="H146"/>
  <c r="N158"/>
  <c r="N145"/>
  <c r="N156"/>
  <c r="N149"/>
  <c r="N153"/>
  <c r="O159"/>
  <c r="O155"/>
  <c r="O153"/>
  <c r="O145"/>
  <c r="E109" i="17"/>
  <c r="E118"/>
  <c r="E116"/>
  <c r="E107"/>
  <c r="AA45"/>
  <c r="AA47"/>
  <c r="H110"/>
  <c r="H123"/>
  <c r="H116"/>
  <c r="G69" i="18"/>
  <c r="F74"/>
  <c r="E183"/>
  <c r="N119" i="17"/>
  <c r="W109"/>
  <c r="W118"/>
  <c r="R109"/>
  <c r="R123"/>
  <c r="S112"/>
  <c r="I112"/>
  <c r="K114"/>
  <c r="E160" i="18"/>
  <c r="E199" s="1"/>
  <c r="E146"/>
  <c r="E185" s="1"/>
  <c r="E149"/>
  <c r="E188" s="1"/>
  <c r="F188" s="1"/>
  <c r="G188" s="1"/>
  <c r="H188" s="1"/>
  <c r="I188" s="1"/>
  <c r="J188" s="1"/>
  <c r="K188" s="1"/>
  <c r="L188" s="1"/>
  <c r="M188" s="1"/>
  <c r="N188" s="1"/>
  <c r="O188" s="1"/>
  <c r="E155"/>
  <c r="E194" s="1"/>
  <c r="F194" s="1"/>
  <c r="G194" s="1"/>
  <c r="H194" s="1"/>
  <c r="I194" s="1"/>
  <c r="J194" s="1"/>
  <c r="K194" s="1"/>
  <c r="L194" s="1"/>
  <c r="V140"/>
  <c r="H120" i="17"/>
  <c r="J123"/>
  <c r="J113"/>
  <c r="J118"/>
  <c r="L113"/>
  <c r="L109"/>
  <c r="V117"/>
  <c r="F121"/>
  <c r="F113"/>
  <c r="F115"/>
  <c r="V138" i="18"/>
  <c r="X111" i="17"/>
  <c r="X113"/>
  <c r="E145" i="18"/>
  <c r="E184" s="1"/>
  <c r="F184" s="1"/>
  <c r="G184" s="1"/>
  <c r="H184" s="1"/>
  <c r="I184" s="1"/>
  <c r="J184" s="1"/>
  <c r="K184" s="1"/>
  <c r="L184" s="1"/>
  <c r="M184" s="1"/>
  <c r="N184" s="1"/>
  <c r="E158"/>
  <c r="E197" s="1"/>
  <c r="F197" s="1"/>
  <c r="G197" s="1"/>
  <c r="E148"/>
  <c r="E187" s="1"/>
  <c r="F187" s="1"/>
  <c r="G187" s="1"/>
  <c r="E151"/>
  <c r="E190" s="1"/>
  <c r="E152"/>
  <c r="E191" s="1"/>
  <c r="F191" s="1"/>
  <c r="G191" s="1"/>
  <c r="H191" s="1"/>
  <c r="I191" s="1"/>
  <c r="J191" s="1"/>
  <c r="K191" s="1"/>
  <c r="L191" s="1"/>
  <c r="V33"/>
  <c r="V38" s="1"/>
  <c r="V28"/>
  <c r="V51"/>
  <c r="W28"/>
  <c r="W51"/>
  <c r="W33"/>
  <c r="W38" s="1"/>
  <c r="U113" i="17"/>
  <c r="U116"/>
  <c r="U117"/>
  <c r="N108"/>
  <c r="W111"/>
  <c r="W112"/>
  <c r="W122"/>
  <c r="W123"/>
  <c r="O111"/>
  <c r="O114"/>
  <c r="O112"/>
  <c r="R114"/>
  <c r="S109"/>
  <c r="M116"/>
  <c r="M121"/>
  <c r="M122"/>
  <c r="I121"/>
  <c r="I123"/>
  <c r="I122"/>
  <c r="I113"/>
  <c r="K117"/>
  <c r="K121"/>
  <c r="K123"/>
  <c r="K108"/>
  <c r="K115"/>
  <c r="H122"/>
  <c r="H112"/>
  <c r="H119"/>
  <c r="H115"/>
  <c r="J122"/>
  <c r="J112"/>
  <c r="J117"/>
  <c r="J114"/>
  <c r="J109"/>
  <c r="J115"/>
  <c r="J120"/>
  <c r="L117"/>
  <c r="L110"/>
  <c r="L122"/>
  <c r="L108"/>
  <c r="L115"/>
  <c r="L123"/>
  <c r="V121"/>
  <c r="V113"/>
  <c r="V108"/>
  <c r="F112"/>
  <c r="F114"/>
  <c r="F109"/>
  <c r="V136" i="18"/>
  <c r="V137"/>
  <c r="V142"/>
  <c r="W140"/>
  <c r="W143"/>
  <c r="W136"/>
  <c r="P113" i="17"/>
  <c r="P123"/>
  <c r="P117"/>
  <c r="P108"/>
  <c r="P120"/>
  <c r="P122"/>
  <c r="G118"/>
  <c r="G112"/>
  <c r="G119"/>
  <c r="G110"/>
  <c r="X120"/>
  <c r="X118"/>
  <c r="T112"/>
  <c r="T118"/>
  <c r="T123"/>
  <c r="T108"/>
  <c r="Q118"/>
  <c r="Q109"/>
  <c r="Q116"/>
  <c r="Q123"/>
  <c r="Q122"/>
  <c r="X28" i="18"/>
  <c r="X51"/>
  <c r="X33"/>
  <c r="U51"/>
  <c r="U33"/>
  <c r="U38" s="1"/>
  <c r="U28"/>
  <c r="E114" i="17"/>
  <c r="E121"/>
  <c r="W139" i="18"/>
  <c r="U121" i="17"/>
  <c r="U122"/>
  <c r="U118"/>
  <c r="U110"/>
  <c r="U123"/>
  <c r="U114"/>
  <c r="N111"/>
  <c r="N114"/>
  <c r="N120"/>
  <c r="N115"/>
  <c r="N112"/>
  <c r="N116"/>
  <c r="W119"/>
  <c r="W113"/>
  <c r="W115"/>
  <c r="O117"/>
  <c r="O123"/>
  <c r="O122"/>
  <c r="O118"/>
  <c r="O120"/>
  <c r="R108"/>
  <c r="R115"/>
  <c r="R112"/>
  <c r="R119"/>
  <c r="R117"/>
  <c r="R110"/>
  <c r="R120"/>
  <c r="S116"/>
  <c r="S114"/>
  <c r="S117"/>
  <c r="S122"/>
  <c r="S110"/>
  <c r="S123"/>
  <c r="S118"/>
  <c r="M118"/>
  <c r="M113"/>
  <c r="M110"/>
  <c r="M123"/>
  <c r="M111"/>
  <c r="I115"/>
  <c r="I119"/>
  <c r="I110"/>
  <c r="I116"/>
  <c r="I117"/>
  <c r="I108"/>
  <c r="K110"/>
  <c r="K118"/>
  <c r="H111"/>
  <c r="H114"/>
  <c r="H108"/>
  <c r="J119"/>
  <c r="J110"/>
  <c r="L114"/>
  <c r="L120"/>
  <c r="L118"/>
  <c r="V118"/>
  <c r="V110"/>
  <c r="V112"/>
  <c r="V115"/>
  <c r="F122"/>
  <c r="F118"/>
  <c r="F119"/>
  <c r="V141" i="18"/>
  <c r="P114" i="17"/>
  <c r="P115"/>
  <c r="P110"/>
  <c r="G121"/>
  <c r="G115"/>
  <c r="G122"/>
  <c r="G113"/>
  <c r="G116"/>
  <c r="X110"/>
  <c r="X122"/>
  <c r="X108"/>
  <c r="X117"/>
  <c r="X115"/>
  <c r="X112"/>
  <c r="T110"/>
  <c r="T116"/>
  <c r="T119"/>
  <c r="T121"/>
  <c r="T113"/>
  <c r="Q113"/>
  <c r="Q114"/>
  <c r="Q115"/>
  <c r="Q121"/>
  <c r="Q111"/>
  <c r="Q119"/>
  <c r="T35" i="18"/>
  <c r="T53"/>
  <c r="T62" s="1"/>
  <c r="Z53"/>
  <c r="Y83" s="1"/>
  <c r="AE9" i="23" s="1"/>
  <c r="E104" i="17"/>
  <c r="Y104" s="1"/>
  <c r="E103"/>
  <c r="Y103" s="1"/>
  <c r="E100"/>
  <c r="Y100" s="1"/>
  <c r="E99"/>
  <c r="Y99" s="1"/>
  <c r="T52" i="18"/>
  <c r="T61" s="1"/>
  <c r="Z52"/>
  <c r="Y82" s="1"/>
  <c r="T34"/>
  <c r="T36"/>
  <c r="Z54"/>
  <c r="Y84" s="1"/>
  <c r="T54"/>
  <c r="T63" s="1"/>
  <c r="E105" i="17"/>
  <c r="Y105" s="1"/>
  <c r="E101"/>
  <c r="Y101" s="1"/>
  <c r="E111"/>
  <c r="AE3" i="23"/>
  <c r="Y49" i="17"/>
  <c r="AA49" s="1"/>
  <c r="E115"/>
  <c r="E108"/>
  <c r="E110"/>
  <c r="E117"/>
  <c r="E50"/>
  <c r="F50" s="1"/>
  <c r="G50" s="1"/>
  <c r="H50" s="1"/>
  <c r="I50" s="1"/>
  <c r="J50" s="1"/>
  <c r="K50" s="1"/>
  <c r="L50" s="1"/>
  <c r="M50" s="1"/>
  <c r="N50" s="1"/>
  <c r="O50" s="1"/>
  <c r="P50" s="1"/>
  <c r="Q50" s="1"/>
  <c r="R50" s="1"/>
  <c r="S50" s="1"/>
  <c r="T50" s="1"/>
  <c r="U50" s="1"/>
  <c r="V50" s="1"/>
  <c r="W50" s="1"/>
  <c r="X50" s="1"/>
  <c r="C10"/>
  <c r="Y107"/>
  <c r="T33" i="18"/>
  <c r="Z51"/>
  <c r="Y81" s="1"/>
  <c r="T51"/>
  <c r="T28"/>
  <c r="E119" i="17"/>
  <c r="E113"/>
  <c r="E123"/>
  <c r="E120"/>
  <c r="Y120" l="1"/>
  <c r="F190" i="18"/>
  <c r="G190" s="1"/>
  <c r="H190" s="1"/>
  <c r="I190" s="1"/>
  <c r="J190" s="1"/>
  <c r="K190" s="1"/>
  <c r="L190" s="1"/>
  <c r="M190" s="1"/>
  <c r="N190" s="1"/>
  <c r="O190" s="1"/>
  <c r="P190" s="1"/>
  <c r="Q190" s="1"/>
  <c r="R190" s="1"/>
  <c r="S190" s="1"/>
  <c r="H197"/>
  <c r="I197" s="1"/>
  <c r="J197" s="1"/>
  <c r="K197" s="1"/>
  <c r="L197" s="1"/>
  <c r="M197" s="1"/>
  <c r="N197" s="1"/>
  <c r="O197" s="1"/>
  <c r="P197" s="1"/>
  <c r="Q197" s="1"/>
  <c r="R197" s="1"/>
  <c r="S197" s="1"/>
  <c r="M194"/>
  <c r="N194" s="1"/>
  <c r="O194" s="1"/>
  <c r="P194" s="1"/>
  <c r="Q194" s="1"/>
  <c r="R194" s="1"/>
  <c r="S194" s="1"/>
  <c r="F185"/>
  <c r="G185" s="1"/>
  <c r="H185" s="1"/>
  <c r="I185" s="1"/>
  <c r="J185" s="1"/>
  <c r="K185" s="1"/>
  <c r="L185" s="1"/>
  <c r="M185" s="1"/>
  <c r="N185" s="1"/>
  <c r="O185" s="1"/>
  <c r="P185" s="1"/>
  <c r="Q185" s="1"/>
  <c r="R185" s="1"/>
  <c r="S185" s="1"/>
  <c r="M125" i="17"/>
  <c r="V125"/>
  <c r="Y123"/>
  <c r="Y119"/>
  <c r="T38" i="18"/>
  <c r="Y117" i="17"/>
  <c r="Y108"/>
  <c r="Y111"/>
  <c r="M191" i="18"/>
  <c r="N191" s="1"/>
  <c r="O191" s="1"/>
  <c r="P191" s="1"/>
  <c r="Q191" s="1"/>
  <c r="R191" s="1"/>
  <c r="S191" s="1"/>
  <c r="H187"/>
  <c r="I187" s="1"/>
  <c r="J187" s="1"/>
  <c r="K187" s="1"/>
  <c r="L187" s="1"/>
  <c r="M187" s="1"/>
  <c r="N187" s="1"/>
  <c r="O187" s="1"/>
  <c r="P187" s="1"/>
  <c r="Q187" s="1"/>
  <c r="R187" s="1"/>
  <c r="S187" s="1"/>
  <c r="O184"/>
  <c r="P184" s="1"/>
  <c r="Q184" s="1"/>
  <c r="R184" s="1"/>
  <c r="S184" s="1"/>
  <c r="P188"/>
  <c r="Q188" s="1"/>
  <c r="R188" s="1"/>
  <c r="S188" s="1"/>
  <c r="F199"/>
  <c r="G199" s="1"/>
  <c r="H199" s="1"/>
  <c r="I199" s="1"/>
  <c r="J199" s="1"/>
  <c r="K199" s="1"/>
  <c r="L199" s="1"/>
  <c r="M199" s="1"/>
  <c r="N199" s="1"/>
  <c r="O199" s="1"/>
  <c r="P199" s="1"/>
  <c r="Q199" s="1"/>
  <c r="R199" s="1"/>
  <c r="S199" s="1"/>
  <c r="B49" i="17"/>
  <c r="F162" i="18"/>
  <c r="I195"/>
  <c r="J195" s="1"/>
  <c r="K195" s="1"/>
  <c r="L195" s="1"/>
  <c r="M195" s="1"/>
  <c r="N195" s="1"/>
  <c r="O195" s="1"/>
  <c r="P195" s="1"/>
  <c r="Q195" s="1"/>
  <c r="R195" s="1"/>
  <c r="S195" s="1"/>
  <c r="H162"/>
  <c r="P162"/>
  <c r="S162"/>
  <c r="I193"/>
  <c r="J193" s="1"/>
  <c r="K193" s="1"/>
  <c r="L193" s="1"/>
  <c r="M193" s="1"/>
  <c r="N193" s="1"/>
  <c r="O193" s="1"/>
  <c r="P193" s="1"/>
  <c r="Q193" s="1"/>
  <c r="R193" s="1"/>
  <c r="S193" s="1"/>
  <c r="M162"/>
  <c r="N162"/>
  <c r="H192"/>
  <c r="I192" s="1"/>
  <c r="J192" s="1"/>
  <c r="K192" s="1"/>
  <c r="L192" s="1"/>
  <c r="M192" s="1"/>
  <c r="N192" s="1"/>
  <c r="O192" s="1"/>
  <c r="P192" s="1"/>
  <c r="Q192" s="1"/>
  <c r="R192" s="1"/>
  <c r="S192" s="1"/>
  <c r="M189"/>
  <c r="N189" s="1"/>
  <c r="O189" s="1"/>
  <c r="P189" s="1"/>
  <c r="Q189" s="1"/>
  <c r="R189" s="1"/>
  <c r="S189" s="1"/>
  <c r="O162"/>
  <c r="I162"/>
  <c r="I186"/>
  <c r="J186" s="1"/>
  <c r="K186" s="1"/>
  <c r="L186" s="1"/>
  <c r="M186" s="1"/>
  <c r="N186" s="1"/>
  <c r="O186" s="1"/>
  <c r="P186" s="1"/>
  <c r="Q186" s="1"/>
  <c r="R186" s="1"/>
  <c r="S186" s="1"/>
  <c r="O198"/>
  <c r="P198" s="1"/>
  <c r="Q198" s="1"/>
  <c r="R198" s="1"/>
  <c r="S198" s="1"/>
  <c r="F196"/>
  <c r="G196" s="1"/>
  <c r="H196" s="1"/>
  <c r="I196" s="1"/>
  <c r="J196" s="1"/>
  <c r="K196" s="1"/>
  <c r="L196" s="1"/>
  <c r="M196" s="1"/>
  <c r="N196" s="1"/>
  <c r="O196" s="1"/>
  <c r="P196" s="1"/>
  <c r="Q196" s="1"/>
  <c r="R196" s="1"/>
  <c r="S196" s="1"/>
  <c r="X125" i="17"/>
  <c r="F125"/>
  <c r="F183" i="18"/>
  <c r="E201"/>
  <c r="H69"/>
  <c r="G74"/>
  <c r="U125" i="17"/>
  <c r="Q125"/>
  <c r="T125"/>
  <c r="G125"/>
  <c r="P125"/>
  <c r="Y109"/>
  <c r="L125"/>
  <c r="J125"/>
  <c r="H125"/>
  <c r="I125"/>
  <c r="W125"/>
  <c r="Y113"/>
  <c r="Y110"/>
  <c r="Y115"/>
  <c r="Y116"/>
  <c r="Y118"/>
  <c r="S125"/>
  <c r="R125"/>
  <c r="O125"/>
  <c r="Y112"/>
  <c r="N125"/>
  <c r="K125"/>
  <c r="E162" i="18"/>
  <c r="E163" s="1"/>
  <c r="U56"/>
  <c r="U60"/>
  <c r="X60"/>
  <c r="X56"/>
  <c r="W56"/>
  <c r="W60"/>
  <c r="V60"/>
  <c r="V56"/>
  <c r="Y122" i="17"/>
  <c r="X38" i="18"/>
  <c r="Z33"/>
  <c r="Z38" s="1"/>
  <c r="Y121" i="17"/>
  <c r="Y114"/>
  <c r="T84" i="18"/>
  <c r="T72"/>
  <c r="U72" s="1"/>
  <c r="V72" s="1"/>
  <c r="W72" s="1"/>
  <c r="X72" s="1"/>
  <c r="Y99"/>
  <c r="AE8" i="23"/>
  <c r="Y105" i="18"/>
  <c r="Y100"/>
  <c r="Y98"/>
  <c r="Y104"/>
  <c r="Y102"/>
  <c r="Y101"/>
  <c r="Y138" s="1"/>
  <c r="Y103"/>
  <c r="Y140" s="1"/>
  <c r="Y106"/>
  <c r="Y143" s="1"/>
  <c r="AE10" i="23"/>
  <c r="Y97" i="18"/>
  <c r="Y134" s="1"/>
  <c r="T82"/>
  <c r="T70"/>
  <c r="U70" s="1"/>
  <c r="V70" s="1"/>
  <c r="W70" s="1"/>
  <c r="X70" s="1"/>
  <c r="T83"/>
  <c r="T71"/>
  <c r="U71" s="1"/>
  <c r="V71" s="1"/>
  <c r="W71" s="1"/>
  <c r="X71" s="1"/>
  <c r="T60"/>
  <c r="T56"/>
  <c r="Z56" s="1"/>
  <c r="Y123"/>
  <c r="Y108"/>
  <c r="AE7" i="23"/>
  <c r="Y117" i="18"/>
  <c r="Y116"/>
  <c r="Y109"/>
  <c r="Y146" s="1"/>
  <c r="Y120"/>
  <c r="Y112"/>
  <c r="Y118"/>
  <c r="Y155" s="1"/>
  <c r="Y119"/>
  <c r="Y121"/>
  <c r="Y158" s="1"/>
  <c r="Y86"/>
  <c r="Y122"/>
  <c r="Y110"/>
  <c r="Y147" s="1"/>
  <c r="Y113"/>
  <c r="Y115"/>
  <c r="Y107"/>
  <c r="Y114"/>
  <c r="Y111"/>
  <c r="E125" i="17"/>
  <c r="E126" s="1"/>
  <c r="F126" s="1"/>
  <c r="G126" s="1"/>
  <c r="H126" s="1"/>
  <c r="I126" s="1"/>
  <c r="J126" s="1"/>
  <c r="K126" s="1"/>
  <c r="L126" s="1"/>
  <c r="M126" s="1"/>
  <c r="N126" s="1"/>
  <c r="O126" s="1"/>
  <c r="P126" s="1"/>
  <c r="Q126" s="1"/>
  <c r="R126" s="1"/>
  <c r="S126" s="1"/>
  <c r="T126" s="1"/>
  <c r="U126" s="1"/>
  <c r="V126" s="1"/>
  <c r="W126" s="1"/>
  <c r="X126" s="1"/>
  <c r="Y126" l="1"/>
  <c r="F163" i="18"/>
  <c r="G163" s="1"/>
  <c r="H163" s="1"/>
  <c r="I163" s="1"/>
  <c r="J163" s="1"/>
  <c r="K163" s="1"/>
  <c r="L163" s="1"/>
  <c r="M163" s="1"/>
  <c r="N163" s="1"/>
  <c r="O163" s="1"/>
  <c r="P163" s="1"/>
  <c r="Q163" s="1"/>
  <c r="R163" s="1"/>
  <c r="S163" s="1"/>
  <c r="Y148"/>
  <c r="Y150"/>
  <c r="Y151"/>
  <c r="Y156"/>
  <c r="Y139"/>
  <c r="I69"/>
  <c r="H74"/>
  <c r="G183"/>
  <c r="F201"/>
  <c r="Y137"/>
  <c r="W65"/>
  <c r="W81"/>
  <c r="U81"/>
  <c r="U65"/>
  <c r="V65"/>
  <c r="V81"/>
  <c r="X81"/>
  <c r="X65"/>
  <c r="Y142"/>
  <c r="T99"/>
  <c r="Z9" i="23"/>
  <c r="AA83" i="18"/>
  <c r="Z8" i="23"/>
  <c r="AA82" i="18"/>
  <c r="T105"/>
  <c r="T102"/>
  <c r="T106"/>
  <c r="T143" s="1"/>
  <c r="T182" s="1"/>
  <c r="U182" s="1"/>
  <c r="V182" s="1"/>
  <c r="W182" s="1"/>
  <c r="X182" s="1"/>
  <c r="T100"/>
  <c r="T137" s="1"/>
  <c r="T176" s="1"/>
  <c r="U176" s="1"/>
  <c r="V176" s="1"/>
  <c r="W176" s="1"/>
  <c r="X176" s="1"/>
  <c r="T103"/>
  <c r="T104"/>
  <c r="T98"/>
  <c r="T101"/>
  <c r="T138" s="1"/>
  <c r="T177" s="1"/>
  <c r="U177" s="1"/>
  <c r="V177" s="1"/>
  <c r="W177" s="1"/>
  <c r="X177" s="1"/>
  <c r="Z10" i="23"/>
  <c r="AA84" i="18"/>
  <c r="T97"/>
  <c r="T134" s="1"/>
  <c r="T173" s="1"/>
  <c r="U173" s="1"/>
  <c r="V173" s="1"/>
  <c r="W173" s="1"/>
  <c r="X173" s="1"/>
  <c r="Y135"/>
  <c r="Y136"/>
  <c r="Y141"/>
  <c r="Y153"/>
  <c r="Y152"/>
  <c r="T65"/>
  <c r="T81"/>
  <c r="Y149"/>
  <c r="Y154"/>
  <c r="Y145"/>
  <c r="Y144"/>
  <c r="Y160"/>
  <c r="Y159"/>
  <c r="Y157"/>
  <c r="T140" l="1"/>
  <c r="T179" s="1"/>
  <c r="U179" s="1"/>
  <c r="V179" s="1"/>
  <c r="W179" s="1"/>
  <c r="X179" s="1"/>
  <c r="T141"/>
  <c r="T180" s="1"/>
  <c r="U180" s="1"/>
  <c r="V180" s="1"/>
  <c r="W180" s="1"/>
  <c r="X180" s="1"/>
  <c r="H183"/>
  <c r="G201"/>
  <c r="I74"/>
  <c r="J69"/>
  <c r="X86"/>
  <c r="AD7" i="23"/>
  <c r="X113" i="18"/>
  <c r="X109"/>
  <c r="X108"/>
  <c r="X112"/>
  <c r="X111"/>
  <c r="X119"/>
  <c r="X123"/>
  <c r="X122"/>
  <c r="X110"/>
  <c r="X107"/>
  <c r="X144" s="1"/>
  <c r="X120"/>
  <c r="X114"/>
  <c r="X151" s="1"/>
  <c r="X121"/>
  <c r="X158" s="1"/>
  <c r="X115"/>
  <c r="X152" s="1"/>
  <c r="X118"/>
  <c r="X117"/>
  <c r="X116"/>
  <c r="U120"/>
  <c r="U119"/>
  <c r="U116"/>
  <c r="U114"/>
  <c r="U122"/>
  <c r="U115"/>
  <c r="U152" s="1"/>
  <c r="U118"/>
  <c r="U108"/>
  <c r="U113"/>
  <c r="AA7" i="23"/>
  <c r="U109" i="18"/>
  <c r="U121"/>
  <c r="U86"/>
  <c r="U107"/>
  <c r="U144" s="1"/>
  <c r="U111"/>
  <c r="U112"/>
  <c r="U117"/>
  <c r="U154" s="1"/>
  <c r="U110"/>
  <c r="U123"/>
  <c r="U160" s="1"/>
  <c r="V108"/>
  <c r="V114"/>
  <c r="V121"/>
  <c r="V107"/>
  <c r="V144" s="1"/>
  <c r="V123"/>
  <c r="V112"/>
  <c r="V111"/>
  <c r="V119"/>
  <c r="V118"/>
  <c r="AB7" i="23"/>
  <c r="V120" i="18"/>
  <c r="V115"/>
  <c r="V152" s="1"/>
  <c r="V117"/>
  <c r="V116"/>
  <c r="V153" s="1"/>
  <c r="V110"/>
  <c r="V122"/>
  <c r="V159" s="1"/>
  <c r="V109"/>
  <c r="V146" s="1"/>
  <c r="V113"/>
  <c r="V150" s="1"/>
  <c r="V86"/>
  <c r="AC7" i="23"/>
  <c r="W121" i="18"/>
  <c r="W109"/>
  <c r="W86"/>
  <c r="W111"/>
  <c r="W120"/>
  <c r="W112"/>
  <c r="W149" s="1"/>
  <c r="W123"/>
  <c r="W113"/>
  <c r="W150" s="1"/>
  <c r="W108"/>
  <c r="W122"/>
  <c r="W117"/>
  <c r="W110"/>
  <c r="W147" s="1"/>
  <c r="W114"/>
  <c r="W116"/>
  <c r="W119"/>
  <c r="W115"/>
  <c r="W118"/>
  <c r="W155" s="1"/>
  <c r="W107"/>
  <c r="W144" s="1"/>
  <c r="T139"/>
  <c r="T178" s="1"/>
  <c r="U178" s="1"/>
  <c r="V178" s="1"/>
  <c r="W178" s="1"/>
  <c r="X178" s="1"/>
  <c r="T136"/>
  <c r="T175" s="1"/>
  <c r="U175" s="1"/>
  <c r="V175" s="1"/>
  <c r="W175" s="1"/>
  <c r="X175" s="1"/>
  <c r="T135"/>
  <c r="T174" s="1"/>
  <c r="U174" s="1"/>
  <c r="V174" s="1"/>
  <c r="W174" s="1"/>
  <c r="X174" s="1"/>
  <c r="T142"/>
  <c r="T181" s="1"/>
  <c r="U181" s="1"/>
  <c r="V181" s="1"/>
  <c r="W181" s="1"/>
  <c r="X181" s="1"/>
  <c r="Y163"/>
  <c r="T111"/>
  <c r="T110"/>
  <c r="T109"/>
  <c r="T122"/>
  <c r="T115"/>
  <c r="T121"/>
  <c r="T86"/>
  <c r="T116"/>
  <c r="T114"/>
  <c r="AA81"/>
  <c r="B86" s="1"/>
  <c r="Z7" i="23"/>
  <c r="T107" i="18"/>
  <c r="T144" s="1"/>
  <c r="T123"/>
  <c r="T113"/>
  <c r="T120"/>
  <c r="T117"/>
  <c r="T154" s="1"/>
  <c r="T193" s="1"/>
  <c r="U193" s="1"/>
  <c r="T118"/>
  <c r="T108"/>
  <c r="T145" s="1"/>
  <c r="T184" s="1"/>
  <c r="T119"/>
  <c r="T156" s="1"/>
  <c r="T195" s="1"/>
  <c r="T112"/>
  <c r="X157" l="1"/>
  <c r="X147"/>
  <c r="W159"/>
  <c r="W151"/>
  <c r="U147"/>
  <c r="U158"/>
  <c r="X153"/>
  <c r="U149"/>
  <c r="V154"/>
  <c r="V193" s="1"/>
  <c r="V157"/>
  <c r="T149"/>
  <c r="T188" s="1"/>
  <c r="T160"/>
  <c r="T199" s="1"/>
  <c r="U199" s="1"/>
  <c r="W152"/>
  <c r="U146"/>
  <c r="I183"/>
  <c r="H201"/>
  <c r="K69"/>
  <c r="J74"/>
  <c r="W156"/>
  <c r="W154"/>
  <c r="W145"/>
  <c r="W160"/>
  <c r="W157"/>
  <c r="W158"/>
  <c r="V147"/>
  <c r="V155"/>
  <c r="V148"/>
  <c r="V160"/>
  <c r="V158"/>
  <c r="V145"/>
  <c r="U145"/>
  <c r="U184" s="1"/>
  <c r="U151"/>
  <c r="U156"/>
  <c r="X155"/>
  <c r="X160"/>
  <c r="X148"/>
  <c r="X145"/>
  <c r="X150"/>
  <c r="U195"/>
  <c r="V199"/>
  <c r="W199" s="1"/>
  <c r="W153"/>
  <c r="W148"/>
  <c r="W146"/>
  <c r="V156"/>
  <c r="V149"/>
  <c r="V151"/>
  <c r="U148"/>
  <c r="U150"/>
  <c r="U155"/>
  <c r="U159"/>
  <c r="U153"/>
  <c r="U157"/>
  <c r="X154"/>
  <c r="X159"/>
  <c r="X156"/>
  <c r="X149"/>
  <c r="X146"/>
  <c r="T153"/>
  <c r="T192" s="1"/>
  <c r="T150"/>
  <c r="T189" s="1"/>
  <c r="T158"/>
  <c r="T197" s="1"/>
  <c r="U197" s="1"/>
  <c r="T159"/>
  <c r="T198" s="1"/>
  <c r="T147"/>
  <c r="T186" s="1"/>
  <c r="U186" s="1"/>
  <c r="C10"/>
  <c r="T87"/>
  <c r="U87" s="1"/>
  <c r="V87" s="1"/>
  <c r="W87" s="1"/>
  <c r="X87" s="1"/>
  <c r="T155"/>
  <c r="T194" s="1"/>
  <c r="U194" s="1"/>
  <c r="T157"/>
  <c r="T196" s="1"/>
  <c r="U196" s="1"/>
  <c r="V196" s="1"/>
  <c r="T151"/>
  <c r="T190" s="1"/>
  <c r="T152"/>
  <c r="T191" s="1"/>
  <c r="U191" s="1"/>
  <c r="V191" s="1"/>
  <c r="T146"/>
  <c r="T185" s="1"/>
  <c r="T148"/>
  <c r="T187" s="1"/>
  <c r="U188" l="1"/>
  <c r="V188" s="1"/>
  <c r="W188" s="1"/>
  <c r="X188" s="1"/>
  <c r="W193"/>
  <c r="U185"/>
  <c r="V185" s="1"/>
  <c r="W185" s="1"/>
  <c r="X185" s="1"/>
  <c r="U190"/>
  <c r="V190" s="1"/>
  <c r="W190" s="1"/>
  <c r="X190" s="1"/>
  <c r="V194"/>
  <c r="W194" s="1"/>
  <c r="X194" s="1"/>
  <c r="W191"/>
  <c r="X191" s="1"/>
  <c r="W196"/>
  <c r="X196" s="1"/>
  <c r="U198"/>
  <c r="V198" s="1"/>
  <c r="W198" s="1"/>
  <c r="X198" s="1"/>
  <c r="U189"/>
  <c r="V189" s="1"/>
  <c r="W189" s="1"/>
  <c r="X189" s="1"/>
  <c r="V184"/>
  <c r="W184" s="1"/>
  <c r="X184" s="1"/>
  <c r="L69"/>
  <c r="K74"/>
  <c r="J183"/>
  <c r="I201"/>
  <c r="U192"/>
  <c r="V192" s="1"/>
  <c r="W192" s="1"/>
  <c r="X192" s="1"/>
  <c r="X162"/>
  <c r="X199"/>
  <c r="X193"/>
  <c r="U162"/>
  <c r="W162"/>
  <c r="U187"/>
  <c r="V187" s="1"/>
  <c r="W187" s="1"/>
  <c r="X187" s="1"/>
  <c r="V186"/>
  <c r="W186" s="1"/>
  <c r="X186" s="1"/>
  <c r="V197"/>
  <c r="W197" s="1"/>
  <c r="X197" s="1"/>
  <c r="V195"/>
  <c r="W195" s="1"/>
  <c r="X195" s="1"/>
  <c r="V162"/>
  <c r="T162"/>
  <c r="T163" s="1"/>
  <c r="U163" l="1"/>
  <c r="V163" s="1"/>
  <c r="W163" s="1"/>
  <c r="X163" s="1"/>
  <c r="K183"/>
  <c r="J201"/>
  <c r="L74"/>
  <c r="M69"/>
  <c r="N69" l="1"/>
  <c r="M74"/>
  <c r="L183"/>
  <c r="K201"/>
  <c r="M183" l="1"/>
  <c r="L201"/>
  <c r="N74"/>
  <c r="O69"/>
  <c r="N183" l="1"/>
  <c r="M201"/>
  <c r="O74"/>
  <c r="P69"/>
  <c r="P74" l="1"/>
  <c r="Q69"/>
  <c r="O183"/>
  <c r="N201"/>
  <c r="Q74" l="1"/>
  <c r="R69"/>
  <c r="P183"/>
  <c r="O201"/>
  <c r="S69" l="1"/>
  <c r="R74"/>
  <c r="Q183"/>
  <c r="P201"/>
  <c r="R183" l="1"/>
  <c r="Q201"/>
  <c r="S74"/>
  <c r="T69"/>
  <c r="U69" l="1"/>
  <c r="T74"/>
  <c r="S183"/>
  <c r="R201"/>
  <c r="S201" l="1"/>
  <c r="T183"/>
  <c r="U74"/>
  <c r="V69"/>
  <c r="V74" l="1"/>
  <c r="W69"/>
  <c r="U183"/>
  <c r="T201"/>
  <c r="V183" l="1"/>
  <c r="U201"/>
  <c r="X69"/>
  <c r="X74" s="1"/>
  <c r="W74"/>
  <c r="W183" l="1"/>
  <c r="V201"/>
  <c r="X183" l="1"/>
  <c r="X201" s="1"/>
  <c r="W201"/>
</calcChain>
</file>

<file path=xl/comments1.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BH63"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63"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63"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63"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76"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76"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76"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76"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2.xml><?xml version="1.0" encoding="utf-8"?>
<comments xmlns="http://schemas.openxmlformats.org/spreadsheetml/2006/main">
  <authors>
    <author xml:space="preserve"> </author>
  </authors>
  <commentList>
    <comment ref="K4"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Q4"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C5"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D5"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E5"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F5" authorId="0">
      <text>
        <r>
          <rPr>
            <b/>
            <sz val="8"/>
            <color indexed="81"/>
            <rFont val="Tahoma"/>
            <family val="2"/>
          </rPr>
          <t xml:space="preserve"> :ProCost</t>
        </r>
        <r>
          <rPr>
            <sz val="8"/>
            <color indexed="81"/>
            <rFont val="Tahoma"/>
            <family val="2"/>
          </rPr>
          <t xml:space="preserve">
Physical life of the measure in years.  Must be &gt;=1.</t>
        </r>
      </text>
    </comment>
    <comment ref="G5"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H5"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I5"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J5"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K5"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L5"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M5"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N5"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O5"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P5"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Q5" authorId="0">
      <text>
        <r>
          <rPr>
            <b/>
            <sz val="8"/>
            <color indexed="81"/>
            <rFont val="Tahoma"/>
            <family val="2"/>
          </rPr>
          <t xml:space="preserve"> :</t>
        </r>
        <r>
          <rPr>
            <sz val="8"/>
            <color indexed="81"/>
            <rFont val="Tahoma"/>
            <family val="2"/>
          </rPr>
          <t xml:space="preserve">
Annual gas savings, or increases, in therms.</t>
        </r>
      </text>
    </comment>
    <comment ref="R5"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List>
</comments>
</file>

<file path=xl/comments3.xml><?xml version="1.0" encoding="utf-8"?>
<comments xmlns="http://schemas.openxmlformats.org/spreadsheetml/2006/main">
  <authors>
    <author xml:space="preserve"> </author>
  </authors>
  <commentList>
    <comment ref="K5"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Q5"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C6"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D6"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E6"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F6" authorId="0">
      <text>
        <r>
          <rPr>
            <b/>
            <sz val="8"/>
            <color indexed="81"/>
            <rFont val="Tahoma"/>
            <family val="2"/>
          </rPr>
          <t xml:space="preserve"> :ProCost</t>
        </r>
        <r>
          <rPr>
            <sz val="8"/>
            <color indexed="81"/>
            <rFont val="Tahoma"/>
            <family val="2"/>
          </rPr>
          <t xml:space="preserve">
Physical life of the measure in years.  Must be &gt;=1.</t>
        </r>
      </text>
    </comment>
    <comment ref="G6"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H6"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I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J6"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K6"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L6"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M6"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N6"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O6"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P6"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Q6" authorId="0">
      <text>
        <r>
          <rPr>
            <b/>
            <sz val="8"/>
            <color indexed="81"/>
            <rFont val="Tahoma"/>
            <family val="2"/>
          </rPr>
          <t xml:space="preserve"> :</t>
        </r>
        <r>
          <rPr>
            <sz val="8"/>
            <color indexed="81"/>
            <rFont val="Tahoma"/>
            <family val="2"/>
          </rPr>
          <t xml:space="preserve">
Annual gas savings, or increases, in therms.</t>
        </r>
      </text>
    </comment>
    <comment ref="R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K31"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Q31"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C32"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D32"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E32"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F32" authorId="0">
      <text>
        <r>
          <rPr>
            <b/>
            <sz val="8"/>
            <color indexed="81"/>
            <rFont val="Tahoma"/>
            <family val="2"/>
          </rPr>
          <t xml:space="preserve"> :ProCost</t>
        </r>
        <r>
          <rPr>
            <sz val="8"/>
            <color indexed="81"/>
            <rFont val="Tahoma"/>
            <family val="2"/>
          </rPr>
          <t xml:space="preserve">
Physical life of the measure in years.  Must be &gt;=1.</t>
        </r>
      </text>
    </comment>
    <comment ref="G32"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H32"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I32"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J32"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K32"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L32"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M32"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N32"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O32"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P32"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Q32" authorId="0">
      <text>
        <r>
          <rPr>
            <b/>
            <sz val="8"/>
            <color indexed="81"/>
            <rFont val="Tahoma"/>
            <family val="2"/>
          </rPr>
          <t xml:space="preserve"> :</t>
        </r>
        <r>
          <rPr>
            <sz val="8"/>
            <color indexed="81"/>
            <rFont val="Tahoma"/>
            <family val="2"/>
          </rPr>
          <t xml:space="preserve">
Annual gas savings, or increases, in therms.</t>
        </r>
      </text>
    </comment>
    <comment ref="R32"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List>
</comments>
</file>

<file path=xl/comments4.xml><?xml version="1.0" encoding="utf-8"?>
<comments xmlns="http://schemas.openxmlformats.org/spreadsheetml/2006/main">
  <authors>
    <author xml:space="preserve"> </author>
  </authors>
  <commentList>
    <comment ref="K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Q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C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D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E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F7" authorId="0">
      <text>
        <r>
          <rPr>
            <b/>
            <sz val="8"/>
            <color indexed="81"/>
            <rFont val="Tahoma"/>
            <family val="2"/>
          </rPr>
          <t xml:space="preserve"> :ProCost</t>
        </r>
        <r>
          <rPr>
            <sz val="8"/>
            <color indexed="81"/>
            <rFont val="Tahoma"/>
            <family val="2"/>
          </rPr>
          <t xml:space="preserve">
Physical life of the measure in years.  Must be &gt;=1.</t>
        </r>
      </text>
    </comment>
    <comment ref="G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H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I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J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K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O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P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Q7" authorId="0">
      <text>
        <r>
          <rPr>
            <b/>
            <sz val="8"/>
            <color indexed="81"/>
            <rFont val="Tahoma"/>
            <family val="2"/>
          </rPr>
          <t xml:space="preserve"> :</t>
        </r>
        <r>
          <rPr>
            <sz val="8"/>
            <color indexed="81"/>
            <rFont val="Tahoma"/>
            <family val="2"/>
          </rPr>
          <t xml:space="preserve">
Annual gas savings, or increases, in therms.</t>
        </r>
      </text>
    </comment>
    <comment ref="R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List>
</comments>
</file>

<file path=xl/comments5.xml><?xml version="1.0" encoding="utf-8"?>
<comments xmlns="http://schemas.openxmlformats.org/spreadsheetml/2006/main">
  <authors>
    <author>Navigant</author>
  </authors>
  <commentList>
    <comment ref="D2" authorId="0">
      <text>
        <r>
          <rPr>
            <b/>
            <sz val="9"/>
            <color indexed="81"/>
            <rFont val="Tahoma"/>
            <family val="2"/>
          </rPr>
          <t>Navigant:</t>
        </r>
        <r>
          <rPr>
            <sz val="9"/>
            <color indexed="81"/>
            <rFont val="Tahoma"/>
            <family val="2"/>
          </rPr>
          <t xml:space="preserve">
According to the DOE TSD, the machine kWh includes powering the motor and  booster energy use</t>
        </r>
      </text>
    </comment>
  </commentList>
</comments>
</file>

<file path=xl/comments6.xml><?xml version="1.0" encoding="utf-8"?>
<comments xmlns="http://schemas.openxmlformats.org/spreadsheetml/2006/main">
  <authors>
    <author>Angie Lee</author>
  </authors>
  <commentList>
    <comment ref="D14" authorId="0">
      <text>
        <r>
          <rPr>
            <b/>
            <sz val="8"/>
            <color indexed="81"/>
            <rFont val="Tahoma"/>
            <family val="2"/>
          </rPr>
          <t>Angie Lee:</t>
        </r>
        <r>
          <rPr>
            <sz val="8"/>
            <color indexed="81"/>
            <rFont val="Tahoma"/>
            <family val="2"/>
          </rPr>
          <t xml:space="preserve">
minimum of CEC data
</t>
        </r>
      </text>
    </comment>
  </commentList>
</comments>
</file>

<file path=xl/comments7.xml><?xml version="1.0" encoding="utf-8"?>
<comments xmlns="http://schemas.openxmlformats.org/spreadsheetml/2006/main">
  <authors>
    <author>Angie Lee</author>
  </authors>
  <commentList>
    <comment ref="D14" authorId="0">
      <text>
        <r>
          <rPr>
            <b/>
            <sz val="8"/>
            <color indexed="81"/>
            <rFont val="Tahoma"/>
            <family val="2"/>
          </rPr>
          <t>Angie Lee:</t>
        </r>
        <r>
          <rPr>
            <sz val="8"/>
            <color indexed="81"/>
            <rFont val="Tahoma"/>
            <family val="2"/>
          </rPr>
          <t xml:space="preserve">
minimum of CEC data
</t>
        </r>
      </text>
    </comment>
  </commentList>
</comments>
</file>

<file path=xl/comments8.xml><?xml version="1.0" encoding="utf-8"?>
<comments xmlns="http://schemas.openxmlformats.org/spreadsheetml/2006/main">
  <authors>
    <author>Angie Lee</author>
  </authors>
  <commentList>
    <comment ref="D14" authorId="0">
      <text>
        <r>
          <rPr>
            <b/>
            <sz val="8"/>
            <color indexed="81"/>
            <rFont val="Tahoma"/>
            <family val="2"/>
          </rPr>
          <t>Angie Lee:</t>
        </r>
        <r>
          <rPr>
            <sz val="8"/>
            <color indexed="81"/>
            <rFont val="Tahoma"/>
            <family val="2"/>
          </rPr>
          <t xml:space="preserve">
minimum of CEC data
</t>
        </r>
      </text>
    </comment>
  </commentList>
</comments>
</file>

<file path=xl/sharedStrings.xml><?xml version="1.0" encoding="utf-8"?>
<sst xmlns="http://schemas.openxmlformats.org/spreadsheetml/2006/main" count="4132" uniqueCount="1355">
  <si>
    <t>EF (kWh/cycle)</t>
  </si>
  <si>
    <t>kWh/year</t>
  </si>
  <si>
    <t>gallon/cycle</t>
  </si>
  <si>
    <t>notes</t>
  </si>
  <si>
    <t>reference</t>
  </si>
  <si>
    <t>URL</t>
  </si>
  <si>
    <t>Federal Standards</t>
  </si>
  <si>
    <t>Federal - current, as of January 2010</t>
  </si>
  <si>
    <t>No requirement for EF</t>
  </si>
  <si>
    <t>CEE Website</t>
  </si>
  <si>
    <t>http://www.cee1.org/resid/seha/dishw/dw-spec.pdf</t>
  </si>
  <si>
    <t>Energy Star Current (as of Jan 20,2012)</t>
  </si>
  <si>
    <t>CEE Tier 1</t>
  </si>
  <si>
    <t>Database Evaluation Cases</t>
  </si>
  <si>
    <t>Min kWh</t>
  </si>
  <si>
    <t>Max kWh</t>
  </si>
  <si>
    <t>Max EF</t>
  </si>
  <si>
    <t>Min EF</t>
  </si>
  <si>
    <t>Name</t>
  </si>
  <si>
    <t>Measure Case</t>
  </si>
  <si>
    <t>180 to 355  kWh/year - All - Baseline (meets Fed. criteria till May 2013)</t>
  </si>
  <si>
    <t xml:space="preserve">All - Baseline (meets Fed. criteria for January 2010). </t>
  </si>
  <si>
    <t>180 to 295  kWh/year - Energy Star as of January 20, 2012</t>
  </si>
  <si>
    <t>180 to 295  kWh/year - CEE Tier 1 as of January 20, 2012;  min EF= 0.75</t>
  </si>
  <si>
    <t>Energy Star, as of July 2011</t>
  </si>
  <si>
    <t>Baseline Cases</t>
  </si>
  <si>
    <t xml:space="preserve">180 to 355  kWh/year - All - Baseline (meets Fed. criteria for January 2010). </t>
  </si>
  <si>
    <t>180 to 307 kWh/year- All- Baseline (effective May 2013)</t>
  </si>
  <si>
    <t>Parameter</t>
  </si>
  <si>
    <t xml:space="preserve">Value </t>
  </si>
  <si>
    <t xml:space="preserve">Source </t>
  </si>
  <si>
    <t>Average EF</t>
  </si>
  <si>
    <t>CEC Database, last accessed 11/19/2012</t>
  </si>
  <si>
    <t xml:space="preserve">EF Range to Consider for Baseline Cases </t>
  </si>
  <si>
    <t xml:space="preserve">Assumption </t>
  </si>
  <si>
    <t>Cycles per Year</t>
  </si>
  <si>
    <t>Input Assumptions Supporting Calculations</t>
  </si>
  <si>
    <t>DOE Cycles per year</t>
  </si>
  <si>
    <t>DOE/Energy Star Standard</t>
  </si>
  <si>
    <t>Lifetime</t>
  </si>
  <si>
    <t>years, FY10 assumption</t>
  </si>
  <si>
    <t>Water and Waste Water Cost &amp; Energy Intensity</t>
  </si>
  <si>
    <t>$/1000 gal</t>
  </si>
  <si>
    <t>6th Plan</t>
  </si>
  <si>
    <t>kWh/1000 gal</t>
  </si>
  <si>
    <t>$/kWh</t>
  </si>
  <si>
    <t>Residential electricity rate (preserves B/C ratio)</t>
  </si>
  <si>
    <t>non-energy cost of waste water treatment</t>
  </si>
  <si>
    <t>$/gallon</t>
  </si>
  <si>
    <t>waste water cost used in this analysis</t>
  </si>
  <si>
    <t>Price Adjustment</t>
  </si>
  <si>
    <t>DOE Federal Test Procedure 10 CFR 430 Subpart B, Appendix C</t>
  </si>
  <si>
    <t>Recovery Efficiency of Water Heaters</t>
  </si>
  <si>
    <t>Electric Water Heater</t>
  </si>
  <si>
    <t>Gas Water Heater</t>
  </si>
  <si>
    <t>Oil Water Heater</t>
  </si>
  <si>
    <t>Temp. Diff. for Water Heating (deg F)</t>
  </si>
  <si>
    <t>Specific heat of water in kwh/degree-F</t>
  </si>
  <si>
    <t>Specific heat of water in Btu/degree-F</t>
  </si>
  <si>
    <t>therms per kWh</t>
  </si>
  <si>
    <t>CEC Database Date</t>
  </si>
  <si>
    <t>cutoff date</t>
  </si>
  <si>
    <t>(note that all entries are more recent than this</t>
  </si>
  <si>
    <t>Baseline Assumptions</t>
  </si>
  <si>
    <t>AHAM 2009 average EF</t>
  </si>
  <si>
    <t>AHAM average EF extrapolated to 2010</t>
  </si>
  <si>
    <t>Converting Nominal Currency to $2006 Real Currency</t>
  </si>
  <si>
    <t>pulled from FY10 Clothes Washers Analysis</t>
  </si>
  <si>
    <t>2010$&gt;2006$</t>
  </si>
  <si>
    <t>2009$&gt;2006$</t>
  </si>
  <si>
    <t>2008$&gt;2006$</t>
  </si>
  <si>
    <t>2007$&gt;2006$</t>
  </si>
  <si>
    <t>2005$&gt;2006$</t>
  </si>
  <si>
    <t>2004$&gt;2006$</t>
  </si>
  <si>
    <t>COLUMN LETTER LOOKUP</t>
  </si>
  <si>
    <t>Column Number</t>
  </si>
  <si>
    <t>Column Letter</t>
  </si>
  <si>
    <t>A</t>
  </si>
  <si>
    <t>Excerpt from Energy Code 10 CFR 430 Subpart B Appendix C</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</si>
  <si>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</si>
  <si>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</si>
  <si>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</si>
  <si>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</si>
  <si>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</si>
  <si>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</si>
  <si>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</si>
  <si>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</si>
  <si>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</si>
  <si>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</si>
  <si>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</si>
  <si>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</si>
  <si>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</si>
  <si>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</si>
  <si>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</si>
  <si>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</si>
  <si>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</si>
  <si>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</si>
  <si>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</si>
  <si>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</si>
  <si>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</si>
  <si>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</si>
  <si>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</si>
  <si>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</si>
  <si>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</si>
  <si>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</si>
  <si>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</si>
  <si>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</si>
  <si>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</si>
  <si>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</si>
  <si>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</si>
  <si>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</si>
  <si>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</si>
  <si>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</si>
  <si>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</si>
  <si>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</si>
  <si>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</si>
  <si>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</si>
  <si>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</si>
  <si>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</si>
  <si>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</si>
  <si>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</si>
  <si>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</si>
  <si>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</si>
  <si>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</si>
  <si>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</si>
  <si>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</si>
  <si>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</si>
  <si>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</si>
  <si>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</si>
  <si>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</si>
  <si>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</si>
  <si>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</si>
  <si>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</si>
  <si>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</si>
  <si>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</si>
  <si>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</si>
  <si>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</si>
  <si>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</si>
  <si>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</si>
  <si>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</si>
  <si>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</si>
  <si>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</si>
  <si>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</si>
  <si>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</si>
  <si>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</si>
  <si>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</si>
  <si>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</si>
  <si>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</si>
  <si>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</si>
  <si>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</si>
  <si>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</si>
  <si>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</si>
  <si>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</si>
  <si>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</si>
  <si>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</si>
  <si>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</si>
  <si>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</si>
  <si>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</si>
  <si>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</si>
  <si>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</si>
  <si>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</si>
  <si>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</si>
  <si>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</si>
  <si>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</si>
  <si>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</si>
  <si>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</si>
  <si>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</si>
  <si>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</si>
  <si>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</si>
  <si>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</si>
  <si>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</si>
  <si>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</si>
  <si>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</si>
  <si>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</si>
  <si>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</si>
  <si>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</si>
  <si>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</si>
  <si>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</si>
  <si>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</si>
  <si>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</si>
  <si>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</si>
  <si>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</si>
  <si>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Before May 2013</t>
  </si>
  <si>
    <t>After May 2013</t>
  </si>
  <si>
    <t>CEC Appliance Database Data</t>
  </si>
  <si>
    <t>count</t>
  </si>
  <si>
    <t>Average kWh/year</t>
  </si>
  <si>
    <t>Average Place Settings</t>
  </si>
  <si>
    <t>WF</t>
  </si>
  <si>
    <t>Incremental Cost</t>
  </si>
  <si>
    <t>USAGE CASE: Constant Cycles per Year</t>
  </si>
  <si>
    <t>Cycles per year</t>
  </si>
  <si>
    <t>kWh per year</t>
  </si>
  <si>
    <t>Gallons/year</t>
  </si>
  <si>
    <t>Hot Water kWh /year</t>
  </si>
  <si>
    <t>Hot Water therms/year</t>
  </si>
  <si>
    <t>Machine kWh/year</t>
  </si>
  <si>
    <t>Data Set Name</t>
  </si>
  <si>
    <t>Measure Index Name</t>
  </si>
  <si>
    <t>Costs must be denominated in the same year as 'Input Cost Reference Year' =</t>
  </si>
  <si>
    <t>Input Data</t>
  </si>
  <si>
    <t>Periodic Replacement Costs and Savings and Replacement Period</t>
  </si>
  <si>
    <t>Gas Inputs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</si>
  <si>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</si>
  <si>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</si>
  <si>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</si>
  <si>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</si>
  <si>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</si>
  <si>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</si>
  <si>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</si>
  <si>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</si>
  <si>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</si>
  <si>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</si>
  <si>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</si>
  <si>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</si>
  <si>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</si>
  <si>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</si>
  <si>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</si>
  <si>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Savings</t>
  </si>
  <si>
    <t>Measure</t>
  </si>
  <si>
    <t>All Except Waste Water Energy</t>
  </si>
  <si>
    <t>ResDHW</t>
  </si>
  <si>
    <t>Waste Water Energy</t>
  </si>
  <si>
    <t>FLAT</t>
  </si>
  <si>
    <t>Source</t>
  </si>
  <si>
    <t xml:space="preserve">Engineering Analysis Ch 5, Residential Dishwashers </t>
  </si>
  <si>
    <t>http://www1.eere.energy.gov/buildings/appliance_standards/residential/pdfs/dw_dfr_tsd_ch5.pdf</t>
  </si>
  <si>
    <t>AHAM shipment and efficiency data from 2000 to 2010, annual energy use assume 215 cycles per year.</t>
  </si>
  <si>
    <t xml:space="preserve">Incremental manufacturing costs developed by tearing down 12 units creating a cost model at each efficiency level. </t>
  </si>
  <si>
    <t>DOE DATA</t>
  </si>
  <si>
    <t>Inperolation/Extrapolation</t>
  </si>
  <si>
    <t>Efficiency Level (Annual Energy Use, kWh/year)</t>
  </si>
  <si>
    <t>Incremental Cost ($2010)</t>
  </si>
  <si>
    <t>Next EE Level</t>
  </si>
  <si>
    <t>Next Cost</t>
  </si>
  <si>
    <t>Incremental Cost ($/kWh)</t>
  </si>
  <si>
    <t>kWh</t>
  </si>
  <si>
    <t>Interpolated Cost</t>
  </si>
  <si>
    <t>--</t>
  </si>
  <si>
    <t>Extrapolated</t>
  </si>
  <si>
    <t>http://www.appliances.energy.ca.gov/SearchResults.aspx</t>
  </si>
  <si>
    <t xml:space="preserve">Total </t>
  </si>
  <si>
    <t xml:space="preserve">entries </t>
  </si>
  <si>
    <t>Removed Compact (14 Entries)</t>
  </si>
  <si>
    <t>Removed Entries without Water Factor and Energy Factor (705 entries)</t>
  </si>
  <si>
    <t>Cut off date</t>
  </si>
  <si>
    <t>row -&gt;</t>
  </si>
  <si>
    <t xml:space="preserve">Max gallons/cycle </t>
  </si>
  <si>
    <t>Count</t>
  </si>
  <si>
    <t>Average WF</t>
  </si>
  <si>
    <t>DOE Incremental Cost Estimate</t>
  </si>
  <si>
    <t>RAW DATA</t>
  </si>
  <si>
    <t>COMPUTATIONS</t>
  </si>
  <si>
    <t xml:space="preserve">GROUP MEMBERSHIP </t>
  </si>
  <si>
    <t>Column1</t>
  </si>
  <si>
    <t>Manufacturer Name</t>
  </si>
  <si>
    <t>Brand Name</t>
  </si>
  <si>
    <t>Model Number</t>
  </si>
  <si>
    <t>Dishwasher Type</t>
  </si>
  <si>
    <t>Total Place Settings</t>
  </si>
  <si>
    <t>Per Cycle KWH</t>
  </si>
  <si>
    <t>Water Heating (T/F)</t>
  </si>
  <si>
    <t>Truncated Cycle Capable (T/F)</t>
  </si>
  <si>
    <t>Energy Factor (Cycle/kwh)</t>
  </si>
  <si>
    <t>Annual Energy Use kWh/year (215 cycles/year)</t>
  </si>
  <si>
    <t>Water Use Gallons per Cycle</t>
  </si>
  <si>
    <t>Add Date</t>
  </si>
  <si>
    <t>DOE Incremental Cost Estimate ($2010)</t>
  </si>
  <si>
    <t>Aga Heartland Appliances</t>
  </si>
  <si>
    <t>AGA Heartland</t>
  </si>
  <si>
    <t>ADW-24-***</t>
  </si>
  <si>
    <t>Standard</t>
  </si>
  <si>
    <t>APRODW-***</t>
  </si>
  <si>
    <t>HCDW-***</t>
  </si>
  <si>
    <t>HLDW-***</t>
  </si>
  <si>
    <t>HLPDW-***</t>
  </si>
  <si>
    <t>HLTXTDW-***</t>
  </si>
  <si>
    <t>Avanti</t>
  </si>
  <si>
    <t>DW18</t>
  </si>
  <si>
    <t>DW182ESS</t>
  </si>
  <si>
    <t>DW183W</t>
  </si>
  <si>
    <t>DW184B</t>
  </si>
  <si>
    <t>DWE1812W</t>
  </si>
  <si>
    <t>DWE1813B</t>
  </si>
  <si>
    <t>DWE1814SS</t>
  </si>
  <si>
    <t>BSH Home Appliances</t>
  </si>
  <si>
    <t>Bosch</t>
  </si>
  <si>
    <t>SGE63E05UC</t>
  </si>
  <si>
    <t>SGE63E06UC</t>
  </si>
  <si>
    <t>SGE63E1#UC</t>
  </si>
  <si>
    <t>SHE23R5#UC</t>
  </si>
  <si>
    <t>SHE3AR5#UC</t>
  </si>
  <si>
    <t>SHE3AR7#UC</t>
  </si>
  <si>
    <t>SHE3ARF#UC</t>
  </si>
  <si>
    <t>SHE3ARL#UC</t>
  </si>
  <si>
    <t>SHE43P2#UC</t>
  </si>
  <si>
    <t>SHE43R5#UC</t>
  </si>
  <si>
    <t>SHE43RF#UC</t>
  </si>
  <si>
    <t>SHE43RL#UC</t>
  </si>
  <si>
    <t>SHE43RP#UC</t>
  </si>
  <si>
    <t>SHE55M12UC</t>
  </si>
  <si>
    <t>SHE55M15UC</t>
  </si>
  <si>
    <t>SHE55M16UC</t>
  </si>
  <si>
    <t>SHE55R5#UC</t>
  </si>
  <si>
    <t>SHE55RF#UC</t>
  </si>
  <si>
    <t>SHE65P02UC</t>
  </si>
  <si>
    <t>SHE65P05UC</t>
  </si>
  <si>
    <t>SHE65P06UC</t>
  </si>
  <si>
    <t>SHE68R5#UC</t>
  </si>
  <si>
    <t>SHE7ER5#UC</t>
  </si>
  <si>
    <t>SHE8ER5#UC</t>
  </si>
  <si>
    <t>SHE9ER5#UC</t>
  </si>
  <si>
    <t>SHV43R5#UC</t>
  </si>
  <si>
    <t>SHV55R5#UC</t>
  </si>
  <si>
    <t>SHV68R5#UC</t>
  </si>
  <si>
    <t>SHV7ER5#UC</t>
  </si>
  <si>
    <t>SHV9ER5#UC</t>
  </si>
  <si>
    <t>SHX2AR**UC</t>
  </si>
  <si>
    <t>SHX33R5#UC</t>
  </si>
  <si>
    <t>SHX33RF#UC</t>
  </si>
  <si>
    <t>SHX33RL#UC</t>
  </si>
  <si>
    <t>SHX3AR5#UC</t>
  </si>
  <si>
    <t>SHX3AR7#UC</t>
  </si>
  <si>
    <t>SHX43R5#UC</t>
  </si>
  <si>
    <t>SHX43RH*UC</t>
  </si>
  <si>
    <t>SHX55R5#UC</t>
  </si>
  <si>
    <t>SHX55RL#UC</t>
  </si>
  <si>
    <t>SHX58E25UC</t>
  </si>
  <si>
    <t>SHX68R5#UC</t>
  </si>
  <si>
    <t>SHX7ER5#UC</t>
  </si>
  <si>
    <t>SHX8ER5#UC</t>
  </si>
  <si>
    <t>SHX98M0#UC</t>
  </si>
  <si>
    <t>SHX9ER5#UC</t>
  </si>
  <si>
    <t>SPE5ES5#UC</t>
  </si>
  <si>
    <t>SPV5ES5#UC</t>
  </si>
  <si>
    <t>SPX5ES5#UC</t>
  </si>
  <si>
    <t>Gaggenau</t>
  </si>
  <si>
    <t>DF 251 760</t>
  </si>
  <si>
    <t>DF260760</t>
  </si>
  <si>
    <t>DF261760</t>
  </si>
  <si>
    <t>Kenmore</t>
  </si>
  <si>
    <t>630.1390#.01#</t>
  </si>
  <si>
    <t>630.1391#.01#</t>
  </si>
  <si>
    <t>630.1395#.01#</t>
  </si>
  <si>
    <t>Thermador</t>
  </si>
  <si>
    <t>DWHD410J**</t>
  </si>
  <si>
    <t>DWHD640J**</t>
  </si>
  <si>
    <t>DWHD650J**</t>
  </si>
  <si>
    <t>DWHD651J**</t>
  </si>
  <si>
    <t>Electrolux Major Appliances</t>
  </si>
  <si>
    <t>Crosley</t>
  </si>
  <si>
    <t>CDB350***A</t>
  </si>
  <si>
    <t>CDB400***B</t>
  </si>
  <si>
    <t>CDB500***A</t>
  </si>
  <si>
    <t>CDB600***B</t>
  </si>
  <si>
    <t>CDB900***A</t>
  </si>
  <si>
    <t>Electrolux</t>
  </si>
  <si>
    <t>EDW7505****B</t>
  </si>
  <si>
    <t>EIDW6105***B</t>
  </si>
  <si>
    <t>EIDW6305***B</t>
  </si>
  <si>
    <t>EIDW6405***B</t>
  </si>
  <si>
    <t>EWDW6505***C</t>
  </si>
  <si>
    <t>EDB145XAK**</t>
  </si>
  <si>
    <t>EDW7505****A</t>
  </si>
  <si>
    <t>EIDW5905***A</t>
  </si>
  <si>
    <t>EIDW6105***A</t>
  </si>
  <si>
    <t>EIDW6305***A</t>
  </si>
  <si>
    <t>EIDW6405***A</t>
  </si>
  <si>
    <t>EWDW6505***B</t>
  </si>
  <si>
    <t>Frigidaire</t>
  </si>
  <si>
    <t>BBBD2432K***</t>
  </si>
  <si>
    <t>BGBD2432****</t>
  </si>
  <si>
    <t>BGHD2433***</t>
  </si>
  <si>
    <t>CDB400***</t>
  </si>
  <si>
    <t>CDB600***</t>
  </si>
  <si>
    <t>DGBD2432***</t>
  </si>
  <si>
    <t>DGBD2432***A</t>
  </si>
  <si>
    <t>DGHD2433***</t>
  </si>
  <si>
    <t>FBD1100****B</t>
  </si>
  <si>
    <t>FBD2411***A</t>
  </si>
  <si>
    <t>FDB1100****A</t>
  </si>
  <si>
    <t>FDB1450****A</t>
  </si>
  <si>
    <t>FDB1502****</t>
  </si>
  <si>
    <t>FDB1502****A</t>
  </si>
  <si>
    <t>FDB2400***A</t>
  </si>
  <si>
    <t>FDB520****</t>
  </si>
  <si>
    <t>FDB520****A</t>
  </si>
  <si>
    <t>FDB520****B</t>
  </si>
  <si>
    <t>FDBB1502****</t>
  </si>
  <si>
    <t>FFBD2403***B</t>
  </si>
  <si>
    <t>FFBD2403L**A</t>
  </si>
  <si>
    <t>FFBD2404***A</t>
  </si>
  <si>
    <t>FFBD2405****</t>
  </si>
  <si>
    <t>FFBD2405***A</t>
  </si>
  <si>
    <t>FFBD2406***A</t>
  </si>
  <si>
    <t>FFBD2407***A</t>
  </si>
  <si>
    <t>FFBD2407***B</t>
  </si>
  <si>
    <t>FFBD2407***C</t>
  </si>
  <si>
    <t>FFBD2408***A</t>
  </si>
  <si>
    <t>FFBD2409***A</t>
  </si>
  <si>
    <t>FFBD2409***B</t>
  </si>
  <si>
    <t>FFBD2411***A</t>
  </si>
  <si>
    <t>FGBD2431***A</t>
  </si>
  <si>
    <t>FGBD2432***A</t>
  </si>
  <si>
    <t>FGBD2435***A</t>
  </si>
  <si>
    <t>FGBD2445***A</t>
  </si>
  <si>
    <t>FGHD2433***</t>
  </si>
  <si>
    <t>FGHD2461***</t>
  </si>
  <si>
    <t>FGHD2465***A</t>
  </si>
  <si>
    <t>FGHD2471***</t>
  </si>
  <si>
    <t>FPHD2465***A</t>
  </si>
  <si>
    <t>FPHD2481***</t>
  </si>
  <si>
    <t>FPHD2485***A</t>
  </si>
  <si>
    <t>LFBD2409***A</t>
  </si>
  <si>
    <t>LFBD2409***B</t>
  </si>
  <si>
    <t>LGBD2431***A</t>
  </si>
  <si>
    <t>LGBD2431***B</t>
  </si>
  <si>
    <t>LGBD2432***A</t>
  </si>
  <si>
    <t>LGBD2432***B</t>
  </si>
  <si>
    <t>LGBD2435***A</t>
  </si>
  <si>
    <t>LGHD2433***</t>
  </si>
  <si>
    <t>Kelvinator</t>
  </si>
  <si>
    <t>KABD2405M**A</t>
  </si>
  <si>
    <t>1401****A</t>
  </si>
  <si>
    <t>1402****A</t>
  </si>
  <si>
    <t>1521****</t>
  </si>
  <si>
    <t>1522****A</t>
  </si>
  <si>
    <t>1523****</t>
  </si>
  <si>
    <t>1526****</t>
  </si>
  <si>
    <t>1526****A</t>
  </si>
  <si>
    <t>1527****A</t>
  </si>
  <si>
    <t>1528****</t>
  </si>
  <si>
    <t>1528****A</t>
  </si>
  <si>
    <t>1529****A</t>
  </si>
  <si>
    <t>1531****A</t>
  </si>
  <si>
    <t>1536****A</t>
  </si>
  <si>
    <t>1536****C</t>
  </si>
  <si>
    <t>1537****A</t>
  </si>
  <si>
    <t>1537****B</t>
  </si>
  <si>
    <t>1538****A</t>
  </si>
  <si>
    <t>1538****B</t>
  </si>
  <si>
    <t>1539****A</t>
  </si>
  <si>
    <t>1623****</t>
  </si>
  <si>
    <t>1824****</t>
  </si>
  <si>
    <t>Kohler</t>
  </si>
  <si>
    <t>KABD2405***B</t>
  </si>
  <si>
    <t>KABD2406***A</t>
  </si>
  <si>
    <t>White-Westinghouse</t>
  </si>
  <si>
    <t>WWBD2400***A</t>
  </si>
  <si>
    <t>Fisher &amp; Paykel</t>
  </si>
  <si>
    <t>DCS</t>
  </si>
  <si>
    <t>DD224</t>
  </si>
  <si>
    <t>DD24D*****v2</t>
  </si>
  <si>
    <t>Foshan Shunde Midea Washing Appliances Mfg. Co., Ltd.</t>
  </si>
  <si>
    <t>EIDW1805K**A</t>
  </si>
  <si>
    <t>Electrolux Home Products</t>
  </si>
  <si>
    <t>FDB2410*****</t>
  </si>
  <si>
    <t>FFBD1821M**A</t>
  </si>
  <si>
    <t>FFPD1821M**A</t>
  </si>
  <si>
    <t>FGHD2455****</t>
  </si>
  <si>
    <t>FGHD2491***</t>
  </si>
  <si>
    <t>FMB330RGB0</t>
  </si>
  <si>
    <t>FMB330RGC0</t>
  </si>
  <si>
    <t>FMB330RGS0</t>
  </si>
  <si>
    <t>FMP330RGB0</t>
  </si>
  <si>
    <t>FMP330RGS0</t>
  </si>
  <si>
    <t>FPHD2491KF*</t>
  </si>
  <si>
    <t>587.14652****</t>
  </si>
  <si>
    <t>587.14659****</t>
  </si>
  <si>
    <t>587.14662****</t>
  </si>
  <si>
    <t>587.14663****</t>
  </si>
  <si>
    <t>587.14669****</t>
  </si>
  <si>
    <t>587.14683****</t>
  </si>
  <si>
    <t>587.15412****</t>
  </si>
  <si>
    <t>587.15413****</t>
  </si>
  <si>
    <t>587.15423****</t>
  </si>
  <si>
    <t>Samsung</t>
  </si>
  <si>
    <t>DMR78***</t>
  </si>
  <si>
    <t>DMT210RF*</t>
  </si>
  <si>
    <t>DMT300***</t>
  </si>
  <si>
    <t>DMT350***</t>
  </si>
  <si>
    <t>DMT400***</t>
  </si>
  <si>
    <t>DMT610XXX</t>
  </si>
  <si>
    <t>DMT700***</t>
  </si>
  <si>
    <t>DMT800***</t>
  </si>
  <si>
    <t>DW7933******</t>
  </si>
  <si>
    <t>SPT</t>
  </si>
  <si>
    <t>SD-9239*</t>
  </si>
  <si>
    <t>General Electric</t>
  </si>
  <si>
    <t>GLC4***R</t>
  </si>
  <si>
    <t>GLD2***T</t>
  </si>
  <si>
    <t>GLD3***T</t>
  </si>
  <si>
    <t>GLD4***T</t>
  </si>
  <si>
    <t>ZBD9900RII</t>
  </si>
  <si>
    <t>Profile</t>
  </si>
  <si>
    <t>PDW7***R</t>
  </si>
  <si>
    <t>Haier America Trading, LLC</t>
  </si>
  <si>
    <t>Haier</t>
  </si>
  <si>
    <t>DWL2825****</t>
  </si>
  <si>
    <t>DWL2825*D**</t>
  </si>
  <si>
    <t>DWL2925*D**</t>
  </si>
  <si>
    <t>DWL3025****</t>
  </si>
  <si>
    <t>DWL3025*C**</t>
  </si>
  <si>
    <t>DWL3225****</t>
  </si>
  <si>
    <t>DWL3225*D**</t>
  </si>
  <si>
    <t>DWL3525****</t>
  </si>
  <si>
    <t>DWL3525*C**</t>
  </si>
  <si>
    <t>DWL4035****</t>
  </si>
  <si>
    <t>DWL4035*C**</t>
  </si>
  <si>
    <t>DWL5275*D**</t>
  </si>
  <si>
    <t>DWL7075****</t>
  </si>
  <si>
    <t>DWL7075*C**</t>
  </si>
  <si>
    <t>LG Electronics, Inc.</t>
  </si>
  <si>
    <t>L G</t>
  </si>
  <si>
    <t>LDF681#**</t>
  </si>
  <si>
    <t>LDF692#**</t>
  </si>
  <si>
    <t>LDF705#**</t>
  </si>
  <si>
    <t>LDF755#**</t>
  </si>
  <si>
    <t>LDF756#**</t>
  </si>
  <si>
    <t>LDF781#**</t>
  </si>
  <si>
    <t>LDF792***</t>
  </si>
  <si>
    <t>LDF793#**</t>
  </si>
  <si>
    <t>LDF807#**</t>
  </si>
  <si>
    <t>LDF857#**</t>
  </si>
  <si>
    <t>LDF881#**</t>
  </si>
  <si>
    <t>LDF892***</t>
  </si>
  <si>
    <t>LDF981#**</t>
  </si>
  <si>
    <t>LDF993#**</t>
  </si>
  <si>
    <t>LDS482#**</t>
  </si>
  <si>
    <t>LDS504#**</t>
  </si>
  <si>
    <t>LDS554#**</t>
  </si>
  <si>
    <t>LDS581#**</t>
  </si>
  <si>
    <t>LSDF795**</t>
  </si>
  <si>
    <t>LSDF995**</t>
  </si>
  <si>
    <t>LSDF996#**</t>
  </si>
  <si>
    <t>Miele Appliances, Inc.</t>
  </si>
  <si>
    <t>Miele</t>
  </si>
  <si>
    <t>G1181</t>
  </si>
  <si>
    <t>G1182</t>
  </si>
  <si>
    <t>G1472</t>
  </si>
  <si>
    <t>G2141</t>
  </si>
  <si>
    <t>G2142</t>
  </si>
  <si>
    <t>G2143</t>
  </si>
  <si>
    <t>G2181</t>
  </si>
  <si>
    <t>G2182</t>
  </si>
  <si>
    <t>G2183</t>
  </si>
  <si>
    <t>G2732</t>
  </si>
  <si>
    <t>G2832</t>
  </si>
  <si>
    <t>G2872</t>
  </si>
  <si>
    <t>G4205*</t>
  </si>
  <si>
    <t>G4270*</t>
  </si>
  <si>
    <t>G4275*</t>
  </si>
  <si>
    <t>G4500*</t>
  </si>
  <si>
    <t>G4507*</t>
  </si>
  <si>
    <t>G5105*</t>
  </si>
  <si>
    <t>G5175*</t>
  </si>
  <si>
    <t>G5505*</t>
  </si>
  <si>
    <t>G5570*</t>
  </si>
  <si>
    <t>G5575*</t>
  </si>
  <si>
    <t>G5705*</t>
  </si>
  <si>
    <t>G5775*</t>
  </si>
  <si>
    <t>G5915*</t>
  </si>
  <si>
    <t>G7856</t>
  </si>
  <si>
    <t>G7856***</t>
  </si>
  <si>
    <t>G8050*</t>
  </si>
  <si>
    <t>Viking Range Corp</t>
  </si>
  <si>
    <t>Viking</t>
  </si>
  <si>
    <t>DDB325E</t>
  </si>
  <si>
    <t>DDB450E</t>
  </si>
  <si>
    <t>DFB325E</t>
  </si>
  <si>
    <t>DFB450E</t>
  </si>
  <si>
    <t>FDB301****</t>
  </si>
  <si>
    <t>FDB451****</t>
  </si>
  <si>
    <t>RDDB201****</t>
  </si>
  <si>
    <t>RDDB301****</t>
  </si>
  <si>
    <t>SDB201****</t>
  </si>
  <si>
    <t>SDB301****</t>
  </si>
  <si>
    <t>SDB451****</t>
  </si>
  <si>
    <t>VDB301****</t>
  </si>
  <si>
    <t>VDB325E</t>
  </si>
  <si>
    <t>VDB450E</t>
  </si>
  <si>
    <t>VDB451****</t>
  </si>
  <si>
    <t>Whirlpool</t>
  </si>
  <si>
    <t>Amana</t>
  </si>
  <si>
    <t>ADB1400AW**</t>
  </si>
  <si>
    <t>Ikea</t>
  </si>
  <si>
    <t>IUD9500W**</t>
  </si>
  <si>
    <t>IUD9750W**</t>
  </si>
  <si>
    <t>Jenn-Air</t>
  </si>
  <si>
    <t>JDB36000AW**</t>
  </si>
  <si>
    <t>JDB3650AW**</t>
  </si>
  <si>
    <t>1209*K***</t>
  </si>
  <si>
    <t>1301*K***</t>
  </si>
  <si>
    <t>1302*K***</t>
  </si>
  <si>
    <t>1303*K***</t>
  </si>
  <si>
    <t>1304*K***</t>
  </si>
  <si>
    <t>1322*K***</t>
  </si>
  <si>
    <t>1322*K603</t>
  </si>
  <si>
    <t>1327*K***</t>
  </si>
  <si>
    <t>1328*K***</t>
  </si>
  <si>
    <t>1373*K***</t>
  </si>
  <si>
    <t>1373*k603</t>
  </si>
  <si>
    <t>1374*K***</t>
  </si>
  <si>
    <t>1374*K603</t>
  </si>
  <si>
    <t>1383*K***</t>
  </si>
  <si>
    <t>1383*K603</t>
  </si>
  <si>
    <t>1384*K***</t>
  </si>
  <si>
    <t>1384*K603</t>
  </si>
  <si>
    <t>1392*K***</t>
  </si>
  <si>
    <t>1393*K***</t>
  </si>
  <si>
    <t>1394*K***</t>
  </si>
  <si>
    <t>1396*K***</t>
  </si>
  <si>
    <t>1397*K***</t>
  </si>
  <si>
    <t>1404*K***</t>
  </si>
  <si>
    <t>1405*K***</t>
  </si>
  <si>
    <t>1406*K***</t>
  </si>
  <si>
    <t>1503*K***</t>
  </si>
  <si>
    <t>1504*K***</t>
  </si>
  <si>
    <t>1569*K***</t>
  </si>
  <si>
    <t>Kitchen Aid</t>
  </si>
  <si>
    <t>KUDC10FX***</t>
  </si>
  <si>
    <t>KUDC10IX***</t>
  </si>
  <si>
    <t>KUDE20FX***</t>
  </si>
  <si>
    <t>KUDE20IX***</t>
  </si>
  <si>
    <t>KUDE40FX***</t>
  </si>
  <si>
    <t>KUDE48FX***</t>
  </si>
  <si>
    <t>KUDE50CV***</t>
  </si>
  <si>
    <t>KUDE50CX***</t>
  </si>
  <si>
    <t>KUDE60FX***</t>
  </si>
  <si>
    <t>KUDE60HX***</t>
  </si>
  <si>
    <t>KUDE60SX***</t>
  </si>
  <si>
    <t>KUDE70FX***</t>
  </si>
  <si>
    <t>KUDL15FX**</t>
  </si>
  <si>
    <t>KUDS30CX***</t>
  </si>
  <si>
    <t>KUDS30FX***</t>
  </si>
  <si>
    <t>KUDS30IX***</t>
  </si>
  <si>
    <t>KUDS30SX***</t>
  </si>
  <si>
    <t>KUDS35FX***</t>
  </si>
  <si>
    <t>Magic Chef</t>
  </si>
  <si>
    <t>CDB7000AW**</t>
  </si>
  <si>
    <t>Maytag</t>
  </si>
  <si>
    <t>MDB7749AW**</t>
  </si>
  <si>
    <t>MDB7759AW**</t>
  </si>
  <si>
    <t>MDB7760AW**</t>
  </si>
  <si>
    <t>MDB8859AW**</t>
  </si>
  <si>
    <t>MDB8959AW**</t>
  </si>
  <si>
    <t>MDBH999AW**</t>
  </si>
  <si>
    <t>MDC4809AW**</t>
  </si>
  <si>
    <t>GU3000XTX**</t>
  </si>
  <si>
    <t>GU3200XTX**</t>
  </si>
  <si>
    <t>WDF510PAY**</t>
  </si>
  <si>
    <t>Number of Baseline Cases</t>
  </si>
  <si>
    <t>Baseline Case ID</t>
  </si>
  <si>
    <t>Baseline Case</t>
  </si>
  <si>
    <t>Measure Case ID</t>
  </si>
  <si>
    <t>Fuel Case ID</t>
  </si>
  <si>
    <t>Fuel Case</t>
  </si>
  <si>
    <t>Electric Share</t>
  </si>
  <si>
    <t>Number of Measure Cases</t>
  </si>
  <si>
    <t>Electric DHW</t>
  </si>
  <si>
    <t>Number of Fuel Cases</t>
  </si>
  <si>
    <t>Gas DHW</t>
  </si>
  <si>
    <t>Any DHW</t>
  </si>
  <si>
    <t>BASELINE</t>
  </si>
  <si>
    <t>MEASURE</t>
  </si>
  <si>
    <t>DIFFERENCE</t>
  </si>
  <si>
    <t>FOR ELECTRIC FUEL</t>
  </si>
  <si>
    <t>FOR GAS FUEL</t>
  </si>
  <si>
    <t>Run #</t>
  </si>
  <si>
    <t>Baseline #</t>
  </si>
  <si>
    <t>Measure x Fuel</t>
  </si>
  <si>
    <t>Fuel</t>
  </si>
  <si>
    <t>% Electric DHW</t>
  </si>
  <si>
    <t>gallons/year</t>
  </si>
  <si>
    <t>cost $2006</t>
  </si>
  <si>
    <t>kWh machine</t>
  </si>
  <si>
    <t>kWh hot water</t>
  </si>
  <si>
    <t>therms machine</t>
  </si>
  <si>
    <t>therms hot water</t>
  </si>
  <si>
    <t>therms/year</t>
  </si>
  <si>
    <t>gallons</t>
  </si>
  <si>
    <t>B/C Ratio</t>
  </si>
  <si>
    <t>kWh/year, including waste water</t>
  </si>
  <si>
    <t>Regional Technical Forum Measure Cost and Benefits Summary</t>
  </si>
  <si>
    <t>Version 0.5, March 4, 2012</t>
  </si>
  <si>
    <t>This table is used to summarize the inclusion/exclusion of specific elements in the costs and benefits analysis; to provide details on the data sources and analysis methods; and to summarize the values of all costs and benefits associated with a measure.
This table can be used to summarize multiple costs for a given element as distinguished by one or more attributes (e.g., size/capacity ranges, fuel type, business type, etc.).  Separate summary tables should be used for measures with significant differences in costs and  benefits.</t>
  </si>
  <si>
    <t>Instructions</t>
  </si>
  <si>
    <t xml:space="preserve">1)  Indicate the dollar year that estimates are provided in
2)  Indicate which elements are included in the analysis to activate cells (column D).
          2a)  Note that most elements will be blank.  Only substantial and incremental elements directly related to energy efficiency should be considered.
3)  Provide justification for inclusion or exclusion (column E).
4)  If 'Captured in another element' is selected in column E, indicate which element captures data (column F).
          4a)  This feature may be used to bundle elements for sources that combine information into single costs (e.g., material and labor as a single installation cost).
5)  Fill in all applicable cells.  For RTF-supplied standardized values, refer to the RTF Costs and Benefits Standard Information Workbook
6)  New elements may be added to the table by inserting new rows.
          6a)  Select the row number along the left margin, right click, and select 'Insert.'
          6b)  Add new element name in the new blank cell (column C).
          6c)  Element names should also be added to the 'Elements' list found below the table (column D starting at row 69).
7) Similarly, multiple values for measure variants of a single element can be specified by adding rows to the table by instructions 6a) and 6b).
Note: Two examples of completed cost summary sheets and a guidelines checklist are provided at: http://www.nwcouncil.org/energy/rtf/subcommittees/measurecost/Measure%20Cost%20and%20Benefits%20Summary%20and%20Checklist_2012-03-19.xlsx
</t>
  </si>
  <si>
    <t>Base Year for Dollar Values</t>
  </si>
  <si>
    <t>Category - Subcategory</t>
  </si>
  <si>
    <t>Element</t>
  </si>
  <si>
    <t>Element use</t>
  </si>
  <si>
    <t>Value</t>
  </si>
  <si>
    <t>Source information</t>
  </si>
  <si>
    <t>Analysis description</t>
  </si>
  <si>
    <t>Additional Notes and Comments</t>
  </si>
  <si>
    <t>Included in analysis?</t>
  </si>
  <si>
    <t>Reason for inclusion/ exclusion</t>
  </si>
  <si>
    <t>Inclusion in other element</t>
  </si>
  <si>
    <t>Estimate</t>
  </si>
  <si>
    <t>Estimate of uncertainty</t>
  </si>
  <si>
    <t>Additional Notes</t>
  </si>
  <si>
    <t>Was this element included in the analysis? [dropdown]</t>
  </si>
  <si>
    <t>Indicate the reason for inclusion or exclusion. [dropdown]</t>
  </si>
  <si>
    <t>For elements captured by other elements, indicate where values considered</t>
  </si>
  <si>
    <t>Value, including units. Positive values imply costs, negative values imply benefits</t>
  </si>
  <si>
    <t>Provide an estimate of uncertainty. For example, the standard error.</t>
  </si>
  <si>
    <t>Brief description of data source(s) and justification.  (E.g., general description, name, vintage, region/market of applicability, and number of data points. Why were selected data sources used?)</t>
  </si>
  <si>
    <t>Brief description of analysis methodology and justification. (E.g., average, weighted average, regression analysis. Why was this methodology chosen?)</t>
  </si>
  <si>
    <t>Anything else about data sources, analysis methods, and/or recommendations for improvements to the analysis.</t>
  </si>
  <si>
    <t>Capital Costs - Capital Costs</t>
  </si>
  <si>
    <t>material</t>
  </si>
  <si>
    <t>Yes</t>
  </si>
  <si>
    <t>Considered</t>
  </si>
  <si>
    <t>$0.47-$0.59/kWh</t>
  </si>
  <si>
    <t>DOE Dishwasher TSD Chapter 5, cost analysis was done in 2010. Labor cost includes purchased parts (i.e., motors, valves, etc.), raw materials, (i.e., cold rolled steel, copper tube, etc.),</t>
  </si>
  <si>
    <t>A cost model is developed by tearing down 12 units and estimating cost based on material cost. The incremental cost of manufacturing for 5 efficiency class was determined base on $/kWh. Method chosen as the study was recent.</t>
  </si>
  <si>
    <t>ancillary material (wiring, condensate flue, etc)</t>
  </si>
  <si>
    <t>Not considered</t>
  </si>
  <si>
    <t>included in above cost</t>
  </si>
  <si>
    <t>Indirect materials that are used for processing and fabrication.</t>
  </si>
  <si>
    <t>disposal</t>
  </si>
  <si>
    <t>No</t>
  </si>
  <si>
    <t>labor</t>
  </si>
  <si>
    <t>design and engineering</t>
  </si>
  <si>
    <t>permitting/ licensing</t>
  </si>
  <si>
    <t>mark-ups</t>
  </si>
  <si>
    <t>delivery (e.g. shipping costs)</t>
  </si>
  <si>
    <t>Maintenance - Maintenance</t>
  </si>
  <si>
    <t>ongoing maintenance, labor</t>
  </si>
  <si>
    <t>ongoing maintenance, materials</t>
  </si>
  <si>
    <t>ongoing maintenance, disposal</t>
  </si>
  <si>
    <t>Operations - Fuel</t>
  </si>
  <si>
    <t>electricity (avoided cost from ProCost)</t>
  </si>
  <si>
    <t>Replace this text with ProCost outputs</t>
  </si>
  <si>
    <t>Data outputs obtained from ProCost</t>
  </si>
  <si>
    <t>natural gas (avoided cost from ProCost)</t>
  </si>
  <si>
    <t>propane, heating oil, and wood</t>
  </si>
  <si>
    <t>other fuel</t>
  </si>
  <si>
    <t>Operations - Non-energy Consumables</t>
  </si>
  <si>
    <t>water</t>
  </si>
  <si>
    <t>consumable materials</t>
  </si>
  <si>
    <t>consumable - disposal</t>
  </si>
  <si>
    <t>Ancillary Impact Elements (hidden):  By default, these are not considered, please provide justification if you are considering their inclusion within the analysis</t>
  </si>
  <si>
    <t>Ancillary Impacts - Building Owner</t>
  </si>
  <si>
    <t>building value</t>
  </si>
  <si>
    <t>rent premiums</t>
  </si>
  <si>
    <t>Ancillary Impacts - Building Operator</t>
  </si>
  <si>
    <t>equipment downtimes</t>
  </si>
  <si>
    <t>Ancillary Impacts - Business</t>
  </si>
  <si>
    <t>renewable energy credits</t>
  </si>
  <si>
    <t>resale of on-site generation</t>
  </si>
  <si>
    <t>marketing and public relations</t>
  </si>
  <si>
    <t>productivity</t>
  </si>
  <si>
    <t>absenteeism</t>
  </si>
  <si>
    <t>attracting and retaining top tenants and employees</t>
  </si>
  <si>
    <t>Ancillary Impacts - Building Occupants</t>
  </si>
  <si>
    <t>occupant comfort</t>
  </si>
  <si>
    <t>occupant illness</t>
  </si>
  <si>
    <t>indoor environmental quality</t>
  </si>
  <si>
    <t>Ancillary Impacts - Utility</t>
  </si>
  <si>
    <t>Reduced customer calls, shut offs, and reconnections for delinquency</t>
  </si>
  <si>
    <t>Reduced cost collection activity</t>
  </si>
  <si>
    <t>Reduced arrearages / Reduce carrying costs on arrearages</t>
  </si>
  <si>
    <t>Ancillary Impacts - Societal</t>
  </si>
  <si>
    <t>income generated from measure installation</t>
  </si>
  <si>
    <t>avoided costs for unemployment benefits</t>
  </si>
  <si>
    <t>reduced heat island effect (e.g. cool roof)</t>
  </si>
  <si>
    <t>The hidden items below serve as inputs for the dropdown lists found within checklist worksheet.  New elements may be added to the bottom of the "Elements" list.</t>
  </si>
  <si>
    <t>Inclusion</t>
  </si>
  <si>
    <t>Justification</t>
  </si>
  <si>
    <t>Elements</t>
  </si>
  <si>
    <t>Not applicable</t>
  </si>
  <si>
    <t>Negligible incremental impact</t>
  </si>
  <si>
    <t>Captured in another element</t>
  </si>
  <si>
    <t>permitting/licensing</t>
  </si>
  <si>
    <t>electricity</t>
  </si>
  <si>
    <t>natural gas</t>
  </si>
  <si>
    <t>propane</t>
  </si>
  <si>
    <t>heating oil</t>
  </si>
  <si>
    <t>wood</t>
  </si>
  <si>
    <t>consumable disposal</t>
  </si>
  <si>
    <t>utility - Reduced customer calls, shut offs, and reconnections for delinquency</t>
  </si>
  <si>
    <t>utility - Reduced cost collection activity</t>
  </si>
  <si>
    <t>reduced arrearages / Reduce carrying costs on arrearages</t>
  </si>
  <si>
    <t>Add new elements here, if applicable</t>
  </si>
  <si>
    <t>placeholder for additional elements</t>
  </si>
  <si>
    <t>High</t>
  </si>
  <si>
    <t>No deviation, N/A</t>
  </si>
  <si>
    <t>Not available</t>
  </si>
  <si>
    <t>EUL Sufficient Quality</t>
  </si>
  <si>
    <t>Appendix C - RTF Summary Sheet - Guidelines for the Development of Updated Values for the "RTF Default Table" Measure Effective Useful Lifetime Values (EUL)</t>
  </si>
  <si>
    <t>Medium</t>
  </si>
  <si>
    <t>Deviation, no adjustment</t>
  </si>
  <si>
    <t>Available and not used</t>
  </si>
  <si>
    <t>EUL Not Sufficient Quality</t>
  </si>
  <si>
    <t>Base</t>
  </si>
  <si>
    <t>N/A</t>
  </si>
  <si>
    <t>Deviation, adjustment made</t>
  </si>
  <si>
    <t>Available and used</t>
  </si>
  <si>
    <t>Other</t>
  </si>
  <si>
    <t>1a) Measure Name:</t>
  </si>
  <si>
    <t>Residential Dishwashers</t>
  </si>
  <si>
    <t>3a) Sheet completed by:</t>
  </si>
  <si>
    <t>Angie Lee</t>
  </si>
  <si>
    <t>1b) Sector (R/C/I/A/MF, etc.):</t>
  </si>
  <si>
    <t>3b) Date Sheet Completed:</t>
  </si>
  <si>
    <t>Unknown</t>
  </si>
  <si>
    <t>2a) Point / Range EUL Measure Life Proposed (years):</t>
  </si>
  <si>
    <t>3c) Date Reviewed / Adopted:</t>
  </si>
  <si>
    <t>3d) Sunset period or other caveats:</t>
  </si>
  <si>
    <t>May 30th, 2014</t>
  </si>
  <si>
    <t>3 steps:  1) Document Derivation of Default / Base EUL, 2) Identify / Calculate / Document any Adjustments for Influencing Factors, and 3) Calculate / Document Resulting Recommended EUL</t>
  </si>
  <si>
    <t>Source / Options (usually secondary)</t>
  </si>
  <si>
    <t>Analytical and Source Underpinnings</t>
  </si>
  <si>
    <t>Description, Notes, Comments</t>
  </si>
  <si>
    <t>Step 1: Deriving "Base" or Starting Level for EUL</t>
  </si>
  <si>
    <t>Base Value Source, Alternatives, Priority</t>
  </si>
  <si>
    <t>Estimate / Result</t>
  </si>
  <si>
    <t>Uncertainty</t>
  </si>
  <si>
    <t>Analysis underlying estimate</t>
  </si>
  <si>
    <t>Source(s)</t>
  </si>
  <si>
    <t>Notes</t>
  </si>
  <si>
    <t>Documentation of "Base" EUL Value and Sources</t>
  </si>
  <si>
    <t>Is source available / was it used?</t>
  </si>
  <si>
    <t>Source quality (drop-down list; see Appendix B)</t>
  </si>
  <si>
    <t>Why / why not.  Also Describe / assess similarities and differences</t>
  </si>
  <si>
    <t>Value, in years - point estimate</t>
  </si>
  <si>
    <t>Estimate of uncertainty - e.g. standard error, range(s), etc.</t>
  </si>
  <si>
    <t>Description of analysis approach.</t>
  </si>
  <si>
    <t>Describe data source(s), citations, applicability, quality of the source, number of observations, etc.</t>
  </si>
  <si>
    <t>Additional detail, discussion, sources, analysis approach, recommendations to the analysis and its value short / longer term.</t>
  </si>
  <si>
    <t>4) Information for "Base" EUL available from / based on:  (Discuss all that apply)</t>
  </si>
  <si>
    <t>Select from Drop-down menu</t>
  </si>
  <si>
    <t>Documentation / Notes</t>
  </si>
  <si>
    <t>Apdx B Quality</t>
  </si>
  <si>
    <t>a)</t>
  </si>
  <si>
    <t>RTF Default Table</t>
  </si>
  <si>
    <t>If "Yes, used" for a) Default Table, no other rows in this section need to be filled out.</t>
  </si>
  <si>
    <t>b)</t>
  </si>
  <si>
    <t>EUL studies, adjusted to local conditions, compared against regional ASHRAE tables, and other data</t>
  </si>
  <si>
    <t>c)</t>
  </si>
  <si>
    <t xml:space="preserve">EUL studies on the measure of interest, high quality analysis &amp; data, well-documented </t>
  </si>
  <si>
    <t xml:space="preserve">Based on DOE technical support document </t>
  </si>
  <si>
    <t>Mean EUL of 15.4 years</t>
  </si>
  <si>
    <t>not provided</t>
  </si>
  <si>
    <t>Utilizing survey data from U.S. Census’s American 
Housing Survey (AHS) to adjust RECS 2005 data (n=4,382), DOE estimated the units still in operation at each year and developed a survival curve.</t>
  </si>
  <si>
    <t xml:space="preserve"> U.S. Census’s American 
Housing Survey (AHS) to adjust RECS 2005 data (n=4,382)</t>
  </si>
  <si>
    <t>Relevant TSD: http://www1.eere.energy.gov/buildings/appliance_standards/pdfs/dw_dfr_tsd_ch8_rev.pdf</t>
  </si>
  <si>
    <t>d)</t>
  </si>
  <si>
    <t xml:space="preserve">Well-documented EUL values from other locations, vetted with expert review / Delphi and/or adjusted using defensible correction factors (for climate, sector, etc.), (better if also compared to regional ASHRAE Table data) </t>
  </si>
  <si>
    <t>e)</t>
  </si>
  <si>
    <t>ASHRAE Table, if measure available</t>
  </si>
  <si>
    <t>f)</t>
  </si>
  <si>
    <t>Warranty and/or lifetime information of known / appropriate origin and methods, reviewed, (better if reviewed against ASHRAE tables)  (independent third party / certified techniques</t>
  </si>
  <si>
    <t>g)</t>
  </si>
  <si>
    <t>Equipment stock / turnover statistical studies with robust, appropriate data, well-researched, reviewed</t>
  </si>
  <si>
    <t>Medium*</t>
  </si>
  <si>
    <t>h)</t>
  </si>
  <si>
    <t>Well-documented study of field experience and observations with review</t>
  </si>
  <si>
    <t>Basic</t>
  </si>
  <si>
    <t>i)</t>
  </si>
  <si>
    <t xml:space="preserve">Unvetted /undocumented EUL tables from other locations, adjusted for local conditions </t>
  </si>
  <si>
    <t>j)</t>
  </si>
  <si>
    <t xml:space="preserve">Warranty information of uncertain origin / methodology / standard </t>
  </si>
  <si>
    <t>k)</t>
  </si>
  <si>
    <t>Manufacturer lifetime information</t>
  </si>
  <si>
    <t>l)</t>
  </si>
  <si>
    <t xml:space="preserve">Equipment stock / turnover statistical studies with weaker data, research methods (and/or measure class not matched)  </t>
  </si>
  <si>
    <t>m)</t>
  </si>
  <si>
    <t>Stakeholder, expert discussion, documented</t>
  </si>
  <si>
    <t>n)</t>
  </si>
  <si>
    <t>Other (specify)</t>
  </si>
  <si>
    <t>Selected value</t>
  </si>
  <si>
    <t>Quality Assessment</t>
  </si>
  <si>
    <t>Range</t>
  </si>
  <si>
    <t>Justification / Rationale</t>
  </si>
  <si>
    <t>5) Selected Best Estimate for "Base" EUL Value</t>
  </si>
  <si>
    <t>Included / Excluded Elements for Adjustment to Base EUL</t>
  </si>
  <si>
    <t>Step 2) Considering / Computing Adjustments for Base EUL</t>
  </si>
  <si>
    <t>Reason for Inclusion / Exclusion</t>
  </si>
  <si>
    <t>Estimate / Result / Adjustment</t>
  </si>
  <si>
    <r>
      <t>Documentation of Adjustments to "Base" EUL for Measure</t>
    </r>
    <r>
      <rPr>
        <b/>
        <sz val="11"/>
        <color indexed="56"/>
        <rFont val="Calibri"/>
        <family val="2"/>
      </rPr>
      <t>, if any</t>
    </r>
  </si>
  <si>
    <t>Was this adjustment factor included in the analysis?</t>
  </si>
  <si>
    <t>Why was it included / excluded? - How does this differ from manufacturer or standard case?</t>
  </si>
  <si>
    <t xml:space="preserve">Value adjustments, in years </t>
  </si>
  <si>
    <t>Description of analysis approach - how adjustment made, calculations (attach to document)</t>
  </si>
  <si>
    <t>Describe data source(s), citations, applicability, quality of the source.</t>
  </si>
  <si>
    <t xml:space="preserve">6) Measure life adjustment method for each measure or component is described  for deviations in...:  (See EUL Guidelines 2.1 and 2.3.3)  </t>
  </si>
  <si>
    <t>Adjust for Program delivery method (direct install, mail, mail by request, retail, etc.); adjustments for percent not installed, etc.  If direct install, installed other than mfg. specs?</t>
  </si>
  <si>
    <t>Adjust for installation, sizing, specification (clearance less than mfg specif., under / oversized compared to mfg spec., etc.)</t>
  </si>
  <si>
    <t>Adjust for commissioning  (if not performed to mfg spec.)</t>
  </si>
  <si>
    <t>Adjust for sector effects on EUL (mixed or specific subsectors - estimated for pumps in ag, but this is industrial; mix of res and multi-family, etc.)</t>
  </si>
  <si>
    <t>Adjust for sector effects on EUL - turnover (e.g. high proportion of schools or restaurants rather than "commercial mix", etc.)?</t>
  </si>
  <si>
    <t>Adjust for sector or climate effects on EUL for operating hours (e.g. lights in warehouse vs. restaurant; HVAC in different climate zones)?</t>
  </si>
  <si>
    <t>Adjust for maintenance (maintenance better / worse than mfg spec; education or additional warrantee provided by program, etc.)</t>
  </si>
  <si>
    <t>Adjust for operations and other behavior (additional cycles or on/off for usage beyond expectations, etc.)</t>
  </si>
  <si>
    <t>Measure or component commissioning deviations?</t>
  </si>
  <si>
    <t>Measure or component operation and controls sequence of operation deviations?</t>
  </si>
  <si>
    <t>Measure or component performance verification deviations?</t>
  </si>
  <si>
    <t>Measure or component manufacturer maintenance requirements deviations (conveyed to owner, carried out, contracted for, other)?</t>
  </si>
  <si>
    <t>Measure or component operations dis-similar to "standard"? (describe)</t>
  </si>
  <si>
    <t>Measure or component "usage hours" dis-similar to "standard"? (describe deviations from climate, business sector, turnover, etc.)</t>
  </si>
  <si>
    <t>Measure or component operating environment dis-similar to "standard" (vs. start / top, unusual run durations, harsh/dirty, etc.)?</t>
  </si>
  <si>
    <t>Measure or component owner/operator behavioral requirements dis-similar to "standard"?</t>
  </si>
  <si>
    <t>Measure or component code or other jurisdictional changes?</t>
  </si>
  <si>
    <t>Measure or component has expected technical degradation dis-similar to "standard"? (new / innovative technology, etc.)</t>
  </si>
  <si>
    <t>Remaining useful life conditions - early retirement program?</t>
  </si>
  <si>
    <t>Other elements of measure "definition" un-met (including variations in measure technology)?</t>
  </si>
  <si>
    <t>Range (if any)</t>
  </si>
  <si>
    <t>Justification / Rationale and quality assessment of Adjustment Factor</t>
  </si>
  <si>
    <t>7) Selected Best Estimate for "Adjustment Factor", if relevant and computed.</t>
  </si>
  <si>
    <t>Step 3) Calculate / Document Adjusted Base EUL</t>
  </si>
  <si>
    <t>Resulting Revised EUL, adjusted</t>
  </si>
  <si>
    <t>Justification / Rationale and Computation Method for Revised EUL</t>
  </si>
  <si>
    <t>8) Describe how value in Step 7 is applied to Base EUL (Step 5), if any, and provide resulting recommended EUL value.</t>
  </si>
  <si>
    <r>
      <t xml:space="preserve">Reporting </t>
    </r>
    <r>
      <rPr>
        <u/>
        <sz val="14"/>
        <color indexed="56"/>
        <rFont val="Calibri"/>
        <family val="2"/>
      </rPr>
      <t>Measure Effective Useful Life</t>
    </r>
  </si>
  <si>
    <t>Result / Recommendation</t>
  </si>
  <si>
    <t>9)  Recommended EUL for the measure after adjustments, if appropriate</t>
  </si>
  <si>
    <t>10)  Recommendations about sunset, length before EUL should be revisited ==&gt;</t>
  </si>
  <si>
    <t>Explain / justify ==&gt;</t>
  </si>
  <si>
    <r>
      <t xml:space="preserve">Measure </t>
    </r>
    <r>
      <rPr>
        <b/>
        <sz val="11"/>
        <color indexed="56"/>
        <rFont val="Calibri"/>
        <family val="2"/>
      </rPr>
      <t xml:space="preserve">Estimated Useful Life Summary Sheet </t>
    </r>
  </si>
  <si>
    <t>Drop down list</t>
  </si>
  <si>
    <t>11) The EUL Guidelines Checklist is completed</t>
  </si>
  <si>
    <t xml:space="preserve">RBSA Metering 2014  (2.64 cycles per week, 52 weeks per year) </t>
  </si>
  <si>
    <t>Input Fuel Market Shares (RBSA)</t>
  </si>
  <si>
    <t>Electric Water Heating Market Share (SF)</t>
  </si>
  <si>
    <t>Gas Water Heating Market Share (SF)</t>
  </si>
  <si>
    <t>Segment</t>
  </si>
  <si>
    <t>Concatenate</t>
  </si>
  <si>
    <t>Single Family</t>
  </si>
  <si>
    <t>Manufactured</t>
  </si>
  <si>
    <t>Multifamily</t>
  </si>
  <si>
    <t>Electric Water Heating Market Share (MH)</t>
  </si>
  <si>
    <t>Gas Water Heating Market Share (MH)</t>
  </si>
  <si>
    <t>Electric Water Heating Market Share (MF)</t>
  </si>
  <si>
    <t>Gas Water Heating Market Share (MF)</t>
  </si>
  <si>
    <t>Concat</t>
  </si>
  <si>
    <t>Energy Star Dishwasher - Any DHW</t>
  </si>
  <si>
    <t>Measure  Index</t>
  </si>
  <si>
    <t>Apply Segments for Multifamily (High vs Low Rise)</t>
  </si>
  <si>
    <t>Multifamily - Low Rise</t>
  </si>
  <si>
    <t>Multifamily - High Rise</t>
  </si>
  <si>
    <t>Dishwasher</t>
  </si>
  <si>
    <t>Shaped Savings Results; By Category and sorted by TRC BC ratio</t>
  </si>
  <si>
    <t>Category</t>
  </si>
  <si>
    <t>Busbar Savings</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</si>
  <si>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</si>
  <si>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</si>
  <si>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</si>
  <si>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</si>
  <si>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</si>
  <si>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</si>
  <si>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</si>
  <si>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TRC Net Levelized Cost (Net of All Benefits) in mills/kWh</t>
  </si>
  <si>
    <t>TRC B/C Ratio</t>
  </si>
  <si>
    <t>Net Electric &amp; Gas System CO2 Avoided (Lifetime Tons)</t>
  </si>
  <si>
    <t>Jan</t>
  </si>
  <si>
    <t>Feb</t>
  </si>
  <si>
    <t>Mar</t>
  </si>
  <si>
    <t>Apr</t>
  </si>
  <si>
    <t>May</t>
  </si>
  <si>
    <t>Jun</t>
  </si>
  <si>
    <t>Jul</t>
  </si>
  <si>
    <t>Aug</t>
  </si>
  <si>
    <t>Sep</t>
  </si>
  <si>
    <t>Oct</t>
  </si>
  <si>
    <t>Nov</t>
  </si>
  <si>
    <t>Dec</t>
  </si>
  <si>
    <t>Single Family Energy Star Dishwasher - Any DHW</t>
  </si>
  <si>
    <t>Manufactured Energy Star Dishwasher - Any DHW</t>
  </si>
  <si>
    <t>Multifamily - Low Rise Energy Star Dishwasher - Any DHW</t>
  </si>
  <si>
    <t>Multifamily - High Rise Energy Star Dishwasher - Any DHW</t>
  </si>
  <si>
    <t>Methodology</t>
  </si>
  <si>
    <t>New Homes only.  Also use this to calculate New Homes not addressed due to acheivability, and send that to the NR/Retrofit pool.</t>
  </si>
  <si>
    <t>='[7P Forecasts D1.xlsx]Res Forecast (Base Case)'!$D$5</t>
  </si>
  <si>
    <t>Vintage</t>
  </si>
  <si>
    <t>New</t>
  </si>
  <si>
    <t>Measure Bundle</t>
  </si>
  <si>
    <t>Report Year</t>
  </si>
  <si>
    <t># homes</t>
  </si>
  <si>
    <t>REG_TOTAL_STOCK_# HOMES</t>
  </si>
  <si>
    <t>Total Regional Stock</t>
  </si>
  <si>
    <t>Applicability</t>
  </si>
  <si>
    <t>Saturation</t>
  </si>
  <si>
    <t>Achievability =&gt;</t>
  </si>
  <si>
    <t>SUPPLY CURVE SAVINGS BY BUNDLE</t>
  </si>
  <si>
    <t>kWh per home</t>
  </si>
  <si>
    <t>lvlcost</t>
  </si>
  <si>
    <t>segment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</si>
  <si>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</si>
  <si>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</si>
  <si>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</si>
  <si>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</si>
  <si>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</si>
  <si>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</si>
  <si>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</si>
  <si>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</si>
  <si>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</si>
  <si>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</si>
  <si>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</si>
  <si>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</si>
  <si>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</si>
  <si>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</si>
  <si>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</si>
  <si>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</si>
  <si>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</si>
  <si>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</si>
  <si>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</si>
  <si>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</si>
  <si>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</si>
  <si>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</si>
  <si>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</si>
  <si>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</si>
  <si>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</si>
  <si>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</si>
  <si>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</si>
  <si>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</si>
  <si>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</si>
  <si>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</si>
  <si>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</si>
  <si>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</si>
  <si>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</si>
  <si>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</si>
  <si>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</si>
  <si>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</si>
  <si>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</si>
  <si>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</si>
  <si>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</si>
  <si>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</si>
  <si>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</si>
  <si>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</si>
  <si>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</si>
  <si>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</si>
  <si>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</si>
  <si>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</si>
  <si>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</si>
  <si>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</si>
  <si>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</si>
  <si>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</si>
  <si>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</si>
  <si>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</si>
  <si>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</si>
  <si>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</si>
  <si>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</si>
  <si>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</si>
  <si>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</si>
  <si>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</si>
  <si>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</si>
  <si>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</si>
  <si>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</si>
  <si>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</si>
  <si>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</si>
  <si>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</si>
  <si>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</si>
  <si>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&gt; 200 mills/kWh</t>
  </si>
  <si>
    <t>&gt;200</t>
  </si>
  <si>
    <t>&lt;=9999</t>
  </si>
  <si>
    <t>RECOMBINE MEASURE BUNDLES INTO SUPPLY CURVE INCREMENTAL</t>
  </si>
  <si>
    <t>SC_New</t>
  </si>
  <si>
    <t>Total per Year</t>
  </si>
  <si>
    <t>Total Cumulative</t>
  </si>
  <si>
    <t>CALCULATE # HOMES NOT ADDRESSED BY MEASURE AND ADD TO NR/RETROFIT POOL</t>
  </si>
  <si>
    <t># HOMES RESIDUAL &amp; AVAILABLE TO NR/RETROFIT POOL</t>
  </si>
  <si>
    <t>APPLICABLE NEW STOCK MINUS TREATED</t>
  </si>
  <si>
    <t>Homes</t>
  </si>
  <si>
    <t>Total Residual to NR/Retro Pool</t>
  </si>
  <si>
    <t>NR</t>
  </si>
  <si>
    <t># Homes FOR EXISTING STOCK</t>
  </si>
  <si>
    <t># Homes NOT TREATED FROM NEW STOCK AND THUS AVAILABLE FOR NR POOL FROM SC-NEW</t>
  </si>
  <si>
    <t>ONLY INCLUDE AFTER ONE EUL</t>
  </si>
  <si>
    <t>New Stock into NR/Retro Pool</t>
  </si>
  <si>
    <t>EXISTING STOCK AVAILABLE TO NR/RETROFIT POOL</t>
  </si>
  <si>
    <t>MAX</t>
  </si>
  <si>
    <t>APPLY MEASURE APPLICABILITY, SATURATION TURNOVER RATE FOR MAX ANNUAL # UNITS</t>
  </si>
  <si>
    <t>Turnover Rate</t>
  </si>
  <si>
    <t>INCREMENTAL ACHIEVABILITY</t>
  </si>
  <si>
    <t>CUMULATIVE ADOPTION</t>
  </si>
  <si>
    <t>Measure:</t>
  </si>
  <si>
    <t>Item</t>
  </si>
  <si>
    <t>Methods &amp; Sources</t>
  </si>
  <si>
    <t>Note</t>
  </si>
  <si>
    <t>7P Updates</t>
  </si>
  <si>
    <t>Measures Described</t>
  </si>
  <si>
    <t>Energy Savings Calculation Basis</t>
  </si>
  <si>
    <t>Applicable Stock</t>
  </si>
  <si>
    <t>Baseline Saturation</t>
  </si>
  <si>
    <t>Baseline HVAC Loads</t>
  </si>
  <si>
    <t>NA</t>
  </si>
  <si>
    <t>Permutations</t>
  </si>
  <si>
    <t>Costs</t>
  </si>
  <si>
    <t>Measure Life</t>
  </si>
  <si>
    <t>Savings Shape</t>
  </si>
  <si>
    <t>Achievable Ramp Rate</t>
  </si>
  <si>
    <t>$2010 to $2012</t>
  </si>
  <si>
    <t>RTF SIW 2.0</t>
  </si>
  <si>
    <t>Incremental Cost ($2012)</t>
  </si>
  <si>
    <t>cost $2012</t>
  </si>
  <si>
    <t>All dishwashers, count from RBSA</t>
  </si>
  <si>
    <t>Pull only "Any" combos, only keep ENERGY STAR level since close to CEE Tier 1</t>
  </si>
  <si>
    <t>Based on CEC data of stock</t>
  </si>
  <si>
    <t>ENERGY STAR</t>
  </si>
  <si>
    <t>High efficiency dishwasher</t>
  </si>
  <si>
    <t>Based on DOE data for new standard</t>
  </si>
  <si>
    <t>DOE</t>
  </si>
  <si>
    <t>DWH and WasteWater</t>
  </si>
  <si>
    <t>Generally high saturation of ES dishwashers, relatively easy market to penetrate</t>
  </si>
  <si>
    <t>New standard since 6P</t>
  </si>
  <si>
    <t>ENERGY STAR Dishwasher</t>
  </si>
  <si>
    <t>Retro or LO</t>
  </si>
  <si>
    <t>Early Retrofit Parameters</t>
  </si>
  <si>
    <t>R or L</t>
  </si>
  <si>
    <t>Savings 2
(kWh)</t>
  </si>
  <si>
    <t>Remaining
Life (yrs)</t>
  </si>
  <si>
    <t>Salvage Value ($)</t>
  </si>
  <si>
    <t>aMW</t>
  </si>
  <si>
    <t xml:space="preserve">Methodology:  For the Natural Replacement case.  Start with 2015 Stock decayed over time for demolition and retirement.  Add the New stock not addressed by the New Building Programs.  Then apply natural turnover rate based on measure life. The rate is the annual fraction of the stock that is replaced in any year.  Also apply the achievable penetration rate by year and the measure applicability factor.  Achievable penetration includes program ramp up.  The applicability factor represents the portion of the available stock that the measure applies to which is 100percent minus the baseline fraction that is doing the measure absent program.  The product is the annual available # of homes.  Number of homes times savings per home for aMW potential available by year for each type.  Turnover Rate, Achievable Penetration Rate and Applicability Factor are looked up from ResMaster.  Savings available for the retrofit measure apply only to the non-NR residual # of homes at the 20th year.  </t>
  </si>
  <si>
    <t>Existing</t>
  </si>
  <si>
    <t>System-System-Load-Shape-2015</t>
  </si>
  <si>
    <t>R-All-WH-ERWH-All-All-R</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</si>
  <si>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</si>
  <si>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</si>
  <si>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</si>
  <si>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</si>
  <si>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</si>
  <si>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</si>
  <si>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</si>
  <si>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</si>
  <si>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</si>
  <si>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</si>
  <si>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</si>
  <si>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</si>
  <si>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</si>
  <si>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</si>
  <si>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</si>
  <si>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</si>
  <si>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</si>
  <si>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</si>
  <si>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</si>
  <si>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</si>
  <si>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</si>
  <si>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</si>
  <si>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</si>
  <si>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</si>
  <si>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</si>
  <si>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</si>
  <si>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</si>
  <si>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</si>
  <si>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</si>
  <si>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</si>
  <si>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</si>
  <si>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</si>
  <si>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</si>
  <si>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</si>
  <si>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</si>
  <si>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</si>
  <si>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</si>
  <si>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</si>
  <si>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</si>
  <si>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</si>
  <si>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</si>
  <si>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</si>
  <si>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</si>
  <si>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</si>
  <si>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</si>
  <si>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</si>
  <si>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</si>
  <si>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</si>
  <si>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</si>
  <si>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</si>
  <si>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</si>
  <si>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</si>
  <si>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</si>
  <si>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</si>
  <si>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</si>
  <si>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</si>
  <si>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</si>
  <si>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</si>
  <si>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</si>
  <si>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</si>
  <si>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</si>
  <si>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</si>
  <si>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</si>
  <si>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</si>
  <si>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</si>
  <si>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</si>
  <si>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</si>
  <si>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</si>
  <si>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</si>
  <si>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</si>
  <si>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</si>
  <si>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</si>
  <si>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</si>
  <si>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</si>
  <si>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</si>
  <si>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</si>
  <si>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</si>
  <si>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</si>
  <si>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</si>
  <si>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</si>
  <si>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</si>
  <si>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</si>
  <si>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</si>
  <si>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</si>
  <si>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</si>
  <si>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</si>
  <si>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</si>
  <si>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</si>
  <si>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</si>
  <si>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</si>
  <si>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</si>
  <si>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</si>
  <si>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</si>
  <si>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</si>
  <si>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</si>
  <si>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</si>
  <si>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</si>
  <si>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</si>
  <si>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</si>
  <si>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</si>
  <si>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</si>
  <si>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</si>
  <si>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</si>
  <si>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</si>
  <si>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</si>
  <si>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</si>
  <si>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</si>
  <si>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</si>
  <si>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</si>
  <si>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</si>
  <si>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</si>
  <si>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</si>
  <si>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</si>
  <si>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</si>
  <si>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</si>
  <si>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</si>
  <si>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</si>
  <si>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</si>
  <si>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</si>
  <si>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</si>
  <si>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</si>
  <si>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</si>
  <si>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</si>
  <si>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</si>
  <si>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</si>
  <si>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</si>
  <si>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</si>
  <si>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</si>
  <si>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</si>
  <si>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</si>
  <si>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</si>
  <si>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</si>
  <si>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</si>
  <si>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</si>
  <si>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</si>
  <si>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</si>
  <si>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</si>
  <si>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</si>
  <si>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</si>
  <si>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</si>
  <si>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</si>
  <si>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</si>
  <si>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</si>
  <si>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</si>
  <si>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</si>
  <si>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</si>
  <si>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</si>
  <si>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</si>
  <si>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</si>
  <si>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</si>
  <si>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</si>
  <si>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</si>
  <si>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</si>
  <si>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</si>
  <si>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</si>
  <si>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</si>
  <si>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</si>
  <si>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</si>
  <si>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</si>
  <si>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</si>
  <si>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</si>
  <si>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</si>
  <si>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</si>
  <si>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</si>
  <si>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</si>
  <si>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</si>
  <si>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</si>
  <si>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</si>
  <si>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</si>
  <si>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</si>
  <si>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</si>
  <si>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</si>
  <si>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Totals Basis</t>
  </si>
  <si>
    <t>Busbar Electric Savings in kWh</t>
  </si>
  <si>
    <t>Measures with B/C &gt; 1.00</t>
  </si>
  <si>
    <t>Categories with B/C &gt; 1.00</t>
  </si>
  <si>
    <t>Supply Curve Results:  By TRC Net Levelized Cost - Net of Benefits</t>
  </si>
  <si>
    <t>using ENERGY STAR tier</t>
  </si>
  <si>
    <t>RTF - ResDishwasher_v2_2</t>
  </si>
  <si>
    <t>new RBSA data</t>
  </si>
  <si>
    <t>baseline built into savings assessment</t>
  </si>
  <si>
    <t>Use ERWH load shape</t>
  </si>
  <si>
    <t>Block 22: 200-210 mills/kWh</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</si>
  <si>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</si>
  <si>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</si>
  <si>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</si>
  <si>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</si>
  <si>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</si>
  <si>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</si>
  <si>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</si>
  <si>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</si>
  <si>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</si>
  <si>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</si>
  <si>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</si>
  <si>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</si>
  <si>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</si>
  <si>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</si>
  <si>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</si>
  <si>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</si>
  <si>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</si>
  <si>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</si>
  <si>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</si>
  <si>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</si>
  <si>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</si>
  <si>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</si>
  <si>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</si>
  <si>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</si>
  <si>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</si>
  <si>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</si>
  <si>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</si>
  <si>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</si>
  <si>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 300 mills/kWh</t>
  </si>
  <si>
    <t>&gt;300</t>
  </si>
  <si>
    <t>\\nas2\Q\SeventhPlan\Conservation Analysis\Global EE Inputs\MC Files\MC_AND_LOADSHAPE_v3.0_24segment-7P-D9 - NewSegValues.xlsx</t>
  </si>
  <si>
    <t>Savings Allocation by Cost Bin and Month for Segments 1</t>
  </si>
  <si>
    <t>Savings Allocation by Cost Bin and Month for Segments 2</t>
  </si>
  <si>
    <t>Savings Allocation by Category and Month for Segments 1</t>
  </si>
  <si>
    <t>Savings Allocation by Category and Month for Segments 2</t>
  </si>
  <si>
    <t>Wholesale KW</t>
  </si>
  <si>
    <t>Block 2: 0-10 mills/kWh</t>
  </si>
  <si>
    <t>Ramp Rate</t>
  </si>
  <si>
    <t>Resource Type</t>
  </si>
  <si>
    <t>Measure Bategory</t>
  </si>
  <si>
    <t>Sector</t>
  </si>
  <si>
    <t>End Use</t>
  </si>
  <si>
    <t>kW per unit</t>
  </si>
  <si>
    <t>kWh per unit</t>
  </si>
  <si>
    <t>TRB Net Levelized Bost (Net of All Benefits)</t>
  </si>
  <si>
    <t>Savings Allocation by Bategory and Month for Segments 1</t>
  </si>
  <si>
    <t>Savings Allocation by Bategory and Month for Segments 2</t>
  </si>
  <si>
    <t>Residential</t>
  </si>
  <si>
    <t>12MED</t>
  </si>
  <si>
    <t>End Use:</t>
  </si>
  <si>
    <t>Friday, 6 March , 2015 at 1:50 PM</t>
  </si>
  <si>
    <t>Total Max Potential (aMW)</t>
  </si>
</sst>
</file>

<file path=xl/styles.xml><?xml version="1.0" encoding="utf-8"?>
<styleSheet xmlns="http://schemas.openxmlformats.org/spreadsheetml/2006/main">
  <numFmts count="20">
    <numFmt numFmtId="5" formatCode="&quot;$&quot;#,##0_);\(&quot;$&quot;#,##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quot;$&quot;#,##0.000_);[Red]\(&quot;$&quot;#,##0.000\)"/>
    <numFmt numFmtId="166" formatCode="0.000"/>
    <numFmt numFmtId="167" formatCode="m/d/\ h:mm"/>
    <numFmt numFmtId="168" formatCode="0.0"/>
    <numFmt numFmtId="169" formatCode="&quot;$&quot;#,##0"/>
    <numFmt numFmtId="170" formatCode="0.00000000000000"/>
    <numFmt numFmtId="171" formatCode="0.000000"/>
    <numFmt numFmtId="172" formatCode="0.0000"/>
    <numFmt numFmtId="173" formatCode="&quot;$&quot;#,##0.00"/>
    <numFmt numFmtId="174" formatCode="_(&quot;$&quot;* #,##0_);_(&quot;$&quot;* \(#,##0\);_(&quot;$&quot;* &quot;-&quot;??_);_(@_)"/>
    <numFmt numFmtId="175" formatCode="_(* #,##0.00_);_(* \(#,##0.00\);_(* &quot;-&quot;?_);_(@_)"/>
    <numFmt numFmtId="176" formatCode="mmm\-yyyy"/>
    <numFmt numFmtId="177" formatCode="0.0;[Red]\-0.0"/>
    <numFmt numFmtId="178" formatCode="\ "/>
  </numFmts>
  <fonts count="100">
    <font>
      <sz val="10"/>
      <name val="Arial"/>
      <family val="2"/>
    </font>
    <font>
      <sz val="10"/>
      <color theme="1"/>
      <name val="Arial"/>
      <family val="2"/>
    </font>
    <font>
      <sz val="10"/>
      <color theme="1"/>
      <name val="Arial"/>
      <family val="2"/>
    </font>
    <font>
      <sz val="10"/>
      <name val="Arial"/>
      <family val="2"/>
    </font>
    <font>
      <sz val="11"/>
      <color theme="1"/>
      <name val="Calibri"/>
      <family val="2"/>
      <scheme val="minor"/>
    </font>
    <font>
      <b/>
      <sz val="10"/>
      <name val="Palatino Linotype"/>
      <family val="1"/>
    </font>
    <font>
      <b/>
      <sz val="11"/>
      <color indexed="8"/>
      <name val="Calibri"/>
      <family val="2"/>
    </font>
    <font>
      <b/>
      <i/>
      <sz val="10"/>
      <color theme="1"/>
      <name val="Palatino Linotype"/>
      <family val="1"/>
    </font>
    <font>
      <sz val="10"/>
      <color indexed="8"/>
      <name val="Palatino Linotype"/>
      <family val="1"/>
    </font>
    <font>
      <u/>
      <sz val="10"/>
      <color theme="10"/>
      <name val="Arial"/>
      <family val="2"/>
    </font>
    <font>
      <b/>
      <i/>
      <sz val="10"/>
      <color indexed="62"/>
      <name val="Palatino Linotype"/>
      <family val="1"/>
    </font>
    <font>
      <sz val="11"/>
      <color indexed="8"/>
      <name val="Calibri"/>
      <family val="2"/>
    </font>
    <font>
      <sz val="11"/>
      <name val="Calibri"/>
      <family val="2"/>
    </font>
    <font>
      <b/>
      <sz val="11"/>
      <name val="Calibri"/>
      <family val="2"/>
    </font>
    <font>
      <b/>
      <sz val="10"/>
      <name val="Arial"/>
      <family val="2"/>
    </font>
    <font>
      <b/>
      <sz val="11"/>
      <color theme="1"/>
      <name val="Calibri"/>
      <family val="2"/>
      <scheme val="minor"/>
    </font>
    <font>
      <b/>
      <i/>
      <sz val="11"/>
      <color indexed="8"/>
      <name val="Calibri"/>
      <family val="2"/>
    </font>
    <font>
      <b/>
      <sz val="8"/>
      <color indexed="81"/>
      <name val="Tahoma"/>
      <family val="2"/>
    </font>
    <font>
      <sz val="8"/>
      <color indexed="81"/>
      <name val="Tahoma"/>
      <family val="2"/>
    </font>
    <font>
      <sz val="10"/>
      <name val="Times New Roman"/>
      <family val="1"/>
    </font>
    <font>
      <sz val="12"/>
      <name val="Times New Roman"/>
      <family val="1"/>
    </font>
    <font>
      <b/>
      <sz val="12"/>
      <name val="Times New Roman"/>
      <family val="1"/>
    </font>
    <font>
      <b/>
      <sz val="13"/>
      <color theme="3"/>
      <name val="Calibri"/>
      <family val="2"/>
      <scheme val="minor"/>
    </font>
    <font>
      <u/>
      <sz val="10"/>
      <color indexed="12"/>
      <name val="Arial"/>
      <family val="2"/>
    </font>
    <font>
      <u/>
      <sz val="10"/>
      <color indexed="12"/>
      <name val="Times New Roman"/>
      <family val="1"/>
    </font>
    <font>
      <u/>
      <sz val="10"/>
      <color rgb="FF0000FF"/>
      <name val="Calibri"/>
      <family val="2"/>
      <scheme val="minor"/>
    </font>
    <font>
      <u/>
      <sz val="11"/>
      <color theme="10"/>
      <name val="Calibri"/>
      <family val="2"/>
    </font>
    <font>
      <sz val="10"/>
      <name val="MS Sans Serif"/>
      <family val="2"/>
    </font>
    <font>
      <sz val="12"/>
      <name val="Arial"/>
      <family val="2"/>
    </font>
    <font>
      <sz val="10"/>
      <name val="Helv"/>
    </font>
    <font>
      <b/>
      <sz val="9"/>
      <color indexed="81"/>
      <name val="Tahoma"/>
      <family val="2"/>
    </font>
    <font>
      <sz val="9"/>
      <color indexed="81"/>
      <name val="Tahoma"/>
      <family val="2"/>
    </font>
    <font>
      <b/>
      <i/>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sz val="10"/>
      <name val="Calibri"/>
      <family val="2"/>
      <scheme val="minor"/>
    </font>
    <font>
      <sz val="10"/>
      <name val="Palatino Linotype"/>
      <family val="1"/>
    </font>
    <font>
      <b/>
      <sz val="10"/>
      <name val="Calibri"/>
      <family val="2"/>
      <scheme val="minor"/>
    </font>
    <font>
      <b/>
      <sz val="16"/>
      <color indexed="8"/>
      <name val="Calibri"/>
      <family val="2"/>
    </font>
    <font>
      <i/>
      <sz val="11"/>
      <color indexed="8"/>
      <name val="Calibri"/>
      <family val="2"/>
    </font>
    <font>
      <b/>
      <u/>
      <sz val="16"/>
      <color rgb="FF002060"/>
      <name val="Calibri"/>
      <family val="2"/>
      <scheme val="minor"/>
    </font>
    <font>
      <b/>
      <sz val="16"/>
      <color rgb="FF002060"/>
      <name val="Calibri"/>
      <family val="2"/>
      <scheme val="minor"/>
    </font>
    <font>
      <b/>
      <u/>
      <sz val="16"/>
      <color theme="1"/>
      <name val="Calibri"/>
      <family val="2"/>
      <scheme val="minor"/>
    </font>
    <font>
      <sz val="11"/>
      <color rgb="FF002060"/>
      <name val="Calibri"/>
      <family val="2"/>
      <scheme val="minor"/>
    </font>
    <font>
      <u/>
      <sz val="14"/>
      <color rgb="FF002060"/>
      <name val="Calibri"/>
      <family val="2"/>
      <scheme val="minor"/>
    </font>
    <font>
      <sz val="14"/>
      <color rgb="FF002060"/>
      <name val="Calibri"/>
      <family val="2"/>
      <scheme val="minor"/>
    </font>
    <font>
      <sz val="12"/>
      <color rgb="FF002060"/>
      <name val="Calibri"/>
      <family val="2"/>
      <scheme val="minor"/>
    </font>
    <font>
      <sz val="10"/>
      <color theme="1"/>
      <name val="Calibri"/>
      <family val="2"/>
      <scheme val="minor"/>
    </font>
    <font>
      <b/>
      <sz val="14"/>
      <color rgb="FF002060"/>
      <name val="Calibri"/>
      <family val="2"/>
      <scheme val="minor"/>
    </font>
    <font>
      <sz val="10"/>
      <color indexed="56"/>
      <name val="Calibri"/>
      <family val="2"/>
    </font>
    <font>
      <b/>
      <sz val="11"/>
      <color theme="3"/>
      <name val="Calibri"/>
      <family val="2"/>
      <scheme val="minor"/>
    </font>
    <font>
      <b/>
      <sz val="11"/>
      <color rgb="FF002060"/>
      <name val="Calibri"/>
      <family val="2"/>
      <scheme val="minor"/>
    </font>
    <font>
      <b/>
      <u/>
      <sz val="14"/>
      <color rgb="FF002060"/>
      <name val="Calibri"/>
      <family val="2"/>
      <scheme val="minor"/>
    </font>
    <font>
      <b/>
      <sz val="11"/>
      <color indexed="56"/>
      <name val="Calibri"/>
      <family val="2"/>
    </font>
    <font>
      <sz val="10"/>
      <color theme="3"/>
      <name val="Calibri"/>
      <family val="2"/>
      <scheme val="minor"/>
    </font>
    <font>
      <sz val="10"/>
      <color rgb="FF002060"/>
      <name val="Calibri"/>
      <family val="2"/>
      <scheme val="minor"/>
    </font>
    <font>
      <sz val="8"/>
      <color theme="1"/>
      <name val="Calibri"/>
      <family val="2"/>
      <scheme val="minor"/>
    </font>
    <font>
      <i/>
      <u/>
      <sz val="8"/>
      <color rgb="FF002060"/>
      <name val="Calibri"/>
      <family val="2"/>
      <scheme val="minor"/>
    </font>
    <font>
      <b/>
      <i/>
      <sz val="11"/>
      <color theme="3"/>
      <name val="Calibri"/>
      <family val="2"/>
      <scheme val="minor"/>
    </font>
    <font>
      <sz val="10"/>
      <color indexed="8"/>
      <name val="Calibri"/>
      <family val="2"/>
    </font>
    <font>
      <sz val="10"/>
      <color rgb="FFFF0000"/>
      <name val="Calibri"/>
      <family val="2"/>
      <scheme val="minor"/>
    </font>
    <font>
      <i/>
      <sz val="8"/>
      <color indexed="56"/>
      <name val="Calibri"/>
      <family val="2"/>
    </font>
    <font>
      <i/>
      <sz val="8"/>
      <color rgb="FF002060"/>
      <name val="Calibri"/>
      <family val="2"/>
      <scheme val="minor"/>
    </font>
    <font>
      <sz val="10"/>
      <color theme="3"/>
      <name val="Calibri"/>
      <family val="2"/>
    </font>
    <font>
      <sz val="8"/>
      <color rgb="FF002060"/>
      <name val="Calibri"/>
      <family val="2"/>
      <scheme val="minor"/>
    </font>
    <font>
      <b/>
      <sz val="10"/>
      <color theme="1"/>
      <name val="Calibri"/>
      <family val="2"/>
      <scheme val="minor"/>
    </font>
    <font>
      <b/>
      <sz val="10"/>
      <color rgb="FF002060"/>
      <name val="Calibri"/>
      <family val="2"/>
      <scheme val="minor"/>
    </font>
    <font>
      <sz val="11"/>
      <color indexed="9"/>
      <name val="Calibri"/>
      <family val="2"/>
    </font>
    <font>
      <u/>
      <sz val="14"/>
      <color indexed="56"/>
      <name val="Calibri"/>
      <family val="2"/>
    </font>
    <font>
      <sz val="10"/>
      <color indexed="9"/>
      <name val="Arial"/>
      <family val="2"/>
    </font>
    <font>
      <sz val="11"/>
      <color indexed="20"/>
      <name val="Calibri"/>
      <family val="2"/>
    </font>
    <font>
      <b/>
      <sz val="11"/>
      <color indexed="52"/>
      <name val="Calibri"/>
      <family val="2"/>
    </font>
    <font>
      <b/>
      <sz val="11"/>
      <color indexed="9"/>
      <name val="Calibri"/>
      <family val="2"/>
    </font>
    <font>
      <b/>
      <sz val="10"/>
      <color indexed="8"/>
      <name val="Arial"/>
      <family val="2"/>
    </font>
    <font>
      <i/>
      <sz val="11"/>
      <color indexed="23"/>
      <name val="Calibri"/>
      <family val="2"/>
    </font>
    <font>
      <sz val="11"/>
      <color indexed="17"/>
      <name val="Calibri"/>
      <family val="2"/>
    </font>
    <font>
      <b/>
      <sz val="15"/>
      <color indexed="56"/>
      <name val="Calibri"/>
      <family val="2"/>
    </font>
    <font>
      <b/>
      <sz val="13"/>
      <color indexed="62"/>
      <name val="Calibri"/>
      <family val="2"/>
    </font>
    <font>
      <u/>
      <sz val="7"/>
      <color indexed="12"/>
      <name val="Arial"/>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0"/>
      <name val="Helv"/>
      <charset val="204"/>
    </font>
    <font>
      <sz val="11"/>
      <color indexed="10"/>
      <name val="Calibri"/>
      <family val="2"/>
    </font>
    <font>
      <b/>
      <sz val="14"/>
      <color theme="1"/>
      <name val="Calibri"/>
      <family val="2"/>
      <scheme val="minor"/>
    </font>
    <font>
      <b/>
      <sz val="11"/>
      <name val="Calibri"/>
      <family val="2"/>
      <scheme val="minor"/>
    </font>
    <font>
      <sz val="11"/>
      <name val="Calibri"/>
      <family val="2"/>
      <scheme val="minor"/>
    </font>
    <font>
      <b/>
      <sz val="15"/>
      <color indexed="62"/>
      <name val="Calibri"/>
      <family val="2"/>
    </font>
    <font>
      <b/>
      <sz val="11"/>
      <color indexed="62"/>
      <name val="Calibri"/>
      <family val="2"/>
    </font>
    <font>
      <sz val="9"/>
      <name val="Arial"/>
      <family val="2"/>
    </font>
    <font>
      <sz val="12"/>
      <name val="Helv"/>
    </font>
    <font>
      <b/>
      <sz val="18"/>
      <color indexed="62"/>
      <name val="Cambria"/>
      <family val="2"/>
    </font>
    <font>
      <sz val="10"/>
      <name val="굴림"/>
      <family val="3"/>
      <charset val="129"/>
    </font>
    <font>
      <sz val="10"/>
      <color indexed="10"/>
      <name val="Arial"/>
      <family val="2"/>
    </font>
  </fonts>
  <fills count="86">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bgColor indexed="64"/>
      </patternFill>
    </fill>
    <fill>
      <patternFill patternType="solid">
        <fgColor indexed="9"/>
        <bgColor indexed="64"/>
      </patternFill>
    </fill>
    <fill>
      <patternFill patternType="solid">
        <fgColor indexed="45"/>
        <bgColor indexed="64"/>
      </patternFill>
    </fill>
    <fill>
      <patternFill patternType="solid">
        <fgColor indexed="43"/>
        <bgColor indexed="64"/>
      </patternFill>
    </fill>
    <fill>
      <patternFill patternType="solid">
        <fgColor rgb="FFFFC000"/>
        <bgColor indexed="64"/>
      </patternFill>
    </fill>
    <fill>
      <patternFill patternType="solid">
        <fgColor indexed="13"/>
        <bgColor indexed="64"/>
      </patternFill>
    </fill>
    <fill>
      <patternFill patternType="solid">
        <fgColor indexed="44"/>
        <bgColor indexed="64"/>
      </patternFill>
    </fill>
    <fill>
      <patternFill patternType="solid">
        <fgColor indexed="47"/>
        <bgColor indexed="64"/>
      </patternFill>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indexed="22"/>
        <bgColor indexed="64"/>
      </patternFill>
    </fill>
    <fill>
      <patternFill patternType="solid">
        <fgColor indexed="31"/>
        <bgColor indexed="64"/>
      </patternFill>
    </fill>
    <fill>
      <patternFill patternType="solid">
        <fgColor rgb="FFFFFF99"/>
        <bgColor indexed="64"/>
      </patternFill>
    </fill>
    <fill>
      <patternFill patternType="solid">
        <fgColor theme="2" tint="-9.9978637043366805E-2"/>
        <bgColor indexed="64"/>
      </patternFill>
    </fill>
    <fill>
      <patternFill patternType="solid">
        <fgColor indexed="49"/>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51"/>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rgb="FFFFFF66"/>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30"/>
      </patternFill>
    </fill>
    <fill>
      <patternFill patternType="solid">
        <fgColor indexed="29"/>
      </patternFill>
    </fill>
    <fill>
      <patternFill patternType="solid">
        <fgColor indexed="11"/>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45"/>
      </patternFill>
    </fill>
    <fill>
      <patternFill patternType="solid">
        <fgColor indexed="22"/>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indexed="42"/>
      </patternFill>
    </fill>
    <fill>
      <patternFill patternType="solid">
        <fgColor indexed="47"/>
      </patternFill>
    </fill>
    <fill>
      <patternFill patternType="solid">
        <fgColor indexed="43"/>
      </patternFill>
    </fill>
    <fill>
      <patternFill patternType="solid">
        <fgColor indexed="26"/>
      </patternFill>
    </fill>
    <fill>
      <patternFill patternType="solid">
        <fgColor indexed="57"/>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indexed="54"/>
      </patternFill>
    </fill>
    <fill>
      <patternFill patternType="solid">
        <fgColor indexed="46"/>
      </patternFill>
    </fill>
    <fill>
      <patternFill patternType="solid">
        <fgColor indexed="9"/>
      </patternFill>
    </fill>
    <fill>
      <patternFill patternType="solid">
        <fgColor theme="3"/>
        <bgColor indexed="64"/>
      </patternFill>
    </fill>
    <fill>
      <patternFill patternType="solid">
        <fgColor theme="6" tint="0.59999389629810485"/>
        <bgColor indexed="64"/>
      </patternFill>
    </fill>
    <fill>
      <patternFill patternType="solid">
        <fgColor indexed="60"/>
        <bgColor indexed="64"/>
      </patternFill>
    </fill>
  </fills>
  <borders count="109">
    <border>
      <left/>
      <right/>
      <top/>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medium">
        <color indexed="9"/>
      </left>
      <right/>
      <top style="medium">
        <color indexed="9"/>
      </top>
      <bottom/>
      <diagonal/>
    </border>
    <border>
      <left style="thick">
        <color indexed="9"/>
      </left>
      <right/>
      <top style="medium">
        <color indexed="9"/>
      </top>
      <bottom style="thick">
        <color indexed="9"/>
      </bottom>
      <diagonal/>
    </border>
    <border>
      <left style="thick">
        <color indexed="9"/>
      </left>
      <right style="medium">
        <color indexed="9"/>
      </right>
      <top style="medium">
        <color indexed="9"/>
      </top>
      <bottom style="thick">
        <color indexed="9"/>
      </bottom>
      <diagonal/>
    </border>
    <border>
      <left style="medium">
        <color indexed="9"/>
      </left>
      <right/>
      <top/>
      <bottom/>
      <diagonal/>
    </border>
    <border>
      <left/>
      <right style="medium">
        <color indexed="9"/>
      </right>
      <top/>
      <bottom/>
      <diagonal/>
    </border>
    <border>
      <left style="medium">
        <color indexed="9"/>
      </left>
      <right/>
      <top style="thick">
        <color indexed="9"/>
      </top>
      <bottom style="thick">
        <color indexed="9"/>
      </bottom>
      <diagonal/>
    </border>
    <border>
      <left/>
      <right style="thick">
        <color indexed="9"/>
      </right>
      <top style="thick">
        <color indexed="9"/>
      </top>
      <bottom style="thick">
        <color indexed="9"/>
      </bottom>
      <diagonal/>
    </border>
    <border>
      <left/>
      <right style="medium">
        <color indexed="9"/>
      </right>
      <top style="thick">
        <color indexed="9"/>
      </top>
      <bottom style="thick">
        <color indexed="9"/>
      </bottom>
      <diagonal/>
    </border>
    <border>
      <left style="medium">
        <color indexed="9"/>
      </left>
      <right/>
      <top style="thick">
        <color indexed="9"/>
      </top>
      <bottom style="medium">
        <color indexed="9"/>
      </bottom>
      <diagonal/>
    </border>
    <border>
      <left/>
      <right/>
      <top style="thick">
        <color indexed="9"/>
      </top>
      <bottom style="medium">
        <color indexed="9"/>
      </bottom>
      <diagonal/>
    </border>
    <border>
      <left/>
      <right style="medium">
        <color indexed="9"/>
      </right>
      <top style="thick">
        <color indexed="9"/>
      </top>
      <bottom style="medium">
        <color indexed="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9"/>
      </left>
      <right style="thick">
        <color indexed="9"/>
      </right>
      <top/>
      <bottom/>
      <diagonal/>
    </border>
    <border>
      <left style="thick">
        <color indexed="9"/>
      </left>
      <right/>
      <top style="thick">
        <color indexed="9"/>
      </top>
      <bottom style="thick">
        <color indexed="9"/>
      </bottom>
      <diagonal/>
    </border>
    <border>
      <left style="medium">
        <color indexed="64"/>
      </left>
      <right style="medium">
        <color indexed="64"/>
      </right>
      <top style="medium">
        <color indexed="64"/>
      </top>
      <bottom style="thick">
        <color indexed="9"/>
      </bottom>
      <diagonal/>
    </border>
    <border>
      <left style="medium">
        <color indexed="64"/>
      </left>
      <right style="medium">
        <color indexed="64"/>
      </right>
      <top style="thick">
        <color indexed="9"/>
      </top>
      <bottom style="thick">
        <color indexed="9"/>
      </bottom>
      <diagonal/>
    </border>
    <border>
      <left style="medium">
        <color indexed="64"/>
      </left>
      <right style="medium">
        <color indexed="64"/>
      </right>
      <top style="thick">
        <color indexed="9"/>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ck">
        <color indexed="9"/>
      </top>
      <bottom style="thick">
        <color indexed="9"/>
      </bottom>
      <diagonal/>
    </border>
    <border>
      <left style="medium">
        <color indexed="64"/>
      </left>
      <right/>
      <top style="medium">
        <color indexed="64"/>
      </top>
      <bottom style="thick">
        <color indexed="9"/>
      </bottom>
      <diagonal/>
    </border>
    <border>
      <left style="thick">
        <color indexed="9"/>
      </left>
      <right style="medium">
        <color indexed="64"/>
      </right>
      <top style="medium">
        <color indexed="64"/>
      </top>
      <bottom style="thick">
        <color indexed="9"/>
      </bottom>
      <diagonal/>
    </border>
    <border>
      <left style="thick">
        <color indexed="9"/>
      </left>
      <right/>
      <top style="medium">
        <color indexed="64"/>
      </top>
      <bottom style="thick">
        <color indexed="9"/>
      </bottom>
      <diagonal/>
    </border>
    <border>
      <left style="medium">
        <color indexed="64"/>
      </left>
      <right style="thick">
        <color indexed="9"/>
      </right>
      <top style="thick">
        <color indexed="9"/>
      </top>
      <bottom style="thick">
        <color indexed="9"/>
      </bottom>
      <diagonal/>
    </border>
    <border>
      <left style="thick">
        <color indexed="9"/>
      </left>
      <right style="medium">
        <color indexed="64"/>
      </right>
      <top style="thick">
        <color indexed="9"/>
      </top>
      <bottom style="thick">
        <color indexed="9"/>
      </bottom>
      <diagonal/>
    </border>
    <border>
      <left style="thick">
        <color indexed="9"/>
      </left>
      <right style="thick">
        <color indexed="9"/>
      </right>
      <top style="thick">
        <color indexed="9"/>
      </top>
      <bottom style="thick">
        <color indexed="9"/>
      </bottom>
      <diagonal/>
    </border>
    <border>
      <left style="medium">
        <color indexed="64"/>
      </left>
      <right style="thick">
        <color indexed="9"/>
      </right>
      <top style="thick">
        <color indexed="9"/>
      </top>
      <bottom style="medium">
        <color indexed="64"/>
      </bottom>
      <diagonal/>
    </border>
    <border>
      <left style="thick">
        <color indexed="9"/>
      </left>
      <right style="medium">
        <color indexed="64"/>
      </right>
      <top style="thick">
        <color indexed="9"/>
      </top>
      <bottom style="medium">
        <color indexed="64"/>
      </bottom>
      <diagonal/>
    </border>
    <border>
      <left style="thick">
        <color indexed="9"/>
      </left>
      <right style="thick">
        <color indexed="9"/>
      </right>
      <top style="thick">
        <color indexed="9"/>
      </top>
      <bottom style="medium">
        <color indexed="64"/>
      </bottom>
      <diagonal/>
    </border>
    <border>
      <left/>
      <right style="medium">
        <color indexed="64"/>
      </right>
      <top style="thick">
        <color indexed="9"/>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medium">
        <color indexed="64"/>
      </top>
      <bottom style="medium">
        <color indexed="64"/>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s>
  <cellStyleXfs count="511">
    <xf numFmtId="0" fontId="0" fillId="0" borderId="0">
      <alignment readingOrder="1"/>
    </xf>
    <xf numFmtId="0" fontId="3" fillId="0" borderId="0"/>
    <xf numFmtId="0" fontId="3" fillId="0" borderId="0"/>
    <xf numFmtId="0" fontId="4" fillId="0" borderId="0"/>
    <xf numFmtId="9" fontId="3" fillId="0" borderId="0" applyFont="0" applyFill="0" applyBorder="0" applyAlignment="0" applyProtection="0"/>
    <xf numFmtId="0" fontId="9" fillId="0" borderId="0" applyNumberFormat="0" applyFill="0" applyBorder="0" applyAlignment="0" applyProtection="0">
      <alignment vertical="top"/>
      <protection locked="0"/>
    </xf>
    <xf numFmtId="0" fontId="3" fillId="0" borderId="0"/>
    <xf numFmtId="0" fontId="3" fillId="0" borderId="0"/>
    <xf numFmtId="0" fontId="3" fillId="0" borderId="0"/>
    <xf numFmtId="44" fontId="3" fillId="0" borderId="0" applyFont="0" applyFill="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41"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21" borderId="0" applyNumberFormat="0" applyAlignment="0">
      <alignment horizontal="right"/>
    </xf>
    <xf numFmtId="0" fontId="3" fillId="21" borderId="0" applyNumberFormat="0" applyAlignment="0">
      <alignment horizontal="right"/>
    </xf>
    <xf numFmtId="0" fontId="3" fillId="21" borderId="0" applyNumberFormat="0" applyAlignment="0">
      <alignment horizontal="right"/>
    </xf>
    <xf numFmtId="0" fontId="3" fillId="21" borderId="0" applyNumberFormat="0" applyAlignment="0">
      <alignment horizontal="right"/>
    </xf>
    <xf numFmtId="0" fontId="3" fillId="21" borderId="0" applyNumberFormat="0" applyAlignment="0">
      <alignment horizontal="right"/>
    </xf>
    <xf numFmtId="0" fontId="3" fillId="21" borderId="0" applyNumberFormat="0" applyAlignment="0">
      <alignment horizontal="right"/>
    </xf>
    <xf numFmtId="0" fontId="3" fillId="21" borderId="0" applyNumberFormat="0" applyAlignment="0">
      <alignment horizontal="right"/>
    </xf>
    <xf numFmtId="0" fontId="3" fillId="22" borderId="0" applyNumberFormat="0" applyAlignment="0"/>
    <xf numFmtId="0" fontId="3" fillId="22" borderId="0" applyNumberFormat="0" applyAlignment="0"/>
    <xf numFmtId="0" fontId="3" fillId="22" borderId="0" applyNumberFormat="0" applyAlignment="0"/>
    <xf numFmtId="0" fontId="3" fillId="22" borderId="0" applyNumberFormat="0" applyAlignment="0"/>
    <xf numFmtId="0" fontId="3" fillId="22" borderId="0" applyNumberFormat="0" applyAlignment="0"/>
    <xf numFmtId="167" fontId="20" fillId="0" borderId="0"/>
    <xf numFmtId="0" fontId="21" fillId="0" borderId="0">
      <alignment horizontal="center" wrapText="1"/>
    </xf>
    <xf numFmtId="0" fontId="22" fillId="0" borderId="1" applyNumberFormat="0" applyFill="0" applyAlignment="0" applyProtection="0"/>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0" borderId="0" applyNumberFormat="0" applyFill="0" applyBorder="0" applyProtection="0">
      <alignment horizontal="left"/>
    </xf>
    <xf numFmtId="0" fontId="26"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3" fillId="0" borderId="0">
      <alignment readingOrder="1"/>
    </xf>
    <xf numFmtId="0" fontId="3" fillId="0" borderId="0"/>
    <xf numFmtId="0" fontId="3" fillId="0" borderId="0"/>
    <xf numFmtId="0" fontId="2" fillId="0" borderId="0"/>
    <xf numFmtId="0" fontId="3" fillId="0" borderId="0"/>
    <xf numFmtId="0" fontId="3" fillId="0" borderId="0">
      <alignment readingOrder="1"/>
    </xf>
    <xf numFmtId="0" fontId="4" fillId="0" borderId="0"/>
    <xf numFmtId="0" fontId="3" fillId="0" borderId="0">
      <alignment readingOrder="1"/>
    </xf>
    <xf numFmtId="0" fontId="4" fillId="0" borderId="0"/>
    <xf numFmtId="0" fontId="3" fillId="0" borderId="0"/>
    <xf numFmtId="0" fontId="3" fillId="0" borderId="0"/>
    <xf numFmtId="0" fontId="3" fillId="0" borderId="0"/>
    <xf numFmtId="0" fontId="3" fillId="0" borderId="0"/>
    <xf numFmtId="0" fontId="3" fillId="0" borderId="0">
      <alignment readingOrder="1"/>
    </xf>
    <xf numFmtId="0" fontId="3" fillId="0" borderId="0"/>
    <xf numFmtId="0" fontId="3" fillId="0" borderId="0"/>
    <xf numFmtId="0" fontId="3" fillId="0" borderId="0"/>
    <xf numFmtId="0" fontId="11" fillId="0" borderId="0"/>
    <xf numFmtId="0" fontId="11" fillId="0" borderId="0"/>
    <xf numFmtId="0" fontId="11" fillId="0" borderId="0"/>
    <xf numFmtId="0" fontId="11" fillId="0" borderId="0"/>
    <xf numFmtId="0" fontId="3" fillId="0" borderId="0">
      <alignment readingOrder="1"/>
    </xf>
    <xf numFmtId="0" fontId="3" fillId="0" borderId="0">
      <alignment readingOrder="1"/>
    </xf>
    <xf numFmtId="0" fontId="3" fillId="0" borderId="0">
      <alignment readingOrder="1"/>
    </xf>
    <xf numFmtId="0" fontId="11"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alignment readingOrder="1"/>
    </xf>
    <xf numFmtId="0" fontId="3" fillId="0" borderId="0"/>
    <xf numFmtId="0" fontId="3" fillId="0" borderId="0"/>
    <xf numFmtId="0" fontId="3" fillId="0" borderId="0"/>
    <xf numFmtId="0" fontId="4" fillId="0" borderId="0"/>
    <xf numFmtId="0" fontId="11" fillId="0" borderId="0"/>
    <xf numFmtId="0" fontId="11" fillId="0" borderId="0"/>
    <xf numFmtId="0" fontId="19" fillId="0" borderId="0"/>
    <xf numFmtId="0" fontId="4" fillId="0" borderId="0"/>
    <xf numFmtId="0" fontId="11" fillId="0" borderId="0"/>
    <xf numFmtId="0" fontId="11"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2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alignment readingOrder="1"/>
    </xf>
    <xf numFmtId="0" fontId="3" fillId="0" borderId="0">
      <alignment readingOrder="1"/>
    </xf>
    <xf numFmtId="0" fontId="3" fillId="0" borderId="0">
      <alignment readingOrder="1"/>
    </xf>
    <xf numFmtId="0" fontId="3" fillId="0" borderId="0"/>
    <xf numFmtId="0" fontId="28" fillId="0" borderId="0"/>
    <xf numFmtId="0" fontId="3" fillId="0" borderId="0"/>
    <xf numFmtId="0" fontId="4" fillId="2" borderId="2" applyNumberFormat="0" applyFont="0" applyAlignment="0" applyProtection="0"/>
    <xf numFmtId="0" fontId="4" fillId="2" borderId="2" applyNumberFormat="0" applyFont="0" applyAlignment="0" applyProtection="0"/>
    <xf numFmtId="0" fontId="4" fillId="2" borderId="2" applyNumberFormat="0" applyFont="0" applyAlignment="0" applyProtection="0"/>
    <xf numFmtId="0" fontId="4" fillId="2" borderId="2" applyNumberFormat="0" applyFont="0" applyAlignment="0" applyProtection="0"/>
    <xf numFmtId="0" fontId="4" fillId="2" borderId="2" applyNumberFormat="0" applyFont="0" applyAlignment="0" applyProtection="0"/>
    <xf numFmtId="0" fontId="4" fillId="2" borderId="2" applyNumberFormat="0" applyFont="0" applyAlignment="0" applyProtection="0"/>
    <xf numFmtId="0" fontId="4" fillId="2" borderId="2" applyNumberFormat="0" applyFont="0" applyAlignment="0" applyProtection="0"/>
    <xf numFmtId="0" fontId="4" fillId="2" borderId="2" applyNumberFormat="0" applyFont="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9" fillId="0" borderId="0"/>
    <xf numFmtId="0" fontId="3" fillId="0" borderId="0"/>
    <xf numFmtId="0" fontId="3" fillId="0" borderId="0"/>
    <xf numFmtId="0" fontId="70" fillId="41" borderId="0" applyNumberFormat="0" applyBorder="0" applyAlignment="0" applyProtection="0"/>
    <xf numFmtId="0" fontId="70" fillId="42" borderId="0" applyNumberFormat="0" applyBorder="0" applyAlignment="0" applyProtection="0"/>
    <xf numFmtId="0" fontId="70" fillId="43" borderId="0" applyNumberFormat="0" applyBorder="0" applyAlignment="0" applyProtection="0"/>
    <xf numFmtId="0" fontId="70" fillId="44" borderId="0" applyNumberFormat="0" applyBorder="0" applyAlignment="0" applyProtection="0"/>
    <xf numFmtId="0" fontId="70" fillId="45" borderId="0" applyNumberFormat="0" applyBorder="0" applyAlignment="0" applyProtection="0"/>
    <xf numFmtId="0" fontId="70" fillId="46" borderId="0" applyNumberFormat="0" applyBorder="0" applyAlignment="0" applyProtection="0"/>
    <xf numFmtId="0" fontId="37" fillId="47" borderId="0" applyNumberFormat="0" applyBorder="0" applyAlignment="0" applyProtection="0"/>
    <xf numFmtId="0" fontId="37" fillId="48" borderId="0" applyNumberFormat="0" applyBorder="0" applyAlignment="0" applyProtection="0"/>
    <xf numFmtId="0" fontId="72" fillId="49" borderId="0" applyNumberFormat="0" applyBorder="0" applyAlignment="0" applyProtection="0"/>
    <xf numFmtId="0" fontId="70" fillId="50" borderId="0" applyNumberFormat="0" applyBorder="0" applyAlignment="0" applyProtection="0"/>
    <xf numFmtId="0" fontId="37" fillId="51" borderId="0" applyNumberFormat="0" applyBorder="0" applyAlignment="0" applyProtection="0"/>
    <xf numFmtId="0" fontId="37" fillId="52" borderId="0" applyNumberFormat="0" applyBorder="0" applyAlignment="0" applyProtection="0"/>
    <xf numFmtId="0" fontId="72" fillId="52" borderId="0" applyNumberFormat="0" applyBorder="0" applyAlignment="0" applyProtection="0"/>
    <xf numFmtId="0" fontId="70" fillId="53" borderId="0" applyNumberFormat="0" applyBorder="0" applyAlignment="0" applyProtection="0"/>
    <xf numFmtId="0" fontId="37" fillId="54" borderId="0" applyNumberFormat="0" applyBorder="0" applyAlignment="0" applyProtection="0"/>
    <xf numFmtId="0" fontId="37" fillId="55" borderId="0" applyNumberFormat="0" applyBorder="0" applyAlignment="0" applyProtection="0"/>
    <xf numFmtId="0" fontId="72" fillId="55" borderId="0" applyNumberFormat="0" applyBorder="0" applyAlignment="0" applyProtection="0"/>
    <xf numFmtId="0" fontId="70" fillId="56"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72" fillId="58" borderId="0" applyNumberFormat="0" applyBorder="0" applyAlignment="0" applyProtection="0"/>
    <xf numFmtId="0" fontId="70" fillId="44" borderId="0" applyNumberFormat="0" applyBorder="0" applyAlignment="0" applyProtection="0"/>
    <xf numFmtId="0" fontId="37" fillId="59" borderId="0" applyNumberFormat="0" applyBorder="0" applyAlignment="0" applyProtection="0"/>
    <xf numFmtId="0" fontId="37" fillId="48" borderId="0" applyNumberFormat="0" applyBorder="0" applyAlignment="0" applyProtection="0"/>
    <xf numFmtId="0" fontId="72" fillId="60" borderId="0" applyNumberFormat="0" applyBorder="0" applyAlignment="0" applyProtection="0"/>
    <xf numFmtId="0" fontId="70" fillId="45" borderId="0" applyNumberFormat="0" applyBorder="0" applyAlignment="0" applyProtection="0"/>
    <xf numFmtId="0" fontId="37" fillId="61" borderId="0" applyNumberFormat="0" applyBorder="0" applyAlignment="0" applyProtection="0"/>
    <xf numFmtId="0" fontId="37" fillId="62" borderId="0" applyNumberFormat="0" applyBorder="0" applyAlignment="0" applyProtection="0"/>
    <xf numFmtId="0" fontId="72" fillId="63" borderId="0" applyNumberFormat="0" applyBorder="0" applyAlignment="0" applyProtection="0"/>
    <xf numFmtId="0" fontId="70" fillId="64" borderId="0" applyNumberFormat="0" applyBorder="0" applyAlignment="0" applyProtection="0"/>
    <xf numFmtId="0" fontId="73" fillId="65" borderId="0" applyNumberFormat="0" applyBorder="0" applyAlignment="0" applyProtection="0"/>
    <xf numFmtId="0" fontId="74" fillId="66" borderId="96" applyNumberFormat="0" applyAlignment="0" applyProtection="0"/>
    <xf numFmtId="0" fontId="75" fillId="67" borderId="97"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76" fillId="68" borderId="0" applyNumberFormat="0" applyBorder="0" applyAlignment="0" applyProtection="0"/>
    <xf numFmtId="0" fontId="76" fillId="69" borderId="0" applyNumberFormat="0" applyBorder="0" applyAlignment="0" applyProtection="0"/>
    <xf numFmtId="0" fontId="76" fillId="70" borderId="0" applyNumberFormat="0" applyBorder="0" applyAlignment="0" applyProtection="0"/>
    <xf numFmtId="0" fontId="77" fillId="0" borderId="0" applyNumberFormat="0" applyFill="0" applyBorder="0" applyAlignment="0" applyProtection="0"/>
    <xf numFmtId="0" fontId="78" fillId="71" borderId="0" applyNumberFormat="0" applyBorder="0" applyAlignment="0" applyProtection="0"/>
    <xf numFmtId="0" fontId="79" fillId="0" borderId="98" applyNumberFormat="0" applyFill="0" applyAlignment="0" applyProtection="0"/>
    <xf numFmtId="0" fontId="80" fillId="0" borderId="99" applyNumberFormat="0" applyFill="0" applyAlignment="0" applyProtection="0"/>
    <xf numFmtId="0" fontId="56" fillId="0" borderId="100" applyNumberFormat="0" applyFill="0" applyAlignment="0" applyProtection="0"/>
    <xf numFmtId="0" fontId="56" fillId="0" borderId="0" applyNumberFormat="0" applyFill="0" applyBorder="0" applyAlignment="0" applyProtection="0"/>
    <xf numFmtId="0" fontId="81"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3" fillId="72" borderId="96" applyNumberFormat="0" applyAlignment="0" applyProtection="0"/>
    <xf numFmtId="0" fontId="84" fillId="0" borderId="101" applyNumberFormat="0" applyFill="0" applyAlignment="0" applyProtection="0"/>
    <xf numFmtId="0" fontId="85" fillId="73" borderId="0" applyNumberFormat="0" applyBorder="0" applyAlignment="0" applyProtection="0"/>
    <xf numFmtId="0" fontId="3" fillId="0" borderId="0">
      <alignment readingOrder="1"/>
    </xf>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3" fillId="0" borderId="0"/>
    <xf numFmtId="0" fontId="4" fillId="0" borderId="0"/>
    <xf numFmtId="0" fontId="3" fillId="0" borderId="0">
      <alignment readingOrder="1"/>
    </xf>
    <xf numFmtId="0" fontId="4" fillId="0" borderId="0"/>
    <xf numFmtId="0" fontId="4" fillId="0" borderId="0"/>
    <xf numFmtId="0" fontId="3" fillId="0" borderId="0">
      <alignment readingOrder="1"/>
    </xf>
    <xf numFmtId="0" fontId="4" fillId="0" borderId="0"/>
    <xf numFmtId="0" fontId="4" fillId="0" borderId="0"/>
    <xf numFmtId="0" fontId="4" fillId="0" borderId="0"/>
    <xf numFmtId="0" fontId="3" fillId="0" borderId="0">
      <alignment readingOrder="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1" fillId="0" borderId="0"/>
    <xf numFmtId="0" fontId="3" fillId="0" borderId="0" applyNumberFormat="0" applyFill="0" applyBorder="0" applyAlignment="0" applyProtection="0"/>
    <xf numFmtId="0" fontId="4" fillId="0" borderId="0"/>
    <xf numFmtId="0" fontId="4" fillId="0" borderId="0"/>
    <xf numFmtId="0" fontId="19" fillId="0" borderId="0"/>
    <xf numFmtId="0" fontId="4" fillId="0" borderId="0"/>
    <xf numFmtId="0" fontId="3" fillId="0" borderId="0">
      <alignment readingOrder="1"/>
    </xf>
    <xf numFmtId="0" fontId="4" fillId="0" borderId="0"/>
    <xf numFmtId="0" fontId="4" fillId="0" borderId="0"/>
    <xf numFmtId="0" fontId="11" fillId="74" borderId="102" applyNumberFormat="0" applyFont="0" applyAlignment="0" applyProtection="0"/>
    <xf numFmtId="0" fontId="86" fillId="66" borderId="103" applyNumberFormat="0" applyAlignment="0" applyProtection="0"/>
    <xf numFmtId="9" fontId="3" fillId="0" borderId="0" applyFont="0" applyFill="0" applyBorder="0" applyAlignment="0" applyProtection="0"/>
    <xf numFmtId="0" fontId="87" fillId="0" borderId="0" applyNumberFormat="0" applyFill="0" applyBorder="0" applyAlignment="0" applyProtection="0"/>
    <xf numFmtId="0" fontId="88" fillId="0" borderId="0"/>
    <xf numFmtId="0" fontId="87" fillId="0" borderId="0" applyNumberFormat="0" applyFill="0" applyBorder="0" applyAlignment="0" applyProtection="0"/>
    <xf numFmtId="0" fontId="6" fillId="0" borderId="104" applyNumberFormat="0" applyFill="0" applyAlignment="0" applyProtection="0"/>
    <xf numFmtId="0" fontId="89" fillId="0" borderId="0" applyNumberFormat="0" applyFill="0" applyBorder="0" applyAlignment="0" applyProtection="0"/>
    <xf numFmtId="9" fontId="3" fillId="0" borderId="0" applyFont="0" applyFill="0" applyBorder="0" applyAlignment="0" applyProtection="0"/>
    <xf numFmtId="0" fontId="3" fillId="0" borderId="0">
      <alignment readingOrder="1"/>
    </xf>
    <xf numFmtId="0" fontId="70" fillId="45" borderId="0" applyNumberFormat="0" applyBorder="0" applyAlignment="0" applyProtection="0"/>
    <xf numFmtId="0" fontId="70" fillId="45" borderId="0" applyNumberFormat="0" applyBorder="0" applyAlignment="0" applyProtection="0"/>
    <xf numFmtId="0" fontId="70" fillId="65" borderId="0" applyNumberFormat="0" applyBorder="0" applyAlignment="0" applyProtection="0"/>
    <xf numFmtId="0" fontId="70" fillId="42" borderId="0" applyNumberFormat="0" applyBorder="0" applyAlignment="0" applyProtection="0"/>
    <xf numFmtId="0" fontId="70" fillId="65" borderId="0" applyNumberFormat="0" applyBorder="0" applyAlignment="0" applyProtection="0"/>
    <xf numFmtId="0" fontId="70" fillId="73" borderId="0" applyNumberFormat="0" applyBorder="0" applyAlignment="0" applyProtection="0"/>
    <xf numFmtId="0" fontId="70" fillId="66" borderId="0" applyNumberFormat="0" applyBorder="0" applyAlignment="0" applyProtection="0"/>
    <xf numFmtId="0" fontId="70" fillId="66" borderId="0" applyNumberFormat="0" applyBorder="0" applyAlignment="0" applyProtection="0"/>
    <xf numFmtId="0" fontId="70" fillId="45" borderId="0" applyNumberFormat="0" applyBorder="0" applyAlignment="0" applyProtection="0"/>
    <xf numFmtId="0" fontId="70" fillId="72" borderId="0" applyNumberFormat="0" applyBorder="0" applyAlignment="0" applyProtection="0"/>
    <xf numFmtId="0" fontId="70" fillId="72" borderId="0" applyNumberFormat="0" applyBorder="0" applyAlignment="0" applyProtection="0"/>
    <xf numFmtId="0" fontId="70" fillId="45" borderId="0" applyNumberFormat="0" applyBorder="0" applyAlignment="0" applyProtection="0"/>
    <xf numFmtId="0" fontId="70" fillId="45" borderId="0" applyNumberFormat="0" applyBorder="0" applyAlignment="0" applyProtection="0"/>
    <xf numFmtId="0" fontId="70" fillId="53" borderId="0" applyNumberFormat="0" applyBorder="0" applyAlignment="0" applyProtection="0"/>
    <xf numFmtId="0" fontId="70" fillId="65" borderId="0" applyNumberFormat="0" applyBorder="0" applyAlignment="0" applyProtection="0"/>
    <xf numFmtId="0" fontId="70" fillId="56" borderId="0" applyNumberFormat="0" applyBorder="0" applyAlignment="0" applyProtection="0"/>
    <xf numFmtId="0" fontId="70" fillId="80" borderId="0" applyNumberFormat="0" applyBorder="0" applyAlignment="0" applyProtection="0"/>
    <xf numFmtId="0" fontId="70" fillId="80" borderId="0" applyNumberFormat="0" applyBorder="0" applyAlignment="0" applyProtection="0"/>
    <xf numFmtId="0" fontId="70" fillId="45" borderId="0" applyNumberFormat="0" applyBorder="0" applyAlignment="0" applyProtection="0"/>
    <xf numFmtId="0" fontId="70" fillId="64" borderId="0" applyNumberFormat="0" applyBorder="0" applyAlignment="0" applyProtection="0"/>
    <xf numFmtId="0" fontId="73" fillId="81" borderId="0" applyNumberFormat="0" applyBorder="0" applyAlignment="0" applyProtection="0"/>
    <xf numFmtId="0" fontId="73" fillId="65" borderId="0" applyNumberFormat="0" applyBorder="0" applyAlignment="0" applyProtection="0"/>
    <xf numFmtId="0" fontId="74" fillId="82" borderId="96" applyNumberFormat="0" applyAlignment="0" applyProtection="0"/>
    <xf numFmtId="0" fontId="74" fillId="82" borderId="96" applyNumberFormat="0" applyAlignment="0" applyProtection="0"/>
    <xf numFmtId="0" fontId="75" fillId="67" borderId="97" applyNumberFormat="0" applyAlignment="0" applyProtection="0"/>
    <xf numFmtId="0" fontId="77" fillId="0" borderId="0" applyNumberFormat="0" applyFill="0" applyBorder="0" applyAlignment="0" applyProtection="0"/>
    <xf numFmtId="0" fontId="78" fillId="71" borderId="0" applyNumberFormat="0" applyBorder="0" applyAlignment="0" applyProtection="0"/>
    <xf numFmtId="0" fontId="93" fillId="0" borderId="106" applyNumberFormat="0" applyFill="0" applyAlignment="0" applyProtection="0"/>
    <xf numFmtId="0" fontId="93" fillId="0" borderId="106" applyNumberFormat="0" applyFill="0" applyAlignment="0" applyProtection="0"/>
    <xf numFmtId="0" fontId="94" fillId="0" borderId="107" applyNumberFormat="0" applyFill="0" applyAlignment="0" applyProtection="0"/>
    <xf numFmtId="0" fontId="94" fillId="0" borderId="107"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83" fillId="72" borderId="96" applyNumberFormat="0" applyAlignment="0" applyProtection="0"/>
    <xf numFmtId="0" fontId="84" fillId="0" borderId="101" applyNumberFormat="0" applyFill="0" applyAlignment="0" applyProtection="0"/>
    <xf numFmtId="0" fontId="85" fillId="73" borderId="0" applyNumberFormat="0" applyBorder="0" applyAlignment="0" applyProtection="0"/>
    <xf numFmtId="0" fontId="4" fillId="0" borderId="0"/>
    <xf numFmtId="0" fontId="95" fillId="0" borderId="0"/>
    <xf numFmtId="0" fontId="96" fillId="0" borderId="0"/>
    <xf numFmtId="0" fontId="96" fillId="0" borderId="0"/>
    <xf numFmtId="0" fontId="96" fillId="0" borderId="0"/>
    <xf numFmtId="0" fontId="3" fillId="0" borderId="0"/>
    <xf numFmtId="0" fontId="3" fillId="0" borderId="0"/>
    <xf numFmtId="0" fontId="3"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4" fillId="0" borderId="0"/>
    <xf numFmtId="0" fontId="4" fillId="0" borderId="0"/>
    <xf numFmtId="0" fontId="4"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3" fillId="0" borderId="0"/>
    <xf numFmtId="0" fontId="4" fillId="0" borderId="0"/>
    <xf numFmtId="0" fontId="4" fillId="0" borderId="0"/>
    <xf numFmtId="0" fontId="3" fillId="0" borderId="0"/>
    <xf numFmtId="0" fontId="4" fillId="0" borderId="0"/>
    <xf numFmtId="0" fontId="86" fillId="82" borderId="103" applyNumberFormat="0" applyAlignment="0" applyProtection="0"/>
    <xf numFmtId="0" fontId="86" fillId="82" borderId="103" applyNumberFormat="0" applyAlignment="0" applyProtection="0"/>
    <xf numFmtId="9" fontId="4" fillId="0" borderId="0" applyFont="0" applyFill="0" applyBorder="0" applyAlignment="0" applyProtection="0"/>
    <xf numFmtId="176" fontId="3" fillId="0" borderId="0" applyFill="0" applyBorder="0" applyAlignment="0" applyProtection="0">
      <alignment wrapText="1"/>
    </xf>
    <xf numFmtId="0" fontId="97" fillId="0" borderId="0" applyNumberFormat="0" applyFill="0" applyBorder="0" applyAlignment="0" applyProtection="0"/>
    <xf numFmtId="0" fontId="97" fillId="0" borderId="0" applyNumberFormat="0" applyFill="0" applyBorder="0" applyAlignment="0" applyProtection="0"/>
    <xf numFmtId="0" fontId="6" fillId="0" borderId="108" applyNumberFormat="0" applyFill="0" applyAlignment="0" applyProtection="0"/>
    <xf numFmtId="0" fontId="86" fillId="0" borderId="108" applyNumberFormat="0" applyFill="0" applyAlignment="0" applyProtection="0"/>
    <xf numFmtId="0" fontId="89" fillId="0" borderId="0" applyNumberFormat="0" applyFill="0" applyBorder="0" applyAlignment="0" applyProtection="0"/>
    <xf numFmtId="0" fontId="98" fillId="0" borderId="0">
      <alignment vertical="center"/>
    </xf>
    <xf numFmtId="43" fontId="3" fillId="0" borderId="0" applyFont="0" applyFill="0" applyBorder="0" applyAlignment="0" applyProtection="0"/>
  </cellStyleXfs>
  <cellXfs count="690">
    <xf numFmtId="0" fontId="0" fillId="0" borderId="0" xfId="0"/>
    <xf numFmtId="0" fontId="3" fillId="15" borderId="0" xfId="1" applyFill="1"/>
    <xf numFmtId="0" fontId="0" fillId="15" borderId="0" xfId="0" applyFill="1">
      <alignment readingOrder="1"/>
    </xf>
    <xf numFmtId="0" fontId="3" fillId="16" borderId="3" xfId="2" applyFill="1" applyBorder="1"/>
    <xf numFmtId="0" fontId="5" fillId="17" borderId="4" xfId="3" applyFont="1" applyFill="1" applyBorder="1" applyAlignment="1">
      <alignment horizontal="center" vertical="center"/>
    </xf>
    <xf numFmtId="0" fontId="5" fillId="17" borderId="5" xfId="3" applyFont="1" applyFill="1" applyBorder="1" applyAlignment="1">
      <alignment horizontal="center" vertical="center"/>
    </xf>
    <xf numFmtId="0" fontId="3" fillId="15" borderId="0" xfId="2" applyFill="1"/>
    <xf numFmtId="0" fontId="6" fillId="18" borderId="6" xfId="3" applyFont="1" applyFill="1" applyBorder="1"/>
    <xf numFmtId="0" fontId="4" fillId="18" borderId="0" xfId="3" applyFill="1" applyBorder="1"/>
    <xf numFmtId="0" fontId="4" fillId="18" borderId="7" xfId="3" applyFill="1" applyBorder="1"/>
    <xf numFmtId="0" fontId="5" fillId="17" borderId="8" xfId="3" applyFont="1" applyFill="1" applyBorder="1" applyAlignment="1">
      <alignment horizontal="left" vertical="center"/>
    </xf>
    <xf numFmtId="164" fontId="7" fillId="16" borderId="9" xfId="4" applyNumberFormat="1" applyFont="1" applyFill="1" applyBorder="1" applyAlignment="1">
      <alignment horizontal="center"/>
    </xf>
    <xf numFmtId="3" fontId="8" fillId="16" borderId="9" xfId="4" applyNumberFormat="1" applyFont="1" applyFill="1" applyBorder="1" applyAlignment="1">
      <alignment horizontal="center"/>
    </xf>
    <xf numFmtId="4" fontId="8" fillId="16" borderId="10" xfId="4" applyNumberFormat="1" applyFont="1" applyFill="1" applyBorder="1" applyAlignment="1">
      <alignment horizontal="center"/>
    </xf>
    <xf numFmtId="4" fontId="8" fillId="16" borderId="10" xfId="4" applyNumberFormat="1" applyFont="1" applyFill="1" applyBorder="1" applyAlignment="1">
      <alignment horizontal="left"/>
    </xf>
    <xf numFmtId="4" fontId="9" fillId="16" borderId="10" xfId="5" applyNumberFormat="1" applyFill="1" applyBorder="1" applyAlignment="1" applyProtection="1">
      <alignment horizontal="left"/>
    </xf>
    <xf numFmtId="0" fontId="3" fillId="15" borderId="0" xfId="2" applyFill="1" applyAlignment="1">
      <alignment vertical="center"/>
    </xf>
    <xf numFmtId="0" fontId="4" fillId="15" borderId="0" xfId="3" applyFill="1" applyAlignment="1">
      <alignment vertical="center"/>
    </xf>
    <xf numFmtId="0" fontId="4" fillId="18" borderId="7" xfId="3" applyFill="1" applyBorder="1" applyAlignment="1">
      <alignment horizontal="left"/>
    </xf>
    <xf numFmtId="4" fontId="7" fillId="16" borderId="9" xfId="4" applyNumberFormat="1" applyFont="1" applyFill="1" applyBorder="1" applyAlignment="1">
      <alignment horizontal="center"/>
    </xf>
    <xf numFmtId="4" fontId="8" fillId="16" borderId="0" xfId="4" applyNumberFormat="1" applyFont="1" applyFill="1" applyBorder="1" applyAlignment="1">
      <alignment horizontal="left"/>
    </xf>
    <xf numFmtId="0" fontId="4" fillId="15" borderId="0" xfId="3" applyFill="1" applyBorder="1" applyAlignment="1">
      <alignment horizontal="center" wrapText="1"/>
    </xf>
    <xf numFmtId="0" fontId="6" fillId="16" borderId="0" xfId="3" applyFont="1" applyFill="1" applyBorder="1"/>
    <xf numFmtId="0" fontId="11" fillId="16" borderId="0" xfId="3" applyFont="1" applyFill="1" applyBorder="1"/>
    <xf numFmtId="0" fontId="11" fillId="15" borderId="0" xfId="3" applyFont="1" applyFill="1" applyBorder="1"/>
    <xf numFmtId="0" fontId="12" fillId="15" borderId="0" xfId="6" applyFont="1" applyFill="1"/>
    <xf numFmtId="0" fontId="13" fillId="15" borderId="0" xfId="7" applyFont="1" applyFill="1" applyAlignment="1">
      <alignment horizontal="center"/>
    </xf>
    <xf numFmtId="0" fontId="13" fillId="15" borderId="0" xfId="7" applyFont="1" applyFill="1"/>
    <xf numFmtId="0" fontId="13" fillId="18" borderId="0" xfId="7" applyFont="1" applyFill="1"/>
    <xf numFmtId="0" fontId="12" fillId="18" borderId="0" xfId="7" applyFont="1" applyFill="1"/>
    <xf numFmtId="0" fontId="3" fillId="15" borderId="0" xfId="6" applyFill="1"/>
    <xf numFmtId="0" fontId="12" fillId="15" borderId="0" xfId="7" applyFont="1" applyFill="1"/>
    <xf numFmtId="1" fontId="12" fillId="15" borderId="0" xfId="7" applyNumberFormat="1" applyFont="1" applyFill="1" applyAlignment="1">
      <alignment horizontal="center"/>
    </xf>
    <xf numFmtId="2" fontId="12" fillId="15" borderId="0" xfId="7" applyNumberFormat="1" applyFont="1" applyFill="1" applyAlignment="1">
      <alignment horizontal="center"/>
    </xf>
    <xf numFmtId="0" fontId="0" fillId="0" borderId="0" xfId="0">
      <alignment readingOrder="1"/>
    </xf>
    <xf numFmtId="0" fontId="3" fillId="15" borderId="0" xfId="6" applyFont="1" applyFill="1"/>
    <xf numFmtId="0" fontId="14" fillId="15" borderId="14" xfId="6" applyFont="1" applyFill="1" applyBorder="1" applyAlignment="1"/>
    <xf numFmtId="1" fontId="13" fillId="15" borderId="14" xfId="7" applyNumberFormat="1" applyFont="1" applyFill="1" applyBorder="1" applyAlignment="1">
      <alignment horizontal="center"/>
    </xf>
    <xf numFmtId="0" fontId="14" fillId="15" borderId="14" xfId="1" applyFont="1" applyFill="1" applyBorder="1" applyAlignment="1"/>
    <xf numFmtId="2" fontId="3" fillId="15" borderId="14" xfId="1" applyNumberFormat="1" applyFont="1" applyFill="1" applyBorder="1" applyAlignment="1">
      <alignment horizontal="center" vertical="center"/>
    </xf>
    <xf numFmtId="1" fontId="12" fillId="15" borderId="14" xfId="7" applyNumberFormat="1" applyFont="1" applyFill="1" applyBorder="1" applyAlignment="1">
      <alignment horizontal="left"/>
    </xf>
    <xf numFmtId="0" fontId="15" fillId="15" borderId="14" xfId="3" applyFont="1" applyFill="1" applyBorder="1" applyAlignment="1">
      <alignment horizontal="left" vertical="top"/>
    </xf>
    <xf numFmtId="0" fontId="4" fillId="15" borderId="14" xfId="3" applyFont="1" applyFill="1" applyBorder="1" applyAlignment="1">
      <alignment horizontal="center" vertical="center"/>
    </xf>
    <xf numFmtId="0" fontId="3" fillId="15" borderId="14" xfId="0" applyFont="1" applyFill="1" applyBorder="1" applyAlignment="1"/>
    <xf numFmtId="0" fontId="14" fillId="15" borderId="14" xfId="0" applyFont="1" applyFill="1" applyBorder="1" applyAlignment="1"/>
    <xf numFmtId="0" fontId="4" fillId="15" borderId="14" xfId="3" applyFill="1" applyBorder="1" applyAlignment="1"/>
    <xf numFmtId="0" fontId="4" fillId="15" borderId="0" xfId="3" applyFill="1" applyBorder="1"/>
    <xf numFmtId="0" fontId="3" fillId="15" borderId="0" xfId="1" applyFill="1" applyBorder="1"/>
    <xf numFmtId="0" fontId="11" fillId="15" borderId="0" xfId="8" applyFont="1" applyFill="1" applyBorder="1" applyAlignment="1">
      <alignment horizontal="right"/>
    </xf>
    <xf numFmtId="0" fontId="12" fillId="15" borderId="15" xfId="3" applyFont="1" applyFill="1" applyBorder="1" applyProtection="1"/>
    <xf numFmtId="0" fontId="12" fillId="15" borderId="0" xfId="7" applyFont="1" applyFill="1" applyAlignment="1">
      <alignment horizontal="right"/>
    </xf>
    <xf numFmtId="0" fontId="12" fillId="15" borderId="0" xfId="7" applyFont="1" applyFill="1" applyAlignment="1">
      <alignment horizontal="center"/>
    </xf>
    <xf numFmtId="0" fontId="6" fillId="15" borderId="0" xfId="3" applyFont="1" applyFill="1" applyBorder="1"/>
    <xf numFmtId="0" fontId="12" fillId="0" borderId="0" xfId="7" applyFont="1"/>
    <xf numFmtId="44" fontId="13" fillId="15" borderId="0" xfId="9" applyFont="1" applyFill="1" applyBorder="1" applyAlignment="1">
      <alignment horizontal="left"/>
    </xf>
    <xf numFmtId="0" fontId="12" fillId="15" borderId="0" xfId="7" applyFont="1" applyFill="1" applyBorder="1"/>
    <xf numFmtId="8" fontId="11" fillId="15" borderId="0" xfId="8" applyNumberFormat="1" applyFont="1" applyFill="1" applyBorder="1" applyAlignment="1">
      <alignment horizontal="right"/>
    </xf>
    <xf numFmtId="0" fontId="11" fillId="15" borderId="0" xfId="8" applyFont="1" applyFill="1" applyBorder="1" applyAlignment="1"/>
    <xf numFmtId="165" fontId="12" fillId="15" borderId="0" xfId="7" applyNumberFormat="1" applyFont="1" applyFill="1"/>
    <xf numFmtId="0" fontId="13" fillId="0" borderId="0" xfId="7" applyFont="1"/>
    <xf numFmtId="0" fontId="3" fillId="0" borderId="0" xfId="6"/>
    <xf numFmtId="0" fontId="12" fillId="19" borderId="0" xfId="7" applyFont="1" applyFill="1"/>
    <xf numFmtId="0" fontId="12" fillId="19" borderId="0" xfId="7" applyFont="1" applyFill="1" applyAlignment="1">
      <alignment horizontal="center"/>
    </xf>
    <xf numFmtId="0" fontId="13" fillId="0" borderId="0" xfId="7" applyFont="1" applyFill="1" applyBorder="1" applyAlignment="1">
      <alignment horizontal="left"/>
    </xf>
    <xf numFmtId="0" fontId="12" fillId="0" borderId="0" xfId="7" applyFont="1" applyAlignment="1">
      <alignment horizontal="centerContinuous"/>
    </xf>
    <xf numFmtId="9" fontId="12" fillId="0" borderId="0" xfId="4" applyFont="1" applyBorder="1"/>
    <xf numFmtId="0" fontId="12" fillId="0" borderId="0" xfId="7" applyFont="1" applyFill="1" applyBorder="1" applyAlignment="1">
      <alignment horizontal="left"/>
    </xf>
    <xf numFmtId="166" fontId="12" fillId="0" borderId="0" xfId="7" applyNumberFormat="1" applyFont="1" applyAlignment="1">
      <alignment horizontal="center"/>
    </xf>
    <xf numFmtId="166" fontId="12" fillId="0" borderId="0" xfId="7" applyNumberFormat="1" applyFont="1" applyFill="1" applyAlignment="1">
      <alignment horizontal="center"/>
    </xf>
    <xf numFmtId="0" fontId="12" fillId="15" borderId="0" xfId="7" applyFont="1" applyFill="1" applyBorder="1" applyAlignment="1">
      <alignment vertical="center"/>
    </xf>
    <xf numFmtId="0" fontId="13" fillId="0" borderId="0" xfId="7" applyFont="1" applyFill="1" applyBorder="1" applyAlignment="1"/>
    <xf numFmtId="9" fontId="12" fillId="0" borderId="0" xfId="7" applyNumberFormat="1" applyFont="1" applyFill="1" applyBorder="1"/>
    <xf numFmtId="0" fontId="12" fillId="0" borderId="0" xfId="7" applyFont="1" applyFill="1" applyBorder="1" applyAlignment="1"/>
    <xf numFmtId="0" fontId="12" fillId="0" borderId="0" xfId="7" applyNumberFormat="1" applyFont="1" applyFill="1" applyBorder="1"/>
    <xf numFmtId="15" fontId="12" fillId="0" borderId="0" xfId="7" applyNumberFormat="1" applyFont="1" applyFill="1"/>
    <xf numFmtId="2" fontId="3" fillId="0" borderId="0" xfId="6" applyNumberFormat="1"/>
    <xf numFmtId="0" fontId="12" fillId="0" borderId="0" xfId="7" applyFont="1" applyFill="1"/>
    <xf numFmtId="0" fontId="6" fillId="16" borderId="0" xfId="2" applyFont="1" applyFill="1"/>
    <xf numFmtId="0" fontId="11" fillId="16" borderId="0" xfId="2" applyFont="1" applyFill="1"/>
    <xf numFmtId="0" fontId="16" fillId="0" borderId="0" xfId="2" applyFont="1"/>
    <xf numFmtId="0" fontId="11" fillId="0" borderId="0" xfId="2" applyFont="1"/>
    <xf numFmtId="0" fontId="11" fillId="0" borderId="14" xfId="2" applyFont="1" applyBorder="1"/>
    <xf numFmtId="9" fontId="11" fillId="18" borderId="14" xfId="2" applyNumberFormat="1" applyFont="1" applyFill="1" applyBorder="1"/>
    <xf numFmtId="0" fontId="6" fillId="20" borderId="0" xfId="6" applyFont="1" applyFill="1"/>
    <xf numFmtId="0" fontId="12" fillId="20" borderId="0" xfId="6" applyFont="1" applyFill="1"/>
    <xf numFmtId="0" fontId="6" fillId="0" borderId="0" xfId="6" applyFont="1"/>
    <xf numFmtId="0" fontId="12" fillId="0" borderId="0" xfId="6" applyFont="1"/>
    <xf numFmtId="0" fontId="12" fillId="15" borderId="0" xfId="7" applyFont="1" applyFill="1" applyBorder="1" applyAlignment="1"/>
    <xf numFmtId="0" fontId="3" fillId="0" borderId="0" xfId="0" applyFont="1">
      <alignment readingOrder="1"/>
    </xf>
    <xf numFmtId="0" fontId="4" fillId="16" borderId="0" xfId="207" applyFill="1"/>
    <xf numFmtId="0" fontId="5" fillId="17" borderId="24" xfId="207" applyFont="1" applyFill="1" applyBorder="1" applyAlignment="1">
      <alignment horizontal="center" vertical="center" wrapText="1"/>
    </xf>
    <xf numFmtId="0" fontId="4" fillId="0" borderId="0" xfId="207" applyFill="1"/>
    <xf numFmtId="0" fontId="6" fillId="16" borderId="0" xfId="207" applyFont="1" applyFill="1" applyAlignment="1"/>
    <xf numFmtId="0" fontId="3" fillId="0" borderId="0" xfId="177"/>
    <xf numFmtId="0" fontId="5" fillId="17" borderId="25" xfId="207" applyFont="1" applyFill="1" applyBorder="1" applyAlignment="1">
      <alignment horizontal="left" vertical="center"/>
    </xf>
    <xf numFmtId="2" fontId="8" fillId="16" borderId="26" xfId="4" applyNumberFormat="1" applyFont="1" applyFill="1" applyBorder="1" applyAlignment="1">
      <alignment horizontal="center"/>
    </xf>
    <xf numFmtId="2" fontId="8" fillId="16" borderId="27" xfId="4" applyNumberFormat="1" applyFont="1" applyFill="1" applyBorder="1" applyAlignment="1">
      <alignment horizontal="center"/>
    </xf>
    <xf numFmtId="1" fontId="8" fillId="16" borderId="27" xfId="4" applyNumberFormat="1" applyFont="1" applyFill="1" applyBorder="1" applyAlignment="1">
      <alignment horizontal="center"/>
    </xf>
    <xf numFmtId="1" fontId="8" fillId="16" borderId="26" xfId="4" applyNumberFormat="1" applyFont="1" applyFill="1" applyBorder="1" applyAlignment="1">
      <alignment horizontal="center"/>
    </xf>
    <xf numFmtId="168" fontId="8" fillId="16" borderId="27" xfId="4" applyNumberFormat="1" applyFont="1" applyFill="1" applyBorder="1" applyAlignment="1">
      <alignment horizontal="center"/>
    </xf>
    <xf numFmtId="168" fontId="8" fillId="16" borderId="26" xfId="4" applyNumberFormat="1" applyFont="1" applyFill="1" applyBorder="1" applyAlignment="1">
      <alignment horizontal="center"/>
    </xf>
    <xf numFmtId="2" fontId="8" fillId="16" borderId="28" xfId="4" applyNumberFormat="1" applyFont="1" applyFill="1" applyBorder="1" applyAlignment="1">
      <alignment horizontal="center"/>
    </xf>
    <xf numFmtId="169" fontId="8" fillId="16" borderId="28" xfId="4" applyNumberFormat="1" applyFont="1" applyFill="1" applyBorder="1" applyAlignment="1">
      <alignment horizontal="center"/>
    </xf>
    <xf numFmtId="0" fontId="6" fillId="18" borderId="0" xfId="207" applyFont="1" applyFill="1"/>
    <xf numFmtId="0" fontId="4" fillId="18" borderId="0" xfId="207" applyFill="1"/>
    <xf numFmtId="1" fontId="8" fillId="16" borderId="9" xfId="4" applyNumberFormat="1" applyFont="1" applyFill="1" applyBorder="1" applyAlignment="1">
      <alignment horizontal="center"/>
    </xf>
    <xf numFmtId="168" fontId="8" fillId="16" borderId="9" xfId="4" applyNumberFormat="1" applyFont="1" applyFill="1" applyBorder="1" applyAlignment="1">
      <alignment horizontal="center"/>
    </xf>
    <xf numFmtId="0" fontId="32" fillId="0" borderId="0" xfId="249" applyFont="1"/>
    <xf numFmtId="0" fontId="33" fillId="0" borderId="0" xfId="250" applyFont="1"/>
    <xf numFmtId="0" fontId="3" fillId="0" borderId="0" xfId="249" applyFont="1"/>
    <xf numFmtId="5" fontId="3" fillId="0" borderId="0" xfId="249" applyNumberFormat="1" applyFont="1"/>
    <xf numFmtId="168" fontId="3" fillId="0" borderId="0" xfId="249" applyNumberFormat="1" applyFont="1"/>
    <xf numFmtId="168" fontId="33" fillId="0" borderId="0" xfId="249" applyNumberFormat="1" applyFont="1"/>
    <xf numFmtId="0" fontId="3" fillId="0" borderId="0" xfId="249" applyFont="1" applyFill="1"/>
    <xf numFmtId="170" fontId="3" fillId="0" borderId="0" xfId="249" applyNumberFormat="1" applyFont="1"/>
    <xf numFmtId="0" fontId="32" fillId="0" borderId="0" xfId="249" applyFont="1" applyAlignment="1">
      <alignment horizontal="left"/>
    </xf>
    <xf numFmtId="171" fontId="0" fillId="0" borderId="0" xfId="0" applyNumberFormat="1" applyAlignment="1">
      <alignment horizontal="center" readingOrder="1"/>
    </xf>
    <xf numFmtId="172" fontId="0" fillId="0" borderId="0" xfId="0" applyNumberFormat="1" applyAlignment="1">
      <alignment horizontal="center" readingOrder="1"/>
    </xf>
    <xf numFmtId="0" fontId="3" fillId="0" borderId="0" xfId="249" applyFont="1" applyAlignment="1">
      <alignment horizontal="center"/>
    </xf>
    <xf numFmtId="0" fontId="34" fillId="23" borderId="16" xfId="249" applyFont="1" applyFill="1" applyBorder="1" applyAlignment="1">
      <alignment horizontal="centerContinuous"/>
    </xf>
    <xf numFmtId="0" fontId="35" fillId="23" borderId="16" xfId="249" applyFont="1" applyFill="1" applyBorder="1" applyAlignment="1">
      <alignment horizontal="centerContinuous"/>
    </xf>
    <xf numFmtId="0" fontId="35" fillId="23" borderId="29" xfId="249" applyFont="1" applyFill="1" applyBorder="1" applyAlignment="1">
      <alignment horizontal="centerContinuous"/>
    </xf>
    <xf numFmtId="0" fontId="36" fillId="23" borderId="30" xfId="249" applyFont="1" applyFill="1" applyBorder="1" applyAlignment="1">
      <alignment horizontal="centerContinuous"/>
    </xf>
    <xf numFmtId="0" fontId="34" fillId="0" borderId="0" xfId="249" applyFont="1" applyFill="1" applyBorder="1" applyAlignment="1">
      <alignment horizontal="centerContinuous"/>
    </xf>
    <xf numFmtId="0" fontId="35" fillId="0" borderId="0" xfId="249" applyFont="1" applyFill="1" applyBorder="1" applyAlignment="1">
      <alignment horizontal="centerContinuous"/>
    </xf>
    <xf numFmtId="0" fontId="36" fillId="0" borderId="0" xfId="249" applyFont="1" applyFill="1" applyBorder="1" applyAlignment="1">
      <alignment horizontal="centerContinuous"/>
    </xf>
    <xf numFmtId="0" fontId="37" fillId="0" borderId="0" xfId="249" applyFont="1" applyFill="1" applyBorder="1" applyAlignment="1">
      <alignment horizontal="centerContinuous"/>
    </xf>
    <xf numFmtId="0" fontId="3" fillId="0" borderId="0" xfId="249" applyFont="1" applyFill="1" applyBorder="1"/>
    <xf numFmtId="0" fontId="37" fillId="26" borderId="14" xfId="249" applyFont="1" applyFill="1" applyBorder="1" applyAlignment="1">
      <alignment horizontal="center" wrapText="1"/>
    </xf>
    <xf numFmtId="0" fontId="37" fillId="26" borderId="21" xfId="249" applyFont="1" applyFill="1" applyBorder="1" applyAlignment="1">
      <alignment horizontal="center" wrapText="1"/>
    </xf>
    <xf numFmtId="0" fontId="37" fillId="26" borderId="15" xfId="249" applyFont="1" applyFill="1" applyBorder="1" applyAlignment="1">
      <alignment horizontal="center" wrapText="1"/>
    </xf>
    <xf numFmtId="0" fontId="37" fillId="26" borderId="33" xfId="249" applyFont="1" applyFill="1" applyBorder="1" applyAlignment="1">
      <alignment horizontal="center" wrapText="1"/>
    </xf>
    <xf numFmtId="0" fontId="37" fillId="26" borderId="33" xfId="0" applyFont="1" applyFill="1" applyBorder="1" applyAlignment="1">
      <alignment horizontal="center" wrapText="1"/>
    </xf>
    <xf numFmtId="0" fontId="37" fillId="0" borderId="0" xfId="249" applyFont="1" applyFill="1" applyBorder="1" applyAlignment="1">
      <alignment horizontal="center" wrapText="1"/>
    </xf>
    <xf numFmtId="0" fontId="3" fillId="0" borderId="0" xfId="248" applyFont="1" applyBorder="1" applyAlignment="1"/>
    <xf numFmtId="0" fontId="3" fillId="0" borderId="0" xfId="248" applyFont="1" applyBorder="1" applyAlignment="1">
      <alignment wrapText="1"/>
    </xf>
    <xf numFmtId="168" fontId="3" fillId="0" borderId="0" xfId="248" applyNumberFormat="1" applyFont="1" applyBorder="1" applyAlignment="1">
      <alignment wrapText="1"/>
    </xf>
    <xf numFmtId="1" fontId="0" fillId="0" borderId="0" xfId="0" applyNumberFormat="1">
      <alignment readingOrder="1"/>
    </xf>
    <xf numFmtId="2" fontId="0" fillId="0" borderId="0" xfId="0" applyNumberFormat="1">
      <alignment readingOrder="1"/>
    </xf>
    <xf numFmtId="0" fontId="3" fillId="0" borderId="0" xfId="0" applyFont="1" applyBorder="1">
      <alignment readingOrder="1"/>
    </xf>
    <xf numFmtId="8" fontId="0" fillId="0" borderId="0" xfId="0" applyNumberFormat="1">
      <alignment readingOrder="1"/>
    </xf>
    <xf numFmtId="0" fontId="3" fillId="0" borderId="0" xfId="0" applyFont="1" applyAlignment="1">
      <alignment horizontal="center" readingOrder="1"/>
    </xf>
    <xf numFmtId="168" fontId="36" fillId="0" borderId="0" xfId="0" applyNumberFormat="1" applyFont="1">
      <alignment readingOrder="1"/>
    </xf>
    <xf numFmtId="168" fontId="0" fillId="0" borderId="0" xfId="0" applyNumberFormat="1">
      <alignment readingOrder="1"/>
    </xf>
    <xf numFmtId="0" fontId="5" fillId="17" borderId="47" xfId="205" applyFont="1" applyFill="1" applyBorder="1" applyAlignment="1">
      <alignment horizontal="center" vertical="center" wrapText="1"/>
    </xf>
    <xf numFmtId="0" fontId="5" fillId="17" borderId="48" xfId="205" applyFont="1" applyFill="1" applyBorder="1" applyAlignment="1">
      <alignment horizontal="center" vertical="center" wrapText="1"/>
    </xf>
    <xf numFmtId="0" fontId="5" fillId="17" borderId="49" xfId="205" applyFont="1" applyFill="1" applyBorder="1" applyAlignment="1">
      <alignment horizontal="center" vertical="center" wrapText="1"/>
    </xf>
    <xf numFmtId="0" fontId="5" fillId="17" borderId="25" xfId="205" applyFont="1" applyFill="1" applyBorder="1" applyAlignment="1">
      <alignment horizontal="center" vertical="center" wrapText="1"/>
    </xf>
    <xf numFmtId="1" fontId="8" fillId="16" borderId="50" xfId="4" applyNumberFormat="1" applyFont="1" applyFill="1" applyBorder="1" applyAlignment="1">
      <alignment horizontal="center"/>
    </xf>
    <xf numFmtId="173" fontId="8" fillId="16" borderId="51" xfId="4" applyNumberFormat="1" applyFont="1" applyFill="1" applyBorder="1" applyAlignment="1">
      <alignment horizontal="center"/>
    </xf>
    <xf numFmtId="2" fontId="8" fillId="16" borderId="50" xfId="4" applyNumberFormat="1" applyFont="1" applyFill="1" applyBorder="1" applyAlignment="1">
      <alignment horizontal="center"/>
    </xf>
    <xf numFmtId="173" fontId="8" fillId="16" borderId="52" xfId="4" applyNumberFormat="1" applyFont="1" applyFill="1" applyBorder="1" applyAlignment="1">
      <alignment horizontal="center"/>
    </xf>
    <xf numFmtId="1" fontId="8" fillId="16" borderId="53" xfId="4" applyNumberFormat="1" applyFont="1" applyFill="1" applyBorder="1" applyAlignment="1">
      <alignment horizontal="center"/>
    </xf>
    <xf numFmtId="173" fontId="8" fillId="16" borderId="54" xfId="4" applyNumberFormat="1" applyFont="1" applyFill="1" applyBorder="1" applyAlignment="1">
      <alignment horizontal="center"/>
    </xf>
    <xf numFmtId="2" fontId="8" fillId="16" borderId="53" xfId="4" applyNumberFormat="1" applyFont="1" applyFill="1" applyBorder="1" applyAlignment="1">
      <alignment horizontal="center"/>
    </xf>
    <xf numFmtId="173" fontId="8" fillId="16" borderId="55" xfId="4" applyNumberFormat="1" applyFont="1" applyFill="1" applyBorder="1" applyAlignment="1">
      <alignment horizontal="center"/>
    </xf>
    <xf numFmtId="2" fontId="8" fillId="16" borderId="56" xfId="4" applyNumberFormat="1" applyFont="1" applyFill="1" applyBorder="1" applyAlignment="1">
      <alignment horizontal="center"/>
    </xf>
    <xf numFmtId="0" fontId="38" fillId="15" borderId="0" xfId="0" applyFont="1" applyFill="1" applyAlignment="1"/>
    <xf numFmtId="14" fontId="38" fillId="15" borderId="0" xfId="0" applyNumberFormat="1" applyFont="1" applyFill="1" applyAlignment="1"/>
    <xf numFmtId="0" fontId="4" fillId="15" borderId="0" xfId="3" applyFill="1" applyAlignment="1">
      <alignment horizontal="right"/>
    </xf>
    <xf numFmtId="0" fontId="4" fillId="15" borderId="0" xfId="3" applyFill="1" applyAlignment="1">
      <alignment horizontal="center"/>
    </xf>
    <xf numFmtId="14" fontId="38" fillId="0" borderId="0" xfId="0" applyNumberFormat="1" applyFont="1" applyAlignment="1"/>
    <xf numFmtId="0" fontId="38" fillId="0" borderId="0" xfId="0" applyFont="1" applyAlignment="1"/>
    <xf numFmtId="0" fontId="4" fillId="16" borderId="0" xfId="3" applyFill="1"/>
    <xf numFmtId="0" fontId="5" fillId="17" borderId="25" xfId="3" applyFont="1" applyFill="1" applyBorder="1" applyAlignment="1">
      <alignment horizontal="center" vertical="center" wrapText="1"/>
    </xf>
    <xf numFmtId="0" fontId="5" fillId="17" borderId="25" xfId="3" applyFont="1" applyFill="1" applyBorder="1" applyAlignment="1">
      <alignment horizontal="left" vertical="center"/>
    </xf>
    <xf numFmtId="1" fontId="8" fillId="17" borderId="52" xfId="4" applyNumberFormat="1" applyFont="1" applyFill="1" applyBorder="1" applyAlignment="1">
      <alignment horizontal="center"/>
    </xf>
    <xf numFmtId="2" fontId="8" fillId="17" borderId="52" xfId="4" applyNumberFormat="1" applyFont="1" applyFill="1" applyBorder="1" applyAlignment="1">
      <alignment horizontal="center"/>
    </xf>
    <xf numFmtId="0" fontId="39" fillId="17" borderId="25" xfId="3" applyFont="1" applyFill="1" applyBorder="1" applyAlignment="1">
      <alignment horizontal="center" vertical="center" wrapText="1"/>
    </xf>
    <xf numFmtId="168" fontId="8" fillId="17" borderId="52" xfId="4" applyNumberFormat="1" applyFont="1" applyFill="1" applyBorder="1" applyAlignment="1">
      <alignment horizontal="center"/>
    </xf>
    <xf numFmtId="174" fontId="8" fillId="17" borderId="52" xfId="133" applyNumberFormat="1" applyFont="1" applyFill="1" applyBorder="1" applyAlignment="1">
      <alignment horizontal="center"/>
    </xf>
    <xf numFmtId="0" fontId="6" fillId="16" borderId="0" xfId="3" applyFont="1" applyFill="1"/>
    <xf numFmtId="169" fontId="8" fillId="16" borderId="0" xfId="4" applyNumberFormat="1" applyFont="1" applyFill="1" applyBorder="1" applyAlignment="1">
      <alignment horizontal="center"/>
    </xf>
    <xf numFmtId="0" fontId="38" fillId="28" borderId="0" xfId="0" applyFont="1" applyFill="1" applyAlignment="1"/>
    <xf numFmtId="0" fontId="4" fillId="29" borderId="57" xfId="3" applyFont="1" applyFill="1" applyBorder="1" applyAlignment="1"/>
    <xf numFmtId="0" fontId="15" fillId="29" borderId="57" xfId="3" applyFont="1" applyFill="1" applyBorder="1" applyAlignment="1"/>
    <xf numFmtId="0" fontId="40" fillId="15" borderId="0" xfId="0" applyFont="1" applyFill="1" applyAlignment="1"/>
    <xf numFmtId="0" fontId="15" fillId="29" borderId="57" xfId="3" applyFont="1" applyFill="1" applyBorder="1" applyAlignment="1">
      <alignment wrapText="1"/>
    </xf>
    <xf numFmtId="22" fontId="4" fillId="29" borderId="57" xfId="3" applyNumberFormat="1" applyFont="1" applyFill="1" applyBorder="1" applyAlignment="1"/>
    <xf numFmtId="1" fontId="38" fillId="29" borderId="14" xfId="0" applyNumberFormat="1" applyFont="1" applyFill="1" applyBorder="1" applyAlignment="1"/>
    <xf numFmtId="0" fontId="3" fillId="18" borderId="0" xfId="180" applyFill="1"/>
    <xf numFmtId="0" fontId="3" fillId="26" borderId="0" xfId="180" applyFont="1" applyFill="1"/>
    <xf numFmtId="0" fontId="3" fillId="26" borderId="0" xfId="180" applyFill="1"/>
    <xf numFmtId="0" fontId="3" fillId="0" borderId="0" xfId="180"/>
    <xf numFmtId="0" fontId="3" fillId="26" borderId="0" xfId="180" applyFont="1" applyFill="1" applyAlignment="1">
      <alignment horizontal="center"/>
    </xf>
    <xf numFmtId="0" fontId="3" fillId="0" borderId="0" xfId="180" applyFont="1"/>
    <xf numFmtId="0" fontId="3" fillId="18" borderId="0" xfId="180" applyFill="1" applyAlignment="1">
      <alignment horizontal="center"/>
    </xf>
    <xf numFmtId="0" fontId="3" fillId="18" borderId="0" xfId="180" applyFill="1" applyAlignment="1">
      <alignment horizontal="left" wrapText="1"/>
    </xf>
    <xf numFmtId="2" fontId="3" fillId="18" borderId="0" xfId="180" applyNumberFormat="1" applyFill="1"/>
    <xf numFmtId="0" fontId="3" fillId="18" borderId="0" xfId="180" applyFont="1" applyFill="1"/>
    <xf numFmtId="9" fontId="3" fillId="18" borderId="0" xfId="180" applyNumberFormat="1" applyFill="1" applyAlignment="1">
      <alignment horizontal="center"/>
    </xf>
    <xf numFmtId="0" fontId="3" fillId="15" borderId="0" xfId="180" applyFill="1" applyAlignment="1">
      <alignment horizontal="center"/>
    </xf>
    <xf numFmtId="0" fontId="3" fillId="15" borderId="0" xfId="180" applyFill="1" applyAlignment="1">
      <alignment horizontal="left"/>
    </xf>
    <xf numFmtId="2" fontId="3" fillId="15" borderId="0" xfId="180" applyNumberFormat="1" applyFill="1"/>
    <xf numFmtId="0" fontId="14" fillId="16" borderId="0" xfId="180" applyFont="1" applyFill="1"/>
    <xf numFmtId="0" fontId="3" fillId="16" borderId="0" xfId="180" applyFill="1"/>
    <xf numFmtId="0" fontId="14" fillId="17" borderId="0" xfId="180" applyFont="1" applyFill="1"/>
    <xf numFmtId="0" fontId="3" fillId="17" borderId="0" xfId="180" applyFill="1"/>
    <xf numFmtId="0" fontId="14" fillId="0" borderId="0" xfId="180" applyFont="1" applyFill="1" applyAlignment="1">
      <alignment horizontal="center"/>
    </xf>
    <xf numFmtId="9" fontId="14" fillId="17" borderId="0" xfId="180" applyNumberFormat="1" applyFont="1" applyFill="1"/>
    <xf numFmtId="9" fontId="3" fillId="17" borderId="0" xfId="180" applyNumberFormat="1" applyFill="1"/>
    <xf numFmtId="0" fontId="34" fillId="23" borderId="16" xfId="249" applyFont="1" applyFill="1" applyBorder="1" applyAlignment="1">
      <alignment horizontal="center"/>
    </xf>
    <xf numFmtId="0" fontId="35" fillId="23" borderId="16" xfId="249" applyFont="1" applyFill="1" applyBorder="1" applyAlignment="1">
      <alignment horizontal="center"/>
    </xf>
    <xf numFmtId="0" fontId="35" fillId="23" borderId="29" xfId="249" applyFont="1" applyFill="1" applyBorder="1" applyAlignment="1">
      <alignment horizontal="center"/>
    </xf>
    <xf numFmtId="0" fontId="36" fillId="23" borderId="30" xfId="249" applyFont="1" applyFill="1" applyBorder="1" applyAlignment="1">
      <alignment horizontal="center"/>
    </xf>
    <xf numFmtId="0" fontId="14" fillId="26" borderId="0" xfId="180" applyFont="1" applyFill="1"/>
    <xf numFmtId="0" fontId="14" fillId="26" borderId="0" xfId="180" applyFont="1" applyFill="1" applyAlignment="1">
      <alignment wrapText="1"/>
    </xf>
    <xf numFmtId="0" fontId="14" fillId="0" borderId="0" xfId="180" applyFont="1" applyFill="1" applyAlignment="1">
      <alignment wrapText="1"/>
    </xf>
    <xf numFmtId="9" fontId="14" fillId="26" borderId="0" xfId="180" applyNumberFormat="1" applyFont="1" applyFill="1" applyAlignment="1">
      <alignment wrapText="1"/>
    </xf>
    <xf numFmtId="9" fontId="14" fillId="26" borderId="0" xfId="180" applyNumberFormat="1" applyFont="1" applyFill="1"/>
    <xf numFmtId="2" fontId="37" fillId="26" borderId="33" xfId="180" applyNumberFormat="1" applyFont="1" applyFill="1" applyBorder="1" applyAlignment="1">
      <alignment horizontal="center" wrapText="1"/>
    </xf>
    <xf numFmtId="0" fontId="3" fillId="22" borderId="0" xfId="180" applyFont="1" applyFill="1"/>
    <xf numFmtId="0" fontId="3" fillId="22" borderId="0" xfId="180" applyFill="1"/>
    <xf numFmtId="9" fontId="3" fillId="22" borderId="0" xfId="310" applyFont="1" applyFill="1"/>
    <xf numFmtId="9" fontId="3" fillId="22" borderId="0" xfId="180" applyNumberFormat="1" applyFill="1"/>
    <xf numFmtId="3" fontId="3" fillId="22" borderId="0" xfId="180" applyNumberFormat="1" applyFill="1"/>
    <xf numFmtId="164" fontId="3" fillId="22" borderId="0" xfId="180" applyNumberFormat="1" applyFill="1"/>
    <xf numFmtId="168" fontId="3" fillId="22" borderId="0" xfId="180" applyNumberFormat="1" applyFill="1"/>
    <xf numFmtId="169" fontId="3" fillId="22" borderId="0" xfId="180" applyNumberFormat="1" applyFill="1"/>
    <xf numFmtId="1" fontId="3" fillId="22" borderId="0" xfId="180" applyNumberFormat="1" applyFill="1"/>
    <xf numFmtId="169" fontId="3" fillId="22" borderId="0" xfId="180" applyNumberFormat="1" applyFont="1" applyFill="1"/>
    <xf numFmtId="8" fontId="3" fillId="22" borderId="0" xfId="180" applyNumberFormat="1" applyFill="1"/>
    <xf numFmtId="2" fontId="3" fillId="22" borderId="0" xfId="180" applyNumberFormat="1" applyFill="1"/>
    <xf numFmtId="9" fontId="3" fillId="0" borderId="0" xfId="180" applyNumberFormat="1" applyFill="1"/>
    <xf numFmtId="0" fontId="0" fillId="31" borderId="0" xfId="0" applyFill="1">
      <alignment readingOrder="1"/>
    </xf>
    <xf numFmtId="2" fontId="0" fillId="31" borderId="0" xfId="0" applyNumberFormat="1" applyFill="1">
      <alignment readingOrder="1"/>
    </xf>
    <xf numFmtId="0" fontId="3" fillId="31" borderId="0" xfId="0" applyFont="1" applyFill="1">
      <alignment readingOrder="1"/>
    </xf>
    <xf numFmtId="0" fontId="3" fillId="0" borderId="0" xfId="180" applyFill="1"/>
    <xf numFmtId="9" fontId="3" fillId="0" borderId="0" xfId="180" applyNumberFormat="1"/>
    <xf numFmtId="0" fontId="0" fillId="0" borderId="0" xfId="180" applyFont="1" applyFill="1"/>
    <xf numFmtId="1" fontId="3" fillId="0" borderId="0" xfId="180" applyNumberFormat="1" applyFill="1"/>
    <xf numFmtId="0" fontId="3" fillId="0" borderId="0" xfId="180" applyFont="1" applyFill="1"/>
    <xf numFmtId="0" fontId="4" fillId="0" borderId="0" xfId="219" applyFont="1"/>
    <xf numFmtId="0" fontId="4" fillId="0" borderId="0" xfId="219" applyFont="1" applyAlignment="1">
      <alignment horizontal="left" wrapText="1"/>
    </xf>
    <xf numFmtId="0" fontId="6" fillId="32" borderId="34" xfId="219" applyFont="1" applyFill="1" applyBorder="1" applyAlignment="1">
      <alignment vertical="center"/>
    </xf>
    <xf numFmtId="0" fontId="6" fillId="32" borderId="35" xfId="219" applyFont="1" applyFill="1" applyBorder="1" applyAlignment="1">
      <alignment vertical="center"/>
    </xf>
    <xf numFmtId="0" fontId="6" fillId="32" borderId="36" xfId="219" applyFont="1" applyFill="1" applyBorder="1" applyAlignment="1">
      <alignment vertical="center"/>
    </xf>
    <xf numFmtId="0" fontId="4" fillId="0" borderId="0" xfId="219" applyFont="1" applyFill="1" applyAlignment="1">
      <alignment horizontal="left" wrapText="1"/>
    </xf>
    <xf numFmtId="0" fontId="4" fillId="0" borderId="0" xfId="219" applyFont="1" applyFill="1"/>
    <xf numFmtId="0" fontId="6" fillId="0" borderId="37" xfId="219" applyFont="1" applyBorder="1" applyAlignment="1">
      <alignment vertical="center"/>
    </xf>
    <xf numFmtId="0" fontId="6" fillId="0" borderId="0" xfId="219" applyFont="1" applyBorder="1" applyAlignment="1">
      <alignment vertical="center"/>
    </xf>
    <xf numFmtId="0" fontId="6" fillId="0" borderId="38" xfId="219" applyFont="1" applyBorder="1" applyAlignment="1">
      <alignment vertical="center"/>
    </xf>
    <xf numFmtId="0" fontId="6" fillId="0" borderId="0" xfId="219" applyFont="1"/>
    <xf numFmtId="0" fontId="6" fillId="18" borderId="42" xfId="219" applyFont="1" applyFill="1" applyBorder="1" applyAlignment="1" applyProtection="1">
      <alignment horizontal="center" vertical="center" wrapText="1"/>
    </xf>
    <xf numFmtId="0" fontId="4" fillId="18" borderId="58" xfId="219" applyFont="1" applyFill="1" applyBorder="1" applyAlignment="1">
      <alignment horizontal="center" vertical="center"/>
    </xf>
    <xf numFmtId="0" fontId="4" fillId="0" borderId="0" xfId="219" applyFont="1" applyFill="1" applyBorder="1"/>
    <xf numFmtId="0" fontId="4" fillId="0" borderId="0" xfId="219" quotePrefix="1" applyFont="1" applyAlignment="1">
      <alignment horizontal="left" wrapText="1"/>
    </xf>
    <xf numFmtId="0" fontId="6" fillId="17" borderId="60" xfId="219" applyFont="1" applyFill="1" applyBorder="1" applyAlignment="1">
      <alignment horizontal="left" vertical="center" wrapText="1"/>
    </xf>
    <xf numFmtId="0" fontId="6" fillId="17" borderId="61" xfId="219" applyFont="1" applyFill="1" applyBorder="1" applyAlignment="1">
      <alignment horizontal="left" wrapText="1"/>
    </xf>
    <xf numFmtId="0" fontId="6" fillId="18" borderId="62" xfId="219" applyFont="1" applyFill="1" applyBorder="1" applyAlignment="1">
      <alignment horizontal="left" vertical="center" wrapText="1"/>
    </xf>
    <xf numFmtId="0" fontId="6" fillId="18" borderId="63" xfId="219" applyFont="1" applyFill="1" applyBorder="1" applyAlignment="1">
      <alignment horizontal="left" wrapText="1"/>
    </xf>
    <xf numFmtId="0" fontId="6" fillId="17" borderId="64" xfId="219" applyFont="1" applyFill="1" applyBorder="1" applyAlignment="1">
      <alignment horizontal="left" vertical="center" wrapText="1"/>
    </xf>
    <xf numFmtId="0" fontId="6" fillId="18" borderId="65" xfId="219" applyFont="1" applyFill="1" applyBorder="1" applyAlignment="1">
      <alignment horizontal="left" vertical="center" wrapText="1"/>
    </xf>
    <xf numFmtId="0" fontId="6" fillId="17" borderId="65" xfId="219" applyFont="1" applyFill="1" applyBorder="1" applyAlignment="1">
      <alignment horizontal="left" vertical="center" wrapText="1"/>
    </xf>
    <xf numFmtId="0" fontId="6" fillId="17" borderId="67" xfId="219" applyFont="1" applyFill="1" applyBorder="1" applyAlignment="1">
      <alignment horizontal="left" vertical="center" wrapText="1"/>
    </xf>
    <xf numFmtId="0" fontId="6" fillId="17" borderId="14" xfId="219" applyFont="1" applyFill="1" applyBorder="1" applyAlignment="1">
      <alignment horizontal="left" vertical="center" wrapText="1"/>
    </xf>
    <xf numFmtId="0" fontId="6" fillId="17" borderId="31" xfId="219" applyFont="1" applyFill="1" applyBorder="1" applyAlignment="1">
      <alignment horizontal="left" vertical="center" wrapText="1"/>
    </xf>
    <xf numFmtId="0" fontId="6" fillId="18" borderId="67" xfId="219" applyFont="1" applyFill="1" applyBorder="1" applyAlignment="1">
      <alignment horizontal="left" vertical="center" wrapText="1"/>
    </xf>
    <xf numFmtId="0" fontId="6" fillId="18" borderId="68" xfId="219" applyFont="1" applyFill="1" applyBorder="1" applyAlignment="1">
      <alignment horizontal="left" vertical="center" wrapText="1"/>
    </xf>
    <xf numFmtId="0" fontId="4" fillId="17" borderId="38" xfId="219" applyFont="1" applyFill="1" applyBorder="1" applyAlignment="1">
      <alignment horizontal="left" vertical="center" wrapText="1"/>
    </xf>
    <xf numFmtId="0" fontId="4" fillId="18" borderId="66" xfId="219" applyFont="1" applyFill="1" applyBorder="1" applyAlignment="1">
      <alignment horizontal="left" vertical="center" wrapText="1"/>
    </xf>
    <xf numFmtId="0" fontId="4" fillId="17" borderId="66" xfId="219" applyFont="1" applyFill="1" applyBorder="1" applyAlignment="1">
      <alignment horizontal="left" vertical="center" wrapText="1"/>
    </xf>
    <xf numFmtId="0" fontId="4" fillId="17" borderId="69" xfId="219" applyFont="1" applyFill="1" applyBorder="1" applyAlignment="1">
      <alignment horizontal="left" vertical="center" wrapText="1"/>
    </xf>
    <xf numFmtId="0" fontId="4" fillId="17" borderId="70" xfId="219" applyFont="1" applyFill="1" applyBorder="1" applyAlignment="1">
      <alignment horizontal="left" vertical="center" wrapText="1"/>
    </xf>
    <xf numFmtId="0" fontId="4" fillId="17" borderId="71" xfId="219" applyFont="1" applyFill="1" applyBorder="1" applyAlignment="1">
      <alignment horizontal="left" vertical="center" wrapText="1"/>
    </xf>
    <xf numFmtId="0" fontId="4" fillId="18" borderId="69" xfId="219" applyFont="1" applyFill="1" applyBorder="1" applyAlignment="1">
      <alignment horizontal="left" vertical="center" wrapText="1"/>
    </xf>
    <xf numFmtId="0" fontId="4" fillId="18" borderId="72" xfId="219" applyFont="1" applyFill="1" applyBorder="1" applyAlignment="1">
      <alignment horizontal="left" vertical="center" wrapText="1"/>
    </xf>
    <xf numFmtId="0" fontId="4" fillId="17" borderId="73" xfId="219" applyFill="1" applyBorder="1" applyAlignment="1">
      <alignment horizontal="left" vertical="center" wrapText="1"/>
    </xf>
    <xf numFmtId="0" fontId="4" fillId="18" borderId="74" xfId="219" applyFill="1" applyBorder="1" applyAlignment="1">
      <alignment horizontal="left" vertical="center" wrapText="1"/>
    </xf>
    <xf numFmtId="0" fontId="4" fillId="17" borderId="75" xfId="219" applyFill="1" applyBorder="1" applyAlignment="1">
      <alignment horizontal="left" vertical="center" wrapText="1"/>
    </xf>
    <xf numFmtId="0" fontId="15" fillId="17" borderId="77" xfId="219" applyFont="1" applyFill="1" applyBorder="1" applyAlignment="1" applyProtection="1">
      <alignment vertical="center" wrapText="1"/>
    </xf>
    <xf numFmtId="0" fontId="4" fillId="0" borderId="62" xfId="219" applyFont="1" applyBorder="1" applyAlignment="1">
      <alignment horizontal="left" vertical="center" wrapText="1"/>
    </xf>
    <xf numFmtId="0" fontId="4" fillId="0" borderId="78" xfId="219" applyFont="1" applyBorder="1" applyAlignment="1">
      <alignment horizontal="left" vertical="center" wrapText="1"/>
    </xf>
    <xf numFmtId="0" fontId="4" fillId="0" borderId="63" xfId="219" applyFont="1" applyBorder="1" applyAlignment="1">
      <alignment horizontal="left" vertical="center" wrapText="1"/>
    </xf>
    <xf numFmtId="8" fontId="4" fillId="0" borderId="79" xfId="219" applyNumberFormat="1" applyFont="1" applyFill="1" applyBorder="1" applyAlignment="1" applyProtection="1">
      <alignment horizontal="left" vertical="center" wrapText="1"/>
    </xf>
    <xf numFmtId="8" fontId="4" fillId="0" borderId="80" xfId="219" applyNumberFormat="1" applyFont="1" applyBorder="1" applyAlignment="1">
      <alignment horizontal="left" vertical="center" wrapText="1"/>
    </xf>
    <xf numFmtId="0" fontId="4" fillId="0" borderId="65" xfId="219" applyFont="1" applyFill="1" applyBorder="1" applyAlignment="1">
      <alignment horizontal="left" vertical="top" wrapText="1"/>
    </xf>
    <xf numFmtId="0" fontId="4" fillId="0" borderId="65" xfId="219" applyFont="1" applyBorder="1" applyAlignment="1">
      <alignment horizontal="left" vertical="center" wrapText="1"/>
    </xf>
    <xf numFmtId="0" fontId="9" fillId="0" borderId="65" xfId="5" applyBorder="1" applyAlignment="1" applyProtection="1">
      <alignment horizontal="left" vertical="center" wrapText="1"/>
    </xf>
    <xf numFmtId="0" fontId="15" fillId="17" borderId="31" xfId="219" applyFont="1" applyFill="1" applyBorder="1" applyAlignment="1" applyProtection="1">
      <alignment vertical="center" wrapText="1"/>
    </xf>
    <xf numFmtId="0" fontId="4" fillId="0" borderId="67" xfId="219" applyFont="1" applyBorder="1" applyAlignment="1">
      <alignment horizontal="left" vertical="center" wrapText="1"/>
    </xf>
    <xf numFmtId="0" fontId="4" fillId="0" borderId="14" xfId="219" applyFont="1" applyBorder="1" applyAlignment="1">
      <alignment horizontal="left" vertical="center" wrapText="1"/>
    </xf>
    <xf numFmtId="0" fontId="4" fillId="0" borderId="68" xfId="219" applyFont="1" applyBorder="1" applyAlignment="1">
      <alignment horizontal="left" vertical="center" wrapText="1"/>
    </xf>
    <xf numFmtId="0" fontId="4" fillId="0" borderId="68" xfId="219" applyNumberFormat="1" applyFont="1" applyBorder="1" applyAlignment="1">
      <alignment horizontal="left" vertical="center" wrapText="1"/>
    </xf>
    <xf numFmtId="0" fontId="4" fillId="0" borderId="82" xfId="219" applyFont="1" applyFill="1" applyBorder="1" applyAlignment="1">
      <alignment wrapText="1"/>
    </xf>
    <xf numFmtId="0" fontId="4" fillId="0" borderId="68" xfId="219" applyNumberFormat="1" applyFont="1" applyFill="1" applyBorder="1" applyAlignment="1">
      <alignment horizontal="left" vertical="center" wrapText="1"/>
    </xf>
    <xf numFmtId="0" fontId="4" fillId="0" borderId="82" xfId="219" applyFont="1" applyFill="1" applyBorder="1" applyAlignment="1">
      <alignment horizontal="left" vertical="center" wrapText="1"/>
    </xf>
    <xf numFmtId="0" fontId="15" fillId="17" borderId="16" xfId="219" applyFont="1" applyFill="1" applyBorder="1" applyAlignment="1" applyProtection="1">
      <alignment vertical="center" wrapText="1"/>
    </xf>
    <xf numFmtId="0" fontId="4" fillId="0" borderId="72" xfId="219" applyFont="1" applyBorder="1" applyAlignment="1">
      <alignment horizontal="left" vertical="center" wrapText="1"/>
    </xf>
    <xf numFmtId="0" fontId="4" fillId="0" borderId="69" xfId="219" applyFont="1" applyBorder="1" applyAlignment="1">
      <alignment horizontal="left" vertical="center" wrapText="1"/>
    </xf>
    <xf numFmtId="0" fontId="4" fillId="0" borderId="72" xfId="219" applyNumberFormat="1" applyFont="1" applyFill="1" applyBorder="1" applyAlignment="1">
      <alignment horizontal="left" vertical="center" wrapText="1"/>
    </xf>
    <xf numFmtId="0" fontId="4" fillId="0" borderId="75" xfId="219" applyFont="1" applyFill="1" applyBorder="1" applyAlignment="1">
      <alignment horizontal="left" vertical="center" wrapText="1"/>
    </xf>
    <xf numFmtId="0" fontId="15" fillId="17" borderId="63" xfId="219" applyFont="1" applyFill="1" applyBorder="1" applyAlignment="1" applyProtection="1">
      <alignment vertical="center" wrapText="1"/>
    </xf>
    <xf numFmtId="0" fontId="4" fillId="0" borderId="23" xfId="219" applyFont="1" applyBorder="1" applyAlignment="1">
      <alignment horizontal="left" vertical="center" wrapText="1"/>
    </xf>
    <xf numFmtId="0" fontId="4" fillId="0" borderId="33" xfId="219" applyFont="1" applyBorder="1" applyAlignment="1">
      <alignment horizontal="left" vertical="center" wrapText="1"/>
    </xf>
    <xf numFmtId="0" fontId="4" fillId="0" borderId="80" xfId="219" applyFont="1" applyBorder="1" applyAlignment="1">
      <alignment horizontal="left" vertical="center" wrapText="1"/>
    </xf>
    <xf numFmtId="0" fontId="4" fillId="0" borderId="79" xfId="219" applyFont="1" applyBorder="1" applyAlignment="1">
      <alignment horizontal="left" vertical="center" wrapText="1"/>
    </xf>
    <xf numFmtId="0" fontId="4" fillId="0" borderId="80" xfId="219" applyNumberFormat="1" applyFont="1" applyBorder="1" applyAlignment="1">
      <alignment horizontal="left" vertical="center" wrapText="1"/>
    </xf>
    <xf numFmtId="0" fontId="4" fillId="0" borderId="83" xfId="219" applyFont="1" applyFill="1" applyBorder="1" applyAlignment="1">
      <alignment horizontal="left" vertical="center" wrapText="1"/>
    </xf>
    <xf numFmtId="0" fontId="4" fillId="0" borderId="83" xfId="219" applyFont="1" applyBorder="1" applyAlignment="1">
      <alignment horizontal="left" vertical="center" wrapText="1"/>
    </xf>
    <xf numFmtId="0" fontId="15" fillId="17" borderId="68" xfId="219" applyFont="1" applyFill="1" applyBorder="1" applyAlignment="1" applyProtection="1">
      <alignment vertical="center" wrapText="1"/>
    </xf>
    <xf numFmtId="0" fontId="4" fillId="0" borderId="30" xfId="219" applyFont="1" applyBorder="1" applyAlignment="1">
      <alignment horizontal="left" vertical="center" wrapText="1"/>
    </xf>
    <xf numFmtId="0" fontId="4" fillId="0" borderId="67" xfId="219" quotePrefix="1" applyFont="1" applyBorder="1" applyAlignment="1">
      <alignment horizontal="left" vertical="center" wrapText="1"/>
    </xf>
    <xf numFmtId="8" fontId="4" fillId="0" borderId="68" xfId="219" applyNumberFormat="1" applyFont="1" applyBorder="1" applyAlignment="1">
      <alignment horizontal="left" vertical="center" wrapText="1"/>
    </xf>
    <xf numFmtId="0" fontId="4" fillId="0" borderId="82" xfId="219" applyFont="1" applyBorder="1" applyAlignment="1">
      <alignment horizontal="left" vertical="center" wrapText="1"/>
    </xf>
    <xf numFmtId="0" fontId="15" fillId="17" borderId="85" xfId="219" applyFont="1" applyFill="1" applyBorder="1" applyAlignment="1" applyProtection="1">
      <alignment vertical="center" wrapText="1"/>
    </xf>
    <xf numFmtId="0" fontId="4" fillId="0" borderId="20" xfId="219" applyFont="1" applyBorder="1" applyAlignment="1">
      <alignment horizontal="left" vertical="center" wrapText="1"/>
    </xf>
    <xf numFmtId="0" fontId="4" fillId="0" borderId="15" xfId="219" applyFont="1" applyBorder="1" applyAlignment="1">
      <alignment horizontal="left" vertical="center" wrapText="1"/>
    </xf>
    <xf numFmtId="0" fontId="4" fillId="0" borderId="86" xfId="219" applyFont="1" applyBorder="1" applyAlignment="1">
      <alignment horizontal="left" vertical="center" wrapText="1"/>
    </xf>
    <xf numFmtId="0" fontId="4" fillId="0" borderId="81" xfId="219" quotePrefix="1" applyFont="1" applyBorder="1" applyAlignment="1">
      <alignment horizontal="left" vertical="center" wrapText="1"/>
    </xf>
    <xf numFmtId="0" fontId="4" fillId="0" borderId="86" xfId="219" applyNumberFormat="1" applyFont="1" applyBorder="1" applyAlignment="1">
      <alignment horizontal="left" vertical="center" wrapText="1"/>
    </xf>
    <xf numFmtId="0" fontId="4" fillId="0" borderId="66" xfId="219" applyFont="1" applyFill="1" applyBorder="1" applyAlignment="1">
      <alignment horizontal="left" vertical="center" wrapText="1"/>
    </xf>
    <xf numFmtId="0" fontId="4" fillId="0" borderId="66" xfId="219" applyFont="1" applyBorder="1" applyAlignment="1">
      <alignment horizontal="left" vertical="center" wrapText="1"/>
    </xf>
    <xf numFmtId="0" fontId="4" fillId="0" borderId="87" xfId="219" applyFont="1" applyBorder="1" applyAlignment="1">
      <alignment horizontal="left" vertical="center" wrapText="1"/>
    </xf>
    <xf numFmtId="0" fontId="4" fillId="0" borderId="77" xfId="219" applyFont="1" applyBorder="1" applyAlignment="1">
      <alignment horizontal="left" vertical="center" wrapText="1"/>
    </xf>
    <xf numFmtId="0" fontId="4" fillId="0" borderId="31" xfId="219" applyFont="1" applyBorder="1" applyAlignment="1">
      <alignment horizontal="left" vertical="center" wrapText="1"/>
    </xf>
    <xf numFmtId="0" fontId="4" fillId="0" borderId="67" xfId="219" applyFont="1" applyFill="1" applyBorder="1" applyAlignment="1">
      <alignment wrapText="1"/>
    </xf>
    <xf numFmtId="0" fontId="15" fillId="17" borderId="72" xfId="219" applyFont="1" applyFill="1" applyBorder="1" applyAlignment="1" applyProtection="1">
      <alignment vertical="center" wrapText="1"/>
    </xf>
    <xf numFmtId="0" fontId="4" fillId="0" borderId="88" xfId="219" applyFont="1" applyBorder="1" applyAlignment="1">
      <alignment horizontal="left" vertical="center" wrapText="1"/>
    </xf>
    <xf numFmtId="0" fontId="4" fillId="0" borderId="70" xfId="219" applyFont="1" applyBorder="1" applyAlignment="1">
      <alignment horizontal="left" vertical="center" wrapText="1"/>
    </xf>
    <xf numFmtId="0" fontId="4" fillId="0" borderId="71" xfId="219" applyFont="1" applyBorder="1" applyAlignment="1">
      <alignment horizontal="left" vertical="center" wrapText="1"/>
    </xf>
    <xf numFmtId="0" fontId="4" fillId="0" borderId="72" xfId="219" applyNumberFormat="1" applyFont="1" applyBorder="1" applyAlignment="1">
      <alignment horizontal="left" vertical="center" wrapText="1"/>
    </xf>
    <xf numFmtId="0" fontId="4" fillId="0" borderId="69" xfId="219" applyFont="1" applyFill="1" applyBorder="1" applyAlignment="1">
      <alignment wrapText="1"/>
    </xf>
    <xf numFmtId="0" fontId="15" fillId="17" borderId="80" xfId="219" applyFont="1" applyFill="1" applyBorder="1" applyAlignment="1" applyProtection="1">
      <alignment vertical="center" wrapText="1"/>
    </xf>
    <xf numFmtId="0" fontId="4" fillId="0" borderId="83" xfId="219" applyFont="1" applyFill="1" applyBorder="1" applyAlignment="1">
      <alignment wrapText="1"/>
    </xf>
    <xf numFmtId="0" fontId="4" fillId="0" borderId="75" xfId="219" applyFont="1" applyFill="1" applyBorder="1"/>
    <xf numFmtId="0" fontId="4" fillId="0" borderId="75" xfId="219" applyFont="1" applyBorder="1" applyAlignment="1">
      <alignment horizontal="left" vertical="center" wrapText="1"/>
    </xf>
    <xf numFmtId="0" fontId="41" fillId="18" borderId="42" xfId="219" applyFont="1" applyFill="1" applyBorder="1" applyAlignment="1" applyProtection="1">
      <alignment horizontal="left" vertical="center"/>
    </xf>
    <xf numFmtId="0" fontId="6" fillId="18" borderId="58" xfId="219" applyFont="1" applyFill="1" applyBorder="1" applyAlignment="1" applyProtection="1">
      <alignment horizontal="center" vertical="center" wrapText="1"/>
    </xf>
    <xf numFmtId="0" fontId="4" fillId="0" borderId="63" xfId="219" applyNumberFormat="1" applyFont="1" applyBorder="1" applyAlignment="1">
      <alignment horizontal="left" vertical="center" wrapText="1"/>
    </xf>
    <xf numFmtId="0" fontId="4" fillId="26" borderId="65" xfId="219" applyFont="1" applyFill="1" applyBorder="1" applyAlignment="1">
      <alignment vertical="center"/>
    </xf>
    <xf numFmtId="0" fontId="4" fillId="0" borderId="64" xfId="219" applyNumberFormat="1" applyFont="1" applyBorder="1" applyAlignment="1">
      <alignment horizontal="left" vertical="center" wrapText="1"/>
    </xf>
    <xf numFmtId="0" fontId="4" fillId="0" borderId="89" xfId="219" applyFont="1" applyBorder="1" applyAlignment="1">
      <alignment horizontal="left" vertical="center" wrapText="1"/>
    </xf>
    <xf numFmtId="0" fontId="4" fillId="0" borderId="90" xfId="219" applyFont="1" applyBorder="1" applyAlignment="1">
      <alignment horizontal="left" vertical="center" wrapText="1"/>
    </xf>
    <xf numFmtId="0" fontId="4" fillId="0" borderId="91" xfId="219" applyFont="1" applyBorder="1" applyAlignment="1">
      <alignment horizontal="left" vertical="center" wrapText="1"/>
    </xf>
    <xf numFmtId="0" fontId="4" fillId="26" borderId="75" xfId="219" applyFont="1" applyFill="1" applyBorder="1" applyAlignment="1">
      <alignment vertical="center"/>
    </xf>
    <xf numFmtId="0" fontId="4" fillId="0" borderId="92" xfId="219" applyNumberFormat="1" applyFont="1" applyBorder="1" applyAlignment="1">
      <alignment horizontal="left" vertical="center" wrapText="1"/>
    </xf>
    <xf numFmtId="0" fontId="15" fillId="17" borderId="45" xfId="219" applyFont="1" applyFill="1" applyBorder="1" applyAlignment="1" applyProtection="1">
      <alignment vertical="center" wrapText="1"/>
    </xf>
    <xf numFmtId="0" fontId="15" fillId="17" borderId="93" xfId="219" applyFont="1" applyFill="1" applyBorder="1" applyAlignment="1" applyProtection="1">
      <alignment vertical="center" wrapText="1"/>
    </xf>
    <xf numFmtId="0" fontId="4" fillId="0" borderId="45" xfId="219" applyFont="1" applyBorder="1" applyAlignment="1">
      <alignment horizontal="left" vertical="center" wrapText="1"/>
    </xf>
    <xf numFmtId="0" fontId="4" fillId="0" borderId="94" xfId="219" applyFont="1" applyBorder="1" applyAlignment="1">
      <alignment horizontal="left" vertical="center" wrapText="1"/>
    </xf>
    <xf numFmtId="0" fontId="4" fillId="0" borderId="93" xfId="219" applyFont="1" applyBorder="1" applyAlignment="1">
      <alignment horizontal="left" vertical="center" wrapText="1"/>
    </xf>
    <xf numFmtId="0" fontId="4" fillId="0" borderId="93" xfId="219" applyNumberFormat="1" applyFont="1" applyBorder="1" applyAlignment="1">
      <alignment horizontal="left" vertical="center" wrapText="1"/>
    </xf>
    <xf numFmtId="0" fontId="4" fillId="26" borderId="58" xfId="219" applyFont="1" applyFill="1" applyBorder="1" applyAlignment="1">
      <alignment vertical="center"/>
    </xf>
    <xf numFmtId="0" fontId="4" fillId="0" borderId="58" xfId="219" applyFont="1" applyBorder="1" applyAlignment="1">
      <alignment horizontal="left" vertical="center" wrapText="1"/>
    </xf>
    <xf numFmtId="0" fontId="4" fillId="0" borderId="43" xfId="219" applyNumberFormat="1" applyFont="1" applyBorder="1" applyAlignment="1">
      <alignment horizontal="left" vertical="center" wrapText="1"/>
    </xf>
    <xf numFmtId="0" fontId="4" fillId="26" borderId="82" xfId="219" applyFont="1" applyFill="1" applyBorder="1" applyAlignment="1">
      <alignment vertical="center"/>
    </xf>
    <xf numFmtId="0" fontId="4" fillId="0" borderId="95" xfId="219" applyNumberFormat="1" applyFont="1" applyBorder="1" applyAlignment="1">
      <alignment horizontal="left" vertical="center" wrapText="1"/>
    </xf>
    <xf numFmtId="0" fontId="4" fillId="27" borderId="34" xfId="219" applyFont="1" applyFill="1" applyBorder="1"/>
    <xf numFmtId="0" fontId="4" fillId="27" borderId="35" xfId="219" applyFont="1" applyFill="1" applyBorder="1"/>
    <xf numFmtId="0" fontId="4" fillId="27" borderId="36" xfId="219" applyFont="1" applyFill="1" applyBorder="1"/>
    <xf numFmtId="0" fontId="4" fillId="27" borderId="40" xfId="219" applyFont="1" applyFill="1" applyBorder="1"/>
    <xf numFmtId="0" fontId="4" fillId="27" borderId="41" xfId="219" applyFont="1" applyFill="1" applyBorder="1"/>
    <xf numFmtId="0" fontId="6" fillId="27" borderId="39" xfId="219" applyFont="1" applyFill="1" applyBorder="1" applyAlignment="1"/>
    <xf numFmtId="0" fontId="6" fillId="27" borderId="40" xfId="219" applyFont="1" applyFill="1" applyBorder="1" applyAlignment="1"/>
    <xf numFmtId="0" fontId="4" fillId="0" borderId="35" xfId="219" applyFont="1" applyFill="1" applyBorder="1" applyAlignment="1">
      <alignment wrapText="1"/>
    </xf>
    <xf numFmtId="0" fontId="6" fillId="27" borderId="58" xfId="219" applyFont="1" applyFill="1" applyBorder="1"/>
    <xf numFmtId="0" fontId="6" fillId="0" borderId="0" xfId="219" applyFont="1" applyBorder="1"/>
    <xf numFmtId="0" fontId="6" fillId="0" borderId="0" xfId="219" applyFont="1" applyFill="1" applyBorder="1"/>
    <xf numFmtId="0" fontId="4" fillId="0" borderId="33" xfId="219" applyFont="1" applyBorder="1"/>
    <xf numFmtId="0" fontId="4" fillId="0" borderId="0" xfId="219" applyFont="1" applyBorder="1"/>
    <xf numFmtId="0" fontId="4" fillId="0" borderId="14" xfId="219" applyFont="1" applyBorder="1"/>
    <xf numFmtId="0" fontId="4" fillId="0" borderId="0" xfId="219" applyFont="1" applyFill="1" applyBorder="1" applyAlignment="1" applyProtection="1">
      <alignment vertical="center"/>
    </xf>
    <xf numFmtId="0" fontId="4" fillId="0" borderId="29" xfId="219" applyFont="1" applyBorder="1"/>
    <xf numFmtId="0" fontId="42" fillId="0" borderId="63" xfId="219" applyFont="1" applyFill="1" applyBorder="1"/>
    <xf numFmtId="0" fontId="42" fillId="0" borderId="68" xfId="219" applyFont="1" applyFill="1" applyBorder="1"/>
    <xf numFmtId="0" fontId="42" fillId="0" borderId="72" xfId="219" applyFont="1" applyFill="1" applyBorder="1"/>
    <xf numFmtId="0" fontId="43" fillId="34" borderId="34" xfId="0" applyFont="1" applyFill="1" applyBorder="1" applyAlignment="1">
      <alignment horizontal="centerContinuous"/>
    </xf>
    <xf numFmtId="0" fontId="44" fillId="34" borderId="35" xfId="0" applyFont="1" applyFill="1" applyBorder="1" applyAlignment="1">
      <alignment horizontal="left"/>
    </xf>
    <xf numFmtId="0" fontId="43" fillId="34" borderId="35" xfId="0" applyFont="1" applyFill="1" applyBorder="1" applyAlignment="1">
      <alignment horizontal="centerContinuous"/>
    </xf>
    <xf numFmtId="0" fontId="45" fillId="34" borderId="35" xfId="0" applyFont="1" applyFill="1" applyBorder="1" applyAlignment="1">
      <alignment horizontal="centerContinuous"/>
    </xf>
    <xf numFmtId="0" fontId="43" fillId="34" borderId="36" xfId="0" applyFont="1" applyFill="1" applyBorder="1" applyAlignment="1">
      <alignment horizontal="centerContinuous"/>
    </xf>
    <xf numFmtId="0" fontId="46" fillId="0" borderId="0" xfId="0" applyFont="1"/>
    <xf numFmtId="0" fontId="46" fillId="34" borderId="37" xfId="0" applyFont="1" applyFill="1" applyBorder="1"/>
    <xf numFmtId="0" fontId="43" fillId="34" borderId="0" xfId="0" applyFont="1" applyFill="1" applyBorder="1" applyAlignment="1">
      <alignment horizontal="left"/>
    </xf>
    <xf numFmtId="0" fontId="46" fillId="34" borderId="0" xfId="0" applyFont="1" applyFill="1" applyBorder="1" applyAlignment="1">
      <alignment wrapText="1"/>
    </xf>
    <xf numFmtId="0" fontId="0" fillId="34" borderId="0" xfId="0" applyFont="1" applyFill="1" applyBorder="1"/>
    <xf numFmtId="0" fontId="46" fillId="34" borderId="0" xfId="0" applyFont="1" applyFill="1" applyBorder="1"/>
    <xf numFmtId="0" fontId="46" fillId="34" borderId="38" xfId="0" applyFont="1" applyFill="1" applyBorder="1"/>
    <xf numFmtId="0" fontId="47" fillId="34" borderId="37" xfId="0" applyFont="1" applyFill="1" applyBorder="1"/>
    <xf numFmtId="0" fontId="48" fillId="34" borderId="0" xfId="0" applyFont="1" applyFill="1" applyBorder="1"/>
    <xf numFmtId="0" fontId="48" fillId="34" borderId="0" xfId="0" applyFont="1" applyFill="1" applyBorder="1" applyAlignment="1">
      <alignment wrapText="1"/>
    </xf>
    <xf numFmtId="0" fontId="49" fillId="0" borderId="14" xfId="0" applyFont="1" applyFill="1" applyBorder="1" applyAlignment="1">
      <alignment wrapText="1"/>
    </xf>
    <xf numFmtId="0" fontId="50" fillId="34" borderId="0" xfId="0" applyFont="1" applyFill="1" applyBorder="1" applyAlignment="1">
      <alignment horizontal="left"/>
    </xf>
    <xf numFmtId="0" fontId="50" fillId="34" borderId="0" xfId="0" applyFont="1" applyFill="1" applyBorder="1" applyAlignment="1">
      <alignment horizontal="right"/>
    </xf>
    <xf numFmtId="0" fontId="46" fillId="0" borderId="14" xfId="0" applyFont="1" applyFill="1" applyBorder="1"/>
    <xf numFmtId="14" fontId="46" fillId="0" borderId="14" xfId="0" applyNumberFormat="1" applyFont="1" applyFill="1" applyBorder="1"/>
    <xf numFmtId="0" fontId="46" fillId="34" borderId="0" xfId="0" applyFont="1" applyFill="1" applyBorder="1" applyAlignment="1">
      <alignment horizontal="centerContinuous" wrapText="1"/>
    </xf>
    <xf numFmtId="0" fontId="51" fillId="34" borderId="0" xfId="0" applyFont="1" applyFill="1" applyBorder="1"/>
    <xf numFmtId="0" fontId="50" fillId="34" borderId="0" xfId="0" applyFont="1" applyFill="1" applyBorder="1" applyAlignment="1">
      <alignment horizontal="right" wrapText="1"/>
    </xf>
    <xf numFmtId="0" fontId="52" fillId="34" borderId="0" xfId="0" applyFont="1" applyFill="1" applyBorder="1"/>
    <xf numFmtId="0" fontId="52" fillId="34" borderId="0" xfId="0" applyFont="1" applyFill="1" applyBorder="1" applyAlignment="1">
      <alignment horizontal="right" wrapText="1"/>
    </xf>
    <xf numFmtId="0" fontId="52" fillId="34" borderId="0" xfId="0" applyFont="1" applyFill="1" applyBorder="1" applyAlignment="1">
      <alignment wrapText="1"/>
    </xf>
    <xf numFmtId="0" fontId="53" fillId="35" borderId="31" xfId="0" applyFont="1" applyFill="1" applyBorder="1" applyAlignment="1">
      <alignment horizontal="centerContinuous"/>
    </xf>
    <xf numFmtId="0" fontId="53" fillId="35" borderId="32" xfId="0" applyFont="1" applyFill="1" applyBorder="1" applyAlignment="1">
      <alignment horizontal="centerContinuous"/>
    </xf>
    <xf numFmtId="0" fontId="46" fillId="35" borderId="30" xfId="0" applyFont="1" applyFill="1" applyBorder="1" applyAlignment="1">
      <alignment horizontal="centerContinuous"/>
    </xf>
    <xf numFmtId="0" fontId="54" fillId="36" borderId="31" xfId="0" applyFont="1" applyFill="1" applyBorder="1" applyAlignment="1">
      <alignment horizontal="centerContinuous"/>
    </xf>
    <xf numFmtId="0" fontId="54" fillId="36" borderId="30" xfId="0" applyFont="1" applyFill="1" applyBorder="1" applyAlignment="1">
      <alignment horizontal="centerContinuous"/>
    </xf>
    <xf numFmtId="0" fontId="54" fillId="37" borderId="31" xfId="0" applyFont="1" applyFill="1" applyBorder="1" applyAlignment="1">
      <alignment horizontal="centerContinuous"/>
    </xf>
    <xf numFmtId="0" fontId="54" fillId="37" borderId="30" xfId="0" applyFont="1" applyFill="1" applyBorder="1" applyAlignment="1">
      <alignment horizontal="centerContinuous"/>
    </xf>
    <xf numFmtId="0" fontId="54" fillId="34" borderId="14" xfId="0" applyFont="1" applyFill="1" applyBorder="1" applyAlignment="1">
      <alignment horizontal="center"/>
    </xf>
    <xf numFmtId="0" fontId="55" fillId="34" borderId="0" xfId="0" applyFont="1" applyFill="1" applyBorder="1"/>
    <xf numFmtId="0" fontId="56" fillId="36" borderId="29" xfId="0" applyFont="1" applyFill="1" applyBorder="1" applyAlignment="1">
      <alignment horizontal="center" wrapText="1"/>
    </xf>
    <xf numFmtId="0" fontId="56" fillId="36" borderId="18" xfId="0" applyFont="1" applyFill="1" applyBorder="1" applyAlignment="1">
      <alignment horizontal="center" wrapText="1"/>
    </xf>
    <xf numFmtId="0" fontId="56" fillId="37" borderId="18" xfId="0" applyFont="1" applyFill="1" applyBorder="1" applyAlignment="1">
      <alignment horizontal="center" wrapText="1"/>
    </xf>
    <xf numFmtId="0" fontId="56" fillId="34" borderId="18" xfId="0" applyFont="1" applyFill="1" applyBorder="1" applyAlignment="1">
      <alignment horizontal="center"/>
    </xf>
    <xf numFmtId="0" fontId="56" fillId="34" borderId="37" xfId="0" applyFont="1" applyFill="1" applyBorder="1"/>
    <xf numFmtId="0" fontId="57" fillId="35" borderId="14" xfId="0" applyFont="1" applyFill="1" applyBorder="1" applyAlignment="1">
      <alignment horizontal="center" wrapText="1"/>
    </xf>
    <xf numFmtId="0" fontId="58" fillId="35" borderId="14" xfId="0" applyFont="1" applyFill="1" applyBorder="1" applyAlignment="1">
      <alignment horizontal="center" wrapText="1"/>
    </xf>
    <xf numFmtId="0" fontId="52" fillId="36" borderId="14" xfId="0" applyFont="1" applyFill="1" applyBorder="1" applyAlignment="1">
      <alignment horizontal="center" wrapText="1"/>
    </xf>
    <xf numFmtId="0" fontId="52" fillId="37" borderId="14" xfId="0" applyFont="1" applyFill="1" applyBorder="1" applyAlignment="1">
      <alignment horizontal="center" wrapText="1"/>
    </xf>
    <xf numFmtId="0" fontId="52" fillId="34" borderId="18" xfId="0" applyFont="1" applyFill="1" applyBorder="1" applyAlignment="1">
      <alignment horizontal="centerContinuous" wrapText="1"/>
    </xf>
    <xf numFmtId="0" fontId="52" fillId="38" borderId="31" xfId="0" applyFont="1" applyFill="1" applyBorder="1"/>
    <xf numFmtId="0" fontId="58" fillId="38" borderId="30" xfId="0" applyFont="1" applyFill="1" applyBorder="1" applyAlignment="1">
      <alignment wrapText="1"/>
    </xf>
    <xf numFmtId="0" fontId="59" fillId="34" borderId="14" xfId="0" applyFont="1" applyFill="1" applyBorder="1" applyAlignment="1">
      <alignment horizontal="center" wrapText="1"/>
    </xf>
    <xf numFmtId="0" fontId="52" fillId="34" borderId="31" xfId="0" applyFont="1" applyFill="1" applyBorder="1" applyAlignment="1">
      <alignment horizontal="left"/>
    </xf>
    <xf numFmtId="0" fontId="60" fillId="34" borderId="37" xfId="0" applyFont="1" applyFill="1" applyBorder="1"/>
    <xf numFmtId="0" fontId="58" fillId="34" borderId="0" xfId="0" applyFont="1" applyFill="1" applyBorder="1" applyAlignment="1">
      <alignment horizontal="right" wrapText="1"/>
    </xf>
    <xf numFmtId="0" fontId="61" fillId="38" borderId="14" xfId="0" applyFont="1" applyFill="1" applyBorder="1" applyAlignment="1">
      <alignment wrapText="1"/>
    </xf>
    <xf numFmtId="0" fontId="62" fillId="0" borderId="31" xfId="0" applyFont="1" applyFill="1" applyBorder="1" applyAlignment="1">
      <alignment horizontal="center" wrapText="1"/>
    </xf>
    <xf numFmtId="0" fontId="63" fillId="36" borderId="31" xfId="0" applyFont="1" applyFill="1" applyBorder="1"/>
    <xf numFmtId="0" fontId="58" fillId="36" borderId="14" xfId="0" applyFont="1" applyFill="1" applyBorder="1"/>
    <xf numFmtId="0" fontId="64" fillId="34" borderId="37" xfId="0" applyFont="1" applyFill="1" applyBorder="1"/>
    <xf numFmtId="0" fontId="57" fillId="38" borderId="14" xfId="0" applyFont="1" applyFill="1" applyBorder="1" applyAlignment="1">
      <alignment wrapText="1"/>
    </xf>
    <xf numFmtId="0" fontId="58" fillId="0" borderId="31" xfId="0" applyFont="1" applyFill="1" applyBorder="1"/>
    <xf numFmtId="0" fontId="58" fillId="0" borderId="14" xfId="0" applyFont="1" applyFill="1" applyBorder="1"/>
    <xf numFmtId="0" fontId="64" fillId="34" borderId="37" xfId="0" applyFont="1" applyFill="1" applyBorder="1" applyAlignment="1">
      <alignment vertical="center"/>
    </xf>
    <xf numFmtId="0" fontId="52" fillId="34" borderId="0" xfId="0" applyFont="1" applyFill="1" applyBorder="1" applyAlignment="1">
      <alignment vertical="center"/>
    </xf>
    <xf numFmtId="0" fontId="58" fillId="34" borderId="0" xfId="0" applyFont="1" applyFill="1" applyBorder="1" applyAlignment="1">
      <alignment horizontal="right" vertical="center" wrapText="1"/>
    </xf>
    <xf numFmtId="0" fontId="57" fillId="38" borderId="14" xfId="0" applyFont="1" applyFill="1" applyBorder="1" applyAlignment="1">
      <alignment vertical="center" wrapText="1"/>
    </xf>
    <xf numFmtId="0" fontId="62" fillId="0" borderId="31" xfId="0" applyFont="1" applyFill="1" applyBorder="1" applyAlignment="1">
      <alignment horizontal="center" vertical="center" wrapText="1"/>
    </xf>
    <xf numFmtId="0" fontId="58" fillId="0" borderId="31" xfId="0" applyFont="1" applyFill="1" applyBorder="1" applyAlignment="1">
      <alignment vertical="center"/>
    </xf>
    <xf numFmtId="0" fontId="58" fillId="0" borderId="14" xfId="0" applyFont="1" applyFill="1" applyBorder="1" applyAlignment="1">
      <alignment vertical="center"/>
    </xf>
    <xf numFmtId="0" fontId="58" fillId="0" borderId="14" xfId="0" applyFont="1" applyFill="1" applyBorder="1" applyAlignment="1">
      <alignment vertical="center" wrapText="1"/>
    </xf>
    <xf numFmtId="0" fontId="58" fillId="0" borderId="14" xfId="0" applyFont="1" applyFill="1" applyBorder="1" applyAlignment="1">
      <alignment horizontal="left" vertical="center" wrapText="1"/>
    </xf>
    <xf numFmtId="0" fontId="9" fillId="0" borderId="14" xfId="5" applyFill="1" applyBorder="1" applyAlignment="1" applyProtection="1">
      <alignment vertical="center" wrapText="1"/>
    </xf>
    <xf numFmtId="0" fontId="46" fillId="34" borderId="38" xfId="0" applyFont="1" applyFill="1" applyBorder="1" applyAlignment="1">
      <alignment vertical="center"/>
    </xf>
    <xf numFmtId="0" fontId="46" fillId="0" borderId="0" xfId="0" applyFont="1" applyAlignment="1">
      <alignment vertical="center"/>
    </xf>
    <xf numFmtId="0" fontId="65" fillId="34" borderId="37" xfId="0" applyFont="1" applyFill="1" applyBorder="1"/>
    <xf numFmtId="0" fontId="58" fillId="34" borderId="0" xfId="0" applyFont="1" applyFill="1" applyBorder="1"/>
    <xf numFmtId="0" fontId="66" fillId="38" borderId="14" xfId="0" applyFont="1" applyFill="1" applyBorder="1" applyAlignment="1">
      <alignment wrapText="1"/>
    </xf>
    <xf numFmtId="0" fontId="67" fillId="34" borderId="37" xfId="0" applyFont="1" applyFill="1" applyBorder="1"/>
    <xf numFmtId="0" fontId="62" fillId="34" borderId="0" xfId="0" applyFont="1" applyFill="1" applyBorder="1" applyAlignment="1">
      <alignment horizontal="center" wrapText="1"/>
    </xf>
    <xf numFmtId="0" fontId="52" fillId="34" borderId="22" xfId="0" applyFont="1" applyFill="1" applyBorder="1" applyAlignment="1">
      <alignment wrapText="1"/>
    </xf>
    <xf numFmtId="0" fontId="6" fillId="36" borderId="14" xfId="0" applyFont="1" applyFill="1" applyBorder="1" applyAlignment="1">
      <alignment horizontal="center" wrapText="1"/>
    </xf>
    <xf numFmtId="0" fontId="54" fillId="36" borderId="14" xfId="0" applyFont="1" applyFill="1" applyBorder="1" applyAlignment="1">
      <alignment horizontal="center"/>
    </xf>
    <xf numFmtId="0" fontId="54" fillId="32" borderId="31" xfId="0" applyFont="1" applyFill="1" applyBorder="1"/>
    <xf numFmtId="0" fontId="46" fillId="32" borderId="32" xfId="0" applyFont="1" applyFill="1" applyBorder="1"/>
    <xf numFmtId="0" fontId="58" fillId="32" borderId="32" xfId="0" applyFont="1" applyFill="1" applyBorder="1"/>
    <xf numFmtId="0" fontId="58" fillId="32" borderId="30" xfId="0" applyFont="1" applyFill="1" applyBorder="1"/>
    <xf numFmtId="0" fontId="52" fillId="38" borderId="32" xfId="0" applyFont="1" applyFill="1" applyBorder="1" applyAlignment="1">
      <alignment wrapText="1"/>
    </xf>
    <xf numFmtId="0" fontId="52" fillId="38" borderId="14" xfId="0" applyFont="1" applyFill="1" applyBorder="1" applyAlignment="1">
      <alignment wrapText="1"/>
    </xf>
    <xf numFmtId="0" fontId="50" fillId="0" borderId="31" xfId="0" applyFont="1" applyFill="1" applyBorder="1"/>
    <xf numFmtId="0" fontId="58" fillId="0" borderId="32" xfId="0" applyFont="1" applyFill="1" applyBorder="1"/>
    <xf numFmtId="0" fontId="58" fillId="0" borderId="30" xfId="0" applyFont="1" applyFill="1" applyBorder="1"/>
    <xf numFmtId="0" fontId="62" fillId="34" borderId="0" xfId="0" applyFont="1" applyFill="1" applyBorder="1" applyAlignment="1">
      <alignment wrapText="1"/>
    </xf>
    <xf numFmtId="0" fontId="68" fillId="35" borderId="14" xfId="0" applyFont="1" applyFill="1" applyBorder="1"/>
    <xf numFmtId="0" fontId="68" fillId="35" borderId="30" xfId="0" applyFont="1" applyFill="1" applyBorder="1"/>
    <xf numFmtId="0" fontId="69" fillId="35" borderId="30" xfId="0" applyFont="1" applyFill="1" applyBorder="1"/>
    <xf numFmtId="0" fontId="54" fillId="36" borderId="31" xfId="0" applyFont="1" applyFill="1" applyBorder="1"/>
    <xf numFmtId="0" fontId="54" fillId="36" borderId="30" xfId="0" applyFont="1" applyFill="1" applyBorder="1"/>
    <xf numFmtId="0" fontId="54" fillId="37" borderId="31" xfId="0" applyFont="1" applyFill="1" applyBorder="1"/>
    <xf numFmtId="0" fontId="54" fillId="37" borderId="30" xfId="0" applyFont="1" applyFill="1" applyBorder="1"/>
    <xf numFmtId="0" fontId="54" fillId="34" borderId="14" xfId="0" applyFont="1" applyFill="1" applyBorder="1"/>
    <xf numFmtId="0" fontId="15" fillId="35" borderId="14" xfId="0" applyFont="1" applyFill="1" applyBorder="1" applyAlignment="1">
      <alignment horizontal="center" wrapText="1"/>
    </xf>
    <xf numFmtId="0" fontId="56" fillId="35" borderId="29" xfId="0" applyFont="1" applyFill="1" applyBorder="1" applyAlignment="1">
      <alignment horizontal="centerContinuous" wrapText="1"/>
    </xf>
    <xf numFmtId="0" fontId="54" fillId="34" borderId="37" xfId="0" applyFont="1" applyFill="1" applyBorder="1"/>
    <xf numFmtId="0" fontId="70" fillId="34" borderId="0" xfId="0" applyFont="1" applyFill="1" applyBorder="1" applyAlignment="1">
      <alignment wrapText="1"/>
    </xf>
    <xf numFmtId="0" fontId="50" fillId="35" borderId="14" xfId="0" applyFont="1" applyFill="1" applyBorder="1" applyAlignment="1">
      <alignment horizontal="center" wrapText="1"/>
    </xf>
    <xf numFmtId="0" fontId="52" fillId="35" borderId="16" xfId="0" applyFont="1" applyFill="1" applyBorder="1" applyAlignment="1">
      <alignment horizontal="centerContinuous" wrapText="1"/>
    </xf>
    <xf numFmtId="0" fontId="52" fillId="36" borderId="14" xfId="0" applyFont="1" applyFill="1" applyBorder="1" applyAlignment="1">
      <alignment horizontal="left" wrapText="1"/>
    </xf>
    <xf numFmtId="0" fontId="52" fillId="37" borderId="14" xfId="0" applyFont="1" applyFill="1" applyBorder="1" applyAlignment="1">
      <alignment horizontal="left" wrapText="1"/>
    </xf>
    <xf numFmtId="0" fontId="52" fillId="38" borderId="31" xfId="0" applyFont="1" applyFill="1" applyBorder="1" applyAlignment="1">
      <alignment horizontal="centerContinuous" wrapText="1"/>
    </xf>
    <xf numFmtId="0" fontId="58" fillId="38" borderId="30" xfId="0" applyFont="1" applyFill="1" applyBorder="1" applyAlignment="1">
      <alignment horizontal="centerContinuous" wrapText="1"/>
    </xf>
    <xf numFmtId="0" fontId="52" fillId="34" borderId="31" xfId="0" applyFont="1" applyFill="1" applyBorder="1" applyAlignment="1">
      <alignment horizontal="centerContinuous"/>
    </xf>
    <xf numFmtId="0" fontId="52" fillId="34" borderId="30" xfId="0" applyFont="1" applyFill="1" applyBorder="1" applyAlignment="1">
      <alignment horizontal="centerContinuous"/>
    </xf>
    <xf numFmtId="0" fontId="52" fillId="34" borderId="14" xfId="0" applyFont="1" applyFill="1" applyBorder="1" applyAlignment="1">
      <alignment horizontal="left"/>
    </xf>
    <xf numFmtId="0" fontId="66" fillId="38" borderId="14" xfId="0" applyFont="1" applyFill="1" applyBorder="1" applyAlignment="1">
      <alignment horizontal="left" wrapText="1"/>
    </xf>
    <xf numFmtId="0" fontId="62" fillId="0" borderId="31" xfId="0" applyFont="1" applyFill="1" applyBorder="1" applyAlignment="1">
      <alignment horizontal="centerContinuous" wrapText="1"/>
    </xf>
    <xf numFmtId="0" fontId="58" fillId="0" borderId="30" xfId="0" applyFont="1" applyFill="1" applyBorder="1" applyAlignment="1">
      <alignment horizontal="centerContinuous"/>
    </xf>
    <xf numFmtId="0" fontId="46" fillId="0" borderId="0" xfId="0" applyFont="1" applyBorder="1"/>
    <xf numFmtId="0" fontId="57" fillId="38" borderId="16" xfId="0" applyFont="1" applyFill="1" applyBorder="1" applyAlignment="1">
      <alignment horizontal="left" wrapText="1"/>
    </xf>
    <xf numFmtId="0" fontId="57" fillId="38" borderId="31" xfId="0" applyFont="1" applyFill="1" applyBorder="1" applyAlignment="1">
      <alignment horizontal="left" wrapText="1"/>
    </xf>
    <xf numFmtId="0" fontId="57" fillId="38" borderId="21" xfId="0" applyFont="1" applyFill="1" applyBorder="1" applyAlignment="1">
      <alignment horizontal="left" wrapText="1"/>
    </xf>
    <xf numFmtId="0" fontId="66" fillId="38" borderId="21" xfId="0" applyFont="1" applyFill="1" applyBorder="1" applyAlignment="1">
      <alignment horizontal="left" wrapText="1"/>
    </xf>
    <xf numFmtId="0" fontId="58" fillId="0" borderId="31" xfId="0" applyFont="1" applyFill="1" applyBorder="1" applyAlignment="1">
      <alignment horizontal="centerContinuous" wrapText="1"/>
    </xf>
    <xf numFmtId="0" fontId="58" fillId="0" borderId="32" xfId="0" applyFont="1" applyFill="1" applyBorder="1" applyAlignment="1">
      <alignment horizontal="centerContinuous" wrapText="1"/>
    </xf>
    <xf numFmtId="0" fontId="58" fillId="0" borderId="30" xfId="0" applyFont="1" applyFill="1" applyBorder="1" applyAlignment="1">
      <alignment horizontal="centerContinuous" wrapText="1"/>
    </xf>
    <xf numFmtId="0" fontId="50" fillId="34" borderId="0" xfId="0" applyFont="1" applyFill="1" applyBorder="1"/>
    <xf numFmtId="0" fontId="52" fillId="38" borderId="32" xfId="0" applyFont="1" applyFill="1" applyBorder="1" applyAlignment="1">
      <alignment horizontal="centerContinuous" wrapText="1"/>
    </xf>
    <xf numFmtId="0" fontId="52" fillId="38" borderId="14" xfId="0" applyFont="1" applyFill="1" applyBorder="1" applyAlignment="1">
      <alignment horizontal="centerContinuous" wrapText="1"/>
    </xf>
    <xf numFmtId="0" fontId="15" fillId="35" borderId="14" xfId="0" applyFont="1" applyFill="1" applyBorder="1" applyAlignment="1">
      <alignment horizontal="center"/>
    </xf>
    <xf numFmtId="0" fontId="54" fillId="35" borderId="14" xfId="0" applyFont="1" applyFill="1" applyBorder="1" applyAlignment="1">
      <alignment horizontal="center"/>
    </xf>
    <xf numFmtId="0" fontId="58" fillId="38" borderId="31" xfId="0" applyFont="1" applyFill="1" applyBorder="1"/>
    <xf numFmtId="0" fontId="46" fillId="38" borderId="32" xfId="0" applyFont="1" applyFill="1" applyBorder="1" applyAlignment="1">
      <alignment wrapText="1"/>
    </xf>
    <xf numFmtId="0" fontId="46" fillId="38" borderId="30" xfId="0" applyFont="1" applyFill="1" applyBorder="1" applyAlignment="1">
      <alignment wrapText="1"/>
    </xf>
    <xf numFmtId="0" fontId="50" fillId="0" borderId="14" xfId="0" applyFont="1" applyFill="1" applyBorder="1"/>
    <xf numFmtId="0" fontId="58" fillId="38" borderId="31" xfId="0" applyFont="1" applyFill="1" applyBorder="1" applyAlignment="1">
      <alignment horizontal="left"/>
    </xf>
    <xf numFmtId="0" fontId="46" fillId="38" borderId="32" xfId="0" applyFont="1" applyFill="1" applyBorder="1" applyAlignment="1">
      <alignment horizontal="left"/>
    </xf>
    <xf numFmtId="0" fontId="46" fillId="38" borderId="31" xfId="0" applyFont="1" applyFill="1" applyBorder="1" applyAlignment="1">
      <alignment horizontal="left" wrapText="1"/>
    </xf>
    <xf numFmtId="0" fontId="50" fillId="0" borderId="32" xfId="0" applyFont="1" applyFill="1" applyBorder="1"/>
    <xf numFmtId="0" fontId="15" fillId="34" borderId="0" xfId="0" applyFont="1" applyFill="1" applyBorder="1" applyAlignment="1">
      <alignment horizontal="center"/>
    </xf>
    <xf numFmtId="0" fontId="62" fillId="0" borderId="14" xfId="0" applyFont="1" applyFill="1" applyBorder="1" applyAlignment="1">
      <alignment horizontal="center" wrapText="1"/>
    </xf>
    <xf numFmtId="0" fontId="46" fillId="34" borderId="39" xfId="0" applyFont="1" applyFill="1" applyBorder="1"/>
    <xf numFmtId="0" fontId="46" fillId="34" borderId="40" xfId="0" applyFont="1" applyFill="1" applyBorder="1"/>
    <xf numFmtId="0" fontId="46" fillId="34" borderId="40" xfId="0" applyFont="1" applyFill="1" applyBorder="1" applyAlignment="1">
      <alignment wrapText="1"/>
    </xf>
    <xf numFmtId="0" fontId="50" fillId="34" borderId="40" xfId="0" applyFont="1" applyFill="1" applyBorder="1"/>
    <xf numFmtId="0" fontId="46" fillId="34" borderId="41" xfId="0" applyFont="1" applyFill="1" applyBorder="1"/>
    <xf numFmtId="0" fontId="46" fillId="0" borderId="0" xfId="0" applyFont="1" applyAlignment="1">
      <alignment wrapText="1"/>
    </xf>
    <xf numFmtId="0" fontId="0" fillId="0" borderId="0" xfId="0" applyFont="1"/>
    <xf numFmtId="0" fontId="0" fillId="32" borderId="0" xfId="0" applyFill="1"/>
    <xf numFmtId="0" fontId="36" fillId="23" borderId="18" xfId="249" applyFont="1" applyFill="1" applyBorder="1" applyAlignment="1">
      <alignment horizontal="centerContinuous"/>
    </xf>
    <xf numFmtId="0" fontId="37" fillId="26" borderId="14" xfId="0" applyFont="1" applyFill="1" applyBorder="1" applyAlignment="1">
      <alignment horizontal="center" wrapText="1"/>
    </xf>
    <xf numFmtId="0" fontId="3" fillId="39" borderId="0" xfId="248" applyFont="1" applyFill="1" applyBorder="1" applyAlignment="1">
      <alignment wrapText="1"/>
    </xf>
    <xf numFmtId="168" fontId="0" fillId="0" borderId="0" xfId="0" applyNumberFormat="1"/>
    <xf numFmtId="0" fontId="3" fillId="40" borderId="0" xfId="248" applyFont="1" applyFill="1" applyBorder="1" applyAlignment="1">
      <alignment wrapText="1"/>
    </xf>
    <xf numFmtId="0" fontId="3" fillId="38" borderId="0" xfId="248" applyFont="1" applyFill="1" applyBorder="1" applyAlignment="1">
      <alignment wrapText="1"/>
    </xf>
    <xf numFmtId="1" fontId="0" fillId="0" borderId="0" xfId="0" applyNumberFormat="1"/>
    <xf numFmtId="0" fontId="72" fillId="75" borderId="31" xfId="0" applyFont="1" applyFill="1" applyBorder="1" applyAlignment="1">
      <alignment horizontal="left" readingOrder="1"/>
    </xf>
    <xf numFmtId="0" fontId="72" fillId="75" borderId="30" xfId="0" applyFont="1" applyFill="1" applyBorder="1" applyAlignment="1">
      <alignment horizontal="center" wrapText="1" readingOrder="1"/>
    </xf>
    <xf numFmtId="0" fontId="37" fillId="21" borderId="14" xfId="0" applyFont="1" applyFill="1" applyBorder="1" applyAlignment="1">
      <alignment horizontal="center" wrapText="1" readingOrder="1"/>
    </xf>
    <xf numFmtId="0" fontId="37" fillId="21" borderId="30" xfId="0" applyFont="1" applyFill="1" applyBorder="1" applyAlignment="1">
      <alignment horizontal="center" wrapText="1" readingOrder="1"/>
    </xf>
    <xf numFmtId="168" fontId="37" fillId="21" borderId="30" xfId="0" applyNumberFormat="1" applyFont="1" applyFill="1" applyBorder="1" applyAlignment="1">
      <alignment horizontal="center" wrapText="1" readingOrder="1"/>
    </xf>
    <xf numFmtId="168" fontId="37" fillId="21" borderId="45" xfId="0" applyNumberFormat="1" applyFont="1" applyFill="1" applyBorder="1" applyAlignment="1">
      <alignment horizontal="centerContinuous" wrapText="1" readingOrder="1"/>
    </xf>
    <xf numFmtId="168" fontId="37" fillId="21" borderId="105" xfId="0" applyNumberFormat="1" applyFont="1" applyFill="1" applyBorder="1" applyAlignment="1">
      <alignment horizontal="centerContinuous" wrapText="1" readingOrder="1"/>
    </xf>
    <xf numFmtId="168" fontId="37" fillId="21" borderId="43" xfId="0" applyNumberFormat="1" applyFont="1" applyFill="1" applyBorder="1" applyAlignment="1">
      <alignment horizontal="centerContinuous" wrapText="1" readingOrder="1"/>
    </xf>
    <xf numFmtId="0" fontId="37" fillId="22" borderId="14" xfId="0" applyFont="1" applyFill="1" applyBorder="1" applyAlignment="1">
      <alignment horizontal="center" wrapText="1" readingOrder="1"/>
    </xf>
    <xf numFmtId="0" fontId="37" fillId="22" borderId="30" xfId="0" applyFont="1" applyFill="1" applyBorder="1" applyAlignment="1">
      <alignment horizontal="center" wrapText="1" readingOrder="1"/>
    </xf>
    <xf numFmtId="168" fontId="37" fillId="22" borderId="30" xfId="0" applyNumberFormat="1" applyFont="1" applyFill="1" applyBorder="1" applyAlignment="1">
      <alignment horizontal="center" wrapText="1" readingOrder="1"/>
    </xf>
    <xf numFmtId="0" fontId="14" fillId="0" borderId="0" xfId="0" applyFont="1">
      <alignment readingOrder="1"/>
    </xf>
    <xf numFmtId="49" fontId="0" fillId="0" borderId="0" xfId="0" applyNumberFormat="1">
      <alignment readingOrder="1"/>
    </xf>
    <xf numFmtId="0" fontId="0" fillId="77" borderId="0" xfId="0" applyFill="1">
      <alignment readingOrder="1"/>
    </xf>
    <xf numFmtId="0" fontId="0" fillId="0" borderId="0" xfId="0" applyFill="1" applyAlignment="1">
      <alignment vertical="center" wrapText="1" readingOrder="1"/>
    </xf>
    <xf numFmtId="0" fontId="0" fillId="0" borderId="0" xfId="0" applyFill="1">
      <alignment readingOrder="1"/>
    </xf>
    <xf numFmtId="0" fontId="0" fillId="0" borderId="0" xfId="0" quotePrefix="1" applyFill="1">
      <alignment readingOrder="1"/>
    </xf>
    <xf numFmtId="0" fontId="15" fillId="39" borderId="29" xfId="0" applyFont="1" applyFill="1" applyBorder="1"/>
    <xf numFmtId="0" fontId="15" fillId="29" borderId="14" xfId="0" applyFont="1" applyFill="1" applyBorder="1"/>
    <xf numFmtId="9" fontId="3" fillId="31" borderId="0" xfId="426" applyFill="1" applyAlignment="1">
      <alignment horizontal="center" readingOrder="1"/>
    </xf>
    <xf numFmtId="0" fontId="15" fillId="39" borderId="14" xfId="0" applyFont="1" applyFill="1" applyBorder="1"/>
    <xf numFmtId="0" fontId="15" fillId="78" borderId="14" xfId="0" applyFont="1" applyFill="1" applyBorder="1"/>
    <xf numFmtId="9" fontId="15" fillId="29" borderId="14" xfId="426" applyFont="1" applyFill="1" applyBorder="1"/>
    <xf numFmtId="0" fontId="15" fillId="29" borderId="29" xfId="0" applyFont="1" applyFill="1" applyBorder="1"/>
    <xf numFmtId="0" fontId="15" fillId="29" borderId="17" xfId="0" applyFont="1" applyFill="1" applyBorder="1"/>
    <xf numFmtId="0" fontId="15" fillId="29" borderId="18" xfId="0" applyFont="1" applyFill="1" applyBorder="1"/>
    <xf numFmtId="0" fontId="15" fillId="29" borderId="22" xfId="0" applyFont="1" applyFill="1" applyBorder="1"/>
    <xf numFmtId="0" fontId="15" fillId="29" borderId="23" xfId="0" applyFont="1" applyFill="1" applyBorder="1"/>
    <xf numFmtId="1" fontId="0" fillId="79" borderId="0" xfId="0" applyNumberFormat="1" applyFill="1" applyAlignment="1">
      <alignment horizontal="center" readingOrder="1"/>
    </xf>
    <xf numFmtId="0" fontId="0" fillId="0" borderId="0" xfId="0" applyAlignment="1">
      <alignment horizontal="center" readingOrder="1"/>
    </xf>
    <xf numFmtId="0" fontId="0" fillId="0" borderId="0" xfId="0" applyFill="1" applyAlignment="1">
      <alignment horizontal="center" readingOrder="1"/>
    </xf>
    <xf numFmtId="0" fontId="15" fillId="29" borderId="16" xfId="0" applyFont="1" applyFill="1" applyBorder="1"/>
    <xf numFmtId="0" fontId="15" fillId="29" borderId="21" xfId="0" applyFont="1" applyFill="1" applyBorder="1"/>
    <xf numFmtId="0" fontId="15" fillId="31" borderId="14" xfId="0" applyFont="1" applyFill="1" applyBorder="1"/>
    <xf numFmtId="168" fontId="15" fillId="31" borderId="14" xfId="0" applyNumberFormat="1" applyFont="1" applyFill="1" applyBorder="1"/>
    <xf numFmtId="0" fontId="15" fillId="29" borderId="31" xfId="0" applyFont="1" applyFill="1" applyBorder="1"/>
    <xf numFmtId="0" fontId="15" fillId="29" borderId="32" xfId="0" applyFont="1" applyFill="1" applyBorder="1"/>
    <xf numFmtId="0" fontId="15" fillId="29" borderId="30" xfId="0" applyFont="1" applyFill="1" applyBorder="1"/>
    <xf numFmtId="9" fontId="14" fillId="18" borderId="0" xfId="0" applyNumberFormat="1" applyFont="1" applyFill="1">
      <alignment readingOrder="1"/>
    </xf>
    <xf numFmtId="0" fontId="0" fillId="18" borderId="0" xfId="0" applyFill="1">
      <alignment readingOrder="1"/>
    </xf>
    <xf numFmtId="1" fontId="0" fillId="18" borderId="0" xfId="0" applyNumberFormat="1" applyFill="1">
      <alignment readingOrder="1"/>
    </xf>
    <xf numFmtId="168" fontId="0" fillId="0" borderId="0" xfId="0" applyNumberFormat="1" applyAlignment="1">
      <alignment horizontal="center" readingOrder="1"/>
    </xf>
    <xf numFmtId="168" fontId="0" fillId="78" borderId="0" xfId="0" applyNumberFormat="1" applyFill="1" applyAlignment="1">
      <alignment horizontal="center" readingOrder="1"/>
    </xf>
    <xf numFmtId="1" fontId="0" fillId="0" borderId="0" xfId="0" applyNumberFormat="1" applyFill="1">
      <alignment readingOrder="1"/>
    </xf>
    <xf numFmtId="175" fontId="0" fillId="0" borderId="0" xfId="0" applyNumberFormat="1">
      <alignment readingOrder="1"/>
    </xf>
    <xf numFmtId="175" fontId="0" fillId="0" borderId="0" xfId="0" applyNumberFormat="1" applyFill="1">
      <alignment readingOrder="1"/>
    </xf>
    <xf numFmtId="168" fontId="0" fillId="79" borderId="0" xfId="0" applyNumberFormat="1" applyFill="1" applyAlignment="1">
      <alignment horizontal="center" readingOrder="1"/>
    </xf>
    <xf numFmtId="168" fontId="15" fillId="29" borderId="14" xfId="0" applyNumberFormat="1" applyFont="1" applyFill="1" applyBorder="1"/>
    <xf numFmtId="0" fontId="3" fillId="0" borderId="0" xfId="178">
      <alignment readingOrder="1"/>
    </xf>
    <xf numFmtId="0" fontId="90" fillId="76" borderId="42" xfId="0" applyFont="1" applyFill="1" applyBorder="1"/>
    <xf numFmtId="0" fontId="90" fillId="76" borderId="44" xfId="0" applyFont="1" applyFill="1" applyBorder="1"/>
    <xf numFmtId="0" fontId="90" fillId="76" borderId="43" xfId="0" applyFont="1" applyFill="1" applyBorder="1"/>
    <xf numFmtId="0" fontId="4" fillId="0" borderId="0" xfId="0" applyFont="1"/>
    <xf numFmtId="0" fontId="91" fillId="29" borderId="33" xfId="427" applyFont="1" applyFill="1" applyBorder="1" applyAlignment="1">
      <alignment horizontal="left" vertical="center" wrapText="1"/>
    </xf>
    <xf numFmtId="0" fontId="14" fillId="29" borderId="14" xfId="427" applyFont="1" applyFill="1" applyBorder="1" applyAlignment="1">
      <alignment horizontal="left" vertical="center" wrapText="1"/>
    </xf>
    <xf numFmtId="0" fontId="3" fillId="0" borderId="14" xfId="427" applyFont="1" applyFill="1" applyBorder="1" applyAlignment="1">
      <alignment horizontal="left" vertical="center" wrapText="1"/>
    </xf>
    <xf numFmtId="0" fontId="3" fillId="0" borderId="14" xfId="427" applyFont="1" applyBorder="1" applyAlignment="1">
      <alignment horizontal="left" vertical="center" wrapText="1" readingOrder="1"/>
    </xf>
    <xf numFmtId="0" fontId="3" fillId="0" borderId="14" xfId="427" applyNumberFormat="1" applyFont="1" applyBorder="1" applyAlignment="1">
      <alignment horizontal="left" vertical="center" wrapText="1" readingOrder="1"/>
    </xf>
    <xf numFmtId="0" fontId="0" fillId="0" borderId="14" xfId="427" applyFont="1" applyBorder="1" applyAlignment="1">
      <alignment horizontal="left" vertical="center" wrapText="1" readingOrder="1"/>
    </xf>
    <xf numFmtId="0" fontId="91" fillId="29" borderId="14" xfId="427" applyFont="1" applyFill="1" applyBorder="1" applyAlignment="1">
      <alignment horizontal="left" vertical="center" wrapText="1"/>
    </xf>
    <xf numFmtId="0" fontId="92" fillId="0" borderId="14" xfId="427" applyFont="1" applyBorder="1" applyAlignment="1">
      <alignment horizontal="left" vertical="center" wrapText="1" readingOrder="1"/>
    </xf>
    <xf numFmtId="0" fontId="92" fillId="0" borderId="14" xfId="427" applyFont="1" applyBorder="1" applyAlignment="1">
      <alignment vertical="center" wrapText="1" readingOrder="1"/>
    </xf>
    <xf numFmtId="0" fontId="35" fillId="83" borderId="30" xfId="249" applyFont="1" applyFill="1" applyBorder="1" applyAlignment="1">
      <alignment horizontal="center"/>
    </xf>
    <xf numFmtId="0" fontId="37" fillId="79" borderId="30" xfId="249" applyFont="1" applyFill="1" applyBorder="1" applyAlignment="1">
      <alignment horizontal="center" wrapText="1"/>
    </xf>
    <xf numFmtId="0" fontId="37" fillId="79" borderId="14" xfId="249" applyFont="1" applyFill="1" applyBorder="1" applyAlignment="1">
      <alignment horizontal="center" wrapText="1"/>
    </xf>
    <xf numFmtId="0" fontId="72" fillId="85" borderId="31" xfId="0" applyFont="1" applyFill="1" applyBorder="1" applyAlignment="1">
      <alignment horizontal="left" wrapText="1" readingOrder="1"/>
    </xf>
    <xf numFmtId="0" fontId="72" fillId="85" borderId="30" xfId="0" applyFont="1" applyFill="1" applyBorder="1" applyAlignment="1">
      <alignment horizontal="center" wrapText="1" readingOrder="1"/>
    </xf>
    <xf numFmtId="0" fontId="72" fillId="75" borderId="32" xfId="0" applyFont="1" applyFill="1" applyBorder="1" applyAlignment="1">
      <alignment horizontal="center" wrapText="1" readingOrder="1"/>
    </xf>
    <xf numFmtId="0" fontId="0" fillId="0" borderId="34" xfId="0" applyBorder="1">
      <alignment readingOrder="1"/>
    </xf>
    <xf numFmtId="0" fontId="0" fillId="0" borderId="35" xfId="0" applyBorder="1">
      <alignment readingOrder="1"/>
    </xf>
    <xf numFmtId="0" fontId="0" fillId="0" borderId="36" xfId="0" applyBorder="1">
      <alignment readingOrder="1"/>
    </xf>
    <xf numFmtId="0" fontId="0" fillId="0" borderId="37" xfId="0" applyBorder="1">
      <alignment readingOrder="1"/>
    </xf>
    <xf numFmtId="0" fontId="0" fillId="0" borderId="0" xfId="0" applyBorder="1">
      <alignment readingOrder="1"/>
    </xf>
    <xf numFmtId="0" fontId="0" fillId="0" borderId="38" xfId="0" applyBorder="1">
      <alignment readingOrder="1"/>
    </xf>
    <xf numFmtId="0" fontId="0" fillId="0" borderId="39" xfId="0" applyBorder="1">
      <alignment readingOrder="1"/>
    </xf>
    <xf numFmtId="0" fontId="0" fillId="0" borderId="40" xfId="0" applyBorder="1">
      <alignment readingOrder="1"/>
    </xf>
    <xf numFmtId="0" fontId="0" fillId="0" borderId="41" xfId="0" applyBorder="1">
      <alignment readingOrder="1"/>
    </xf>
    <xf numFmtId="0" fontId="37" fillId="27" borderId="42" xfId="0" applyFont="1" applyFill="1" applyBorder="1" applyAlignment="1">
      <alignment horizontal="centerContinuous" wrapText="1" readingOrder="1"/>
    </xf>
    <xf numFmtId="0" fontId="37" fillId="27" borderId="43" xfId="0" applyFont="1" applyFill="1" applyBorder="1" applyAlignment="1">
      <alignment horizontal="centerContinuous" wrapText="1" readingOrder="1"/>
    </xf>
    <xf numFmtId="168" fontId="37" fillId="27" borderId="42" xfId="0" applyNumberFormat="1" applyFont="1" applyFill="1" applyBorder="1" applyAlignment="1">
      <alignment horizontal="centerContinuous" wrapText="1" readingOrder="1"/>
    </xf>
    <xf numFmtId="168" fontId="37" fillId="27" borderId="44" xfId="0" applyNumberFormat="1" applyFont="1" applyFill="1" applyBorder="1" applyAlignment="1">
      <alignment horizontal="centerContinuous" wrapText="1" readingOrder="1"/>
    </xf>
    <xf numFmtId="168" fontId="37" fillId="27" borderId="43" xfId="0" applyNumberFormat="1" applyFont="1" applyFill="1" applyBorder="1" applyAlignment="1">
      <alignment horizontal="centerContinuous" wrapText="1" readingOrder="1"/>
    </xf>
    <xf numFmtId="168" fontId="37" fillId="27" borderId="32" xfId="0" applyNumberFormat="1" applyFont="1" applyFill="1" applyBorder="1" applyAlignment="1">
      <alignment horizontal="center" wrapText="1" readingOrder="1"/>
    </xf>
    <xf numFmtId="177" fontId="37" fillId="22" borderId="30" xfId="0" applyNumberFormat="1" applyFont="1" applyFill="1" applyBorder="1" applyAlignment="1">
      <alignment horizontal="center" wrapText="1" readingOrder="1"/>
    </xf>
    <xf numFmtId="168" fontId="99" fillId="0" borderId="0" xfId="0" applyNumberFormat="1" applyFont="1">
      <alignment readingOrder="1"/>
    </xf>
    <xf numFmtId="0" fontId="37" fillId="21" borderId="42" xfId="0" applyFont="1" applyFill="1" applyBorder="1" applyAlignment="1">
      <alignment horizontal="centerContinuous" wrapText="1" readingOrder="1"/>
    </xf>
    <xf numFmtId="0" fontId="37" fillId="21" borderId="44" xfId="0" applyFont="1" applyFill="1" applyBorder="1" applyAlignment="1">
      <alignment horizontal="centerContinuous" wrapText="1" readingOrder="1"/>
    </xf>
    <xf numFmtId="168" fontId="37" fillId="21" borderId="44" xfId="0" applyNumberFormat="1" applyFont="1" applyFill="1" applyBorder="1" applyAlignment="1">
      <alignment horizontal="centerContinuous" wrapText="1" readingOrder="1"/>
    </xf>
    <xf numFmtId="168" fontId="37" fillId="21" borderId="32" xfId="0" applyNumberFormat="1" applyFont="1" applyFill="1" applyBorder="1" applyAlignment="1">
      <alignment horizontal="center" wrapText="1" readingOrder="1"/>
    </xf>
    <xf numFmtId="168" fontId="37" fillId="21" borderId="42" xfId="0" applyNumberFormat="1" applyFont="1" applyFill="1" applyBorder="1" applyAlignment="1">
      <alignment horizontal="centerContinuous" wrapText="1" readingOrder="1"/>
    </xf>
    <xf numFmtId="168" fontId="14" fillId="0" borderId="0" xfId="0" applyNumberFormat="1" applyFont="1">
      <alignment readingOrder="1"/>
    </xf>
    <xf numFmtId="178" fontId="14" fillId="0" borderId="0" xfId="0" applyNumberFormat="1" applyFont="1">
      <alignment readingOrder="1"/>
    </xf>
    <xf numFmtId="178" fontId="0" fillId="0" borderId="0" xfId="0" applyNumberFormat="1">
      <alignment readingOrder="1"/>
    </xf>
    <xf numFmtId="178" fontId="99" fillId="0" borderId="0" xfId="0" applyNumberFormat="1" applyFont="1">
      <alignment readingOrder="1"/>
    </xf>
    <xf numFmtId="9" fontId="0" fillId="0" borderId="58" xfId="0" applyNumberFormat="1" applyBorder="1">
      <alignment readingOrder="1"/>
    </xf>
    <xf numFmtId="9" fontId="15" fillId="29" borderId="31" xfId="426" applyFont="1" applyFill="1" applyBorder="1"/>
    <xf numFmtId="2" fontId="0" fillId="79" borderId="0" xfId="0" applyNumberFormat="1" applyFill="1" applyAlignment="1">
      <alignment horizontal="center" readingOrder="1"/>
    </xf>
    <xf numFmtId="43" fontId="0" fillId="79" borderId="0" xfId="510" applyFont="1" applyFill="1" applyAlignment="1">
      <alignment horizontal="center" readingOrder="1"/>
    </xf>
    <xf numFmtId="0" fontId="0" fillId="29" borderId="0" xfId="0" applyFill="1">
      <alignment readingOrder="1"/>
    </xf>
    <xf numFmtId="0" fontId="0" fillId="29" borderId="0" xfId="0" applyFill="1" applyAlignment="1">
      <alignment vertical="center" wrapText="1" readingOrder="1"/>
    </xf>
    <xf numFmtId="168" fontId="0" fillId="77" borderId="0" xfId="0" applyNumberFormat="1" applyFill="1">
      <alignment readingOrder="1"/>
    </xf>
    <xf numFmtId="0" fontId="0" fillId="76" borderId="0" xfId="0" applyFill="1" applyAlignment="1">
      <alignment horizontal="left" vertical="center" readingOrder="1"/>
    </xf>
    <xf numFmtId="0" fontId="37" fillId="24" borderId="16" xfId="249" applyFont="1" applyFill="1" applyBorder="1" applyAlignment="1">
      <alignment horizontal="center"/>
    </xf>
    <xf numFmtId="0" fontId="37" fillId="24" borderId="17" xfId="249" applyFont="1" applyFill="1" applyBorder="1" applyAlignment="1">
      <alignment horizontal="center"/>
    </xf>
    <xf numFmtId="0" fontId="37" fillId="24" borderId="18" xfId="249" applyFont="1" applyFill="1" applyBorder="1" applyAlignment="1">
      <alignment horizontal="center"/>
    </xf>
    <xf numFmtId="0" fontId="34" fillId="25" borderId="29" xfId="0" applyFont="1" applyFill="1" applyBorder="1" applyAlignment="1">
      <alignment horizontal="center"/>
    </xf>
    <xf numFmtId="0" fontId="14" fillId="0" borderId="29" xfId="0" applyFont="1" applyBorder="1" applyAlignment="1">
      <alignment horizontal="center"/>
    </xf>
    <xf numFmtId="0" fontId="14" fillId="84" borderId="14" xfId="249" applyFont="1" applyFill="1" applyBorder="1" applyAlignment="1">
      <alignment horizontal="center"/>
    </xf>
    <xf numFmtId="0" fontId="37" fillId="24" borderId="31" xfId="249" applyFont="1" applyFill="1" applyBorder="1" applyAlignment="1">
      <alignment horizontal="center"/>
    </xf>
    <xf numFmtId="0" fontId="37" fillId="24" borderId="32" xfId="249" applyFont="1" applyFill="1" applyBorder="1" applyAlignment="1">
      <alignment horizontal="center"/>
    </xf>
    <xf numFmtId="0" fontId="37" fillId="24" borderId="30" xfId="249" applyFont="1" applyFill="1" applyBorder="1" applyAlignment="1">
      <alignment horizontal="center"/>
    </xf>
    <xf numFmtId="0" fontId="34" fillId="25" borderId="14" xfId="0" applyFont="1" applyFill="1" applyBorder="1" applyAlignment="1">
      <alignment horizontal="center"/>
    </xf>
    <xf numFmtId="0" fontId="14" fillId="0" borderId="14" xfId="0" applyFont="1" applyBorder="1" applyAlignment="1">
      <alignment horizontal="center"/>
    </xf>
    <xf numFmtId="0" fontId="15" fillId="0" borderId="62" xfId="219" applyFont="1" applyFill="1" applyBorder="1" applyAlignment="1">
      <alignment horizontal="center" wrapText="1"/>
    </xf>
    <xf numFmtId="0" fontId="15" fillId="0" borderId="78" xfId="219" applyFont="1" applyFill="1" applyBorder="1" applyAlignment="1">
      <alignment horizontal="center" wrapText="1"/>
    </xf>
    <xf numFmtId="0" fontId="15" fillId="0" borderId="63" xfId="219" applyFont="1" applyFill="1" applyBorder="1" applyAlignment="1">
      <alignment horizontal="center" wrapText="1"/>
    </xf>
    <xf numFmtId="8" fontId="4" fillId="0" borderId="67" xfId="219" applyNumberFormat="1" applyBorder="1" applyAlignment="1">
      <alignment horizontal="center" vertical="center" wrapText="1"/>
    </xf>
    <xf numFmtId="8" fontId="4" fillId="0" borderId="68" xfId="219" applyNumberFormat="1" applyFont="1" applyBorder="1" applyAlignment="1">
      <alignment horizontal="center" vertical="center" wrapText="1"/>
    </xf>
    <xf numFmtId="0" fontId="15" fillId="0" borderId="67" xfId="219" applyFont="1" applyFill="1" applyBorder="1" applyAlignment="1">
      <alignment horizontal="center" wrapText="1"/>
    </xf>
    <xf numFmtId="0" fontId="15" fillId="0" borderId="14" xfId="219" applyFont="1" applyFill="1" applyBorder="1" applyAlignment="1">
      <alignment horizontal="center" wrapText="1"/>
    </xf>
    <xf numFmtId="0" fontId="15" fillId="0" borderId="68" xfId="219" applyFont="1" applyFill="1" applyBorder="1" applyAlignment="1">
      <alignment horizontal="center" wrapText="1"/>
    </xf>
    <xf numFmtId="0" fontId="6" fillId="0" borderId="76" xfId="219" applyFont="1" applyBorder="1" applyAlignment="1">
      <alignment horizontal="center" vertical="center" wrapText="1"/>
    </xf>
    <xf numFmtId="0" fontId="6" fillId="0" borderId="81" xfId="219" applyFont="1" applyBorder="1" applyAlignment="1">
      <alignment horizontal="center" vertical="center" wrapText="1"/>
    </xf>
    <xf numFmtId="0" fontId="6" fillId="0" borderId="89" xfId="219" applyFont="1" applyBorder="1" applyAlignment="1">
      <alignment horizontal="center" vertical="center" wrapText="1"/>
    </xf>
    <xf numFmtId="0" fontId="15" fillId="17" borderId="62" xfId="219" applyFont="1" applyFill="1" applyBorder="1" applyAlignment="1" applyProtection="1">
      <alignment horizontal="left" vertical="top" wrapText="1"/>
    </xf>
    <xf numFmtId="0" fontId="15" fillId="17" borderId="69" xfId="219" applyFont="1" applyFill="1" applyBorder="1" applyAlignment="1" applyProtection="1">
      <alignment horizontal="left" vertical="top" wrapText="1"/>
    </xf>
    <xf numFmtId="0" fontId="15" fillId="17" borderId="67" xfId="219" applyFont="1" applyFill="1" applyBorder="1" applyAlignment="1" applyProtection="1">
      <alignment horizontal="left" vertical="top" wrapText="1"/>
    </xf>
    <xf numFmtId="0" fontId="6" fillId="0" borderId="42" xfId="219" applyFont="1" applyFill="1" applyBorder="1" applyAlignment="1">
      <alignment horizontal="center" vertical="center"/>
    </xf>
    <xf numFmtId="0" fontId="6" fillId="0" borderId="44" xfId="219" applyFont="1" applyFill="1" applyBorder="1" applyAlignment="1">
      <alignment horizontal="center" vertical="center"/>
    </xf>
    <xf numFmtId="0" fontId="6" fillId="0" borderId="43" xfId="219" applyFont="1" applyFill="1" applyBorder="1" applyAlignment="1">
      <alignment horizontal="center" vertical="center"/>
    </xf>
    <xf numFmtId="0" fontId="15" fillId="17" borderId="79" xfId="219" applyFont="1" applyFill="1" applyBorder="1" applyAlignment="1" applyProtection="1">
      <alignment horizontal="left" vertical="top" wrapText="1"/>
    </xf>
    <xf numFmtId="0" fontId="15" fillId="0" borderId="67" xfId="219" applyFont="1" applyBorder="1" applyAlignment="1">
      <alignment horizontal="left" vertical="top" wrapText="1"/>
    </xf>
    <xf numFmtId="0" fontId="15" fillId="0" borderId="84" xfId="219" applyFont="1" applyBorder="1" applyAlignment="1">
      <alignment horizontal="left" vertical="top" wrapText="1"/>
    </xf>
    <xf numFmtId="8" fontId="4" fillId="0" borderId="62" xfId="219" applyNumberFormat="1" applyBorder="1" applyAlignment="1">
      <alignment horizontal="center" vertical="center" wrapText="1"/>
    </xf>
    <xf numFmtId="8" fontId="4" fillId="0" borderId="63" xfId="219" quotePrefix="1" applyNumberFormat="1" applyFont="1" applyBorder="1" applyAlignment="1">
      <alignment horizontal="center" vertical="center" wrapText="1"/>
    </xf>
    <xf numFmtId="0" fontId="6" fillId="0" borderId="39" xfId="219" applyFont="1" applyBorder="1" applyAlignment="1">
      <alignment horizontal="left" vertical="center" wrapText="1"/>
    </xf>
    <xf numFmtId="0" fontId="6" fillId="0" borderId="40" xfId="219" applyFont="1" applyBorder="1" applyAlignment="1">
      <alignment horizontal="left" vertical="center" wrapText="1"/>
    </xf>
    <xf numFmtId="0" fontId="6" fillId="0" borderId="41" xfId="219" applyFont="1" applyBorder="1" applyAlignment="1">
      <alignment horizontal="left" vertical="center" wrapText="1"/>
    </xf>
    <xf numFmtId="0" fontId="4" fillId="0" borderId="34" xfId="219" applyFont="1" applyBorder="1" applyAlignment="1">
      <alignment horizontal="left" vertical="center" wrapText="1"/>
    </xf>
    <xf numFmtId="0" fontId="4" fillId="0" borderId="35" xfId="219" applyFont="1" applyBorder="1" applyAlignment="1">
      <alignment horizontal="left" vertical="center" wrapText="1"/>
    </xf>
    <xf numFmtId="0" fontId="4" fillId="0" borderId="36" xfId="219" applyFont="1" applyBorder="1" applyAlignment="1">
      <alignment horizontal="left" vertical="center" wrapText="1"/>
    </xf>
    <xf numFmtId="0" fontId="4" fillId="0" borderId="37" xfId="219" applyFont="1" applyBorder="1" applyAlignment="1">
      <alignment horizontal="left" vertical="center" wrapText="1"/>
    </xf>
    <xf numFmtId="0" fontId="4" fillId="0" borderId="0" xfId="219" applyFont="1" applyBorder="1" applyAlignment="1">
      <alignment horizontal="left" vertical="center" wrapText="1"/>
    </xf>
    <xf numFmtId="0" fontId="4" fillId="0" borderId="38" xfId="219" applyFont="1" applyBorder="1" applyAlignment="1">
      <alignment horizontal="left" vertical="center" wrapText="1"/>
    </xf>
    <xf numFmtId="0" fontId="4" fillId="0" borderId="39" xfId="219" applyFont="1" applyBorder="1" applyAlignment="1">
      <alignment horizontal="left" vertical="center" wrapText="1"/>
    </xf>
    <xf numFmtId="0" fontId="4" fillId="0" borderId="40" xfId="219" applyFont="1" applyBorder="1" applyAlignment="1">
      <alignment horizontal="left" vertical="center" wrapText="1"/>
    </xf>
    <xf numFmtId="0" fontId="4" fillId="0" borderId="41" xfId="219" applyFont="1" applyBorder="1" applyAlignment="1">
      <alignment horizontal="left" vertical="center" wrapText="1"/>
    </xf>
    <xf numFmtId="0" fontId="6" fillId="33" borderId="59" xfId="219" applyFont="1" applyFill="1" applyBorder="1" applyAlignment="1" applyProtection="1">
      <alignment horizontal="left" vertical="center" wrapText="1"/>
    </xf>
    <xf numFmtId="0" fontId="6" fillId="33" borderId="66" xfId="219" applyFont="1" applyFill="1" applyBorder="1" applyAlignment="1" applyProtection="1">
      <alignment horizontal="left" vertical="center" wrapText="1"/>
    </xf>
    <xf numFmtId="0" fontId="6" fillId="33" borderId="34" xfId="219" applyFont="1" applyFill="1" applyBorder="1" applyAlignment="1" applyProtection="1">
      <alignment horizontal="left" vertical="center"/>
    </xf>
    <xf numFmtId="0" fontId="6" fillId="33" borderId="37" xfId="219" applyFont="1" applyFill="1" applyBorder="1" applyAlignment="1" applyProtection="1">
      <alignment horizontal="left" vertical="center"/>
    </xf>
    <xf numFmtId="0" fontId="15" fillId="17" borderId="76" xfId="219" applyFont="1" applyFill="1" applyBorder="1" applyAlignment="1" applyProtection="1">
      <alignment vertical="top" wrapText="1"/>
    </xf>
    <xf numFmtId="0" fontId="15" fillId="0" borderId="81" xfId="219" applyFont="1" applyBorder="1" applyAlignment="1">
      <alignment vertical="top" wrapText="1"/>
    </xf>
    <xf numFmtId="0" fontId="34" fillId="25" borderId="31" xfId="180" applyFont="1" applyFill="1" applyBorder="1" applyAlignment="1">
      <alignment horizontal="center"/>
    </xf>
    <xf numFmtId="0" fontId="34" fillId="25" borderId="30" xfId="180" applyFont="1" applyFill="1" applyBorder="1" applyAlignment="1">
      <alignment horizontal="center"/>
    </xf>
    <xf numFmtId="0" fontId="14" fillId="26" borderId="0" xfId="180" applyFont="1" applyFill="1" applyAlignment="1">
      <alignment horizontal="center"/>
    </xf>
    <xf numFmtId="0" fontId="14" fillId="30" borderId="0" xfId="180" applyFont="1" applyFill="1" applyAlignment="1">
      <alignment horizontal="center"/>
    </xf>
    <xf numFmtId="0" fontId="14" fillId="17" borderId="0" xfId="180" applyFont="1" applyFill="1" applyAlignment="1">
      <alignment horizontal="center"/>
    </xf>
    <xf numFmtId="0" fontId="32" fillId="17" borderId="40" xfId="177" applyFont="1" applyFill="1" applyBorder="1" applyAlignment="1">
      <alignment horizontal="center"/>
    </xf>
    <xf numFmtId="0" fontId="32" fillId="17" borderId="46" xfId="177" applyFont="1" applyFill="1" applyBorder="1" applyAlignment="1">
      <alignment horizontal="center"/>
    </xf>
    <xf numFmtId="0" fontId="10" fillId="16" borderId="11" xfId="3" applyFont="1" applyFill="1" applyBorder="1" applyAlignment="1">
      <alignment horizontal="left" vertical="center" wrapText="1"/>
    </xf>
    <xf numFmtId="0" fontId="10" fillId="16" borderId="12" xfId="3" applyFont="1" applyFill="1" applyBorder="1" applyAlignment="1">
      <alignment horizontal="left" vertical="center" wrapText="1"/>
    </xf>
    <xf numFmtId="0" fontId="10" fillId="16" borderId="13" xfId="3" applyFont="1" applyFill="1" applyBorder="1" applyAlignment="1">
      <alignment horizontal="left" vertical="center" wrapText="1"/>
    </xf>
    <xf numFmtId="0" fontId="12" fillId="15" borderId="16" xfId="7" applyFont="1" applyFill="1" applyBorder="1" applyAlignment="1">
      <alignment horizontal="center" vertical="center" wrapText="1"/>
    </xf>
    <xf numFmtId="0" fontId="12" fillId="15" borderId="17" xfId="7" applyFont="1" applyFill="1" applyBorder="1" applyAlignment="1">
      <alignment horizontal="center" vertical="center" wrapText="1"/>
    </xf>
    <xf numFmtId="0" fontId="12" fillId="15" borderId="18" xfId="7" applyFont="1" applyFill="1" applyBorder="1" applyAlignment="1">
      <alignment horizontal="center" vertical="center" wrapText="1"/>
    </xf>
    <xf numFmtId="0" fontId="12" fillId="15" borderId="19" xfId="7" applyFont="1" applyFill="1" applyBorder="1" applyAlignment="1">
      <alignment horizontal="center" vertical="center" wrapText="1"/>
    </xf>
    <xf numFmtId="0" fontId="12" fillId="15" borderId="0" xfId="7" applyFont="1" applyFill="1" applyBorder="1" applyAlignment="1">
      <alignment horizontal="center" vertical="center" wrapText="1"/>
    </xf>
    <xf numFmtId="0" fontId="12" fillId="15" borderId="20" xfId="7" applyFont="1" applyFill="1" applyBorder="1" applyAlignment="1">
      <alignment horizontal="center" vertical="center" wrapText="1"/>
    </xf>
    <xf numFmtId="0" fontId="12" fillId="15" borderId="21" xfId="7" applyFont="1" applyFill="1" applyBorder="1" applyAlignment="1">
      <alignment horizontal="center" vertical="center" wrapText="1"/>
    </xf>
    <xf numFmtId="0" fontId="12" fillId="15" borderId="22" xfId="7" applyFont="1" applyFill="1" applyBorder="1" applyAlignment="1">
      <alignment horizontal="center" vertical="center" wrapText="1"/>
    </xf>
    <xf numFmtId="0" fontId="12" fillId="15" borderId="23" xfId="7" applyFont="1" applyFill="1" applyBorder="1" applyAlignment="1">
      <alignment horizontal="center" vertical="center" wrapText="1"/>
    </xf>
  </cellXfs>
  <cellStyles count="511">
    <cellStyle name="20% - Accent1 2" xfId="10"/>
    <cellStyle name="20% - Accent1 2 2" xfId="11"/>
    <cellStyle name="20% - Accent1 3" xfId="12"/>
    <cellStyle name="20% - Accent1 3 2" xfId="13"/>
    <cellStyle name="20% - Accent1 4" xfId="14"/>
    <cellStyle name="20% - Accent1 4 2" xfId="15"/>
    <cellStyle name="20% - Accent1 5" xfId="16"/>
    <cellStyle name="20% - Accent2 2" xfId="17"/>
    <cellStyle name="20% - Accent2 2 2" xfId="18"/>
    <cellStyle name="20% - Accent2 3" xfId="19"/>
    <cellStyle name="20% - Accent2 3 2" xfId="20"/>
    <cellStyle name="20% - Accent2 4" xfId="21"/>
    <cellStyle name="20% - Accent2 4 2" xfId="22"/>
    <cellStyle name="20% - Accent2 5" xfId="23"/>
    <cellStyle name="20% - Accent3 2" xfId="24"/>
    <cellStyle name="20% - Accent3 2 2" xfId="25"/>
    <cellStyle name="20% - Accent3 3" xfId="26"/>
    <cellStyle name="20% - Accent3 3 2" xfId="27"/>
    <cellStyle name="20% - Accent3 4" xfId="28"/>
    <cellStyle name="20% - Accent3 4 2" xfId="29"/>
    <cellStyle name="20% - Accent3 5" xfId="30"/>
    <cellStyle name="20% - Accent4 2" xfId="31"/>
    <cellStyle name="20% - Accent4 2 2" xfId="32"/>
    <cellStyle name="20% - Accent4 3" xfId="33"/>
    <cellStyle name="20% - Accent4 3 2" xfId="34"/>
    <cellStyle name="20% - Accent4 4" xfId="35"/>
    <cellStyle name="20% - Accent4 4 2" xfId="36"/>
    <cellStyle name="20% - Accent4 5" xfId="37"/>
    <cellStyle name="20% - Accent5 2" xfId="38"/>
    <cellStyle name="20% - Accent5 2 2" xfId="39"/>
    <cellStyle name="20% - Accent5 3" xfId="40"/>
    <cellStyle name="20% - Accent5 3 2" xfId="41"/>
    <cellStyle name="20% - Accent5 4" xfId="42"/>
    <cellStyle name="20% - Accent5 4 2" xfId="43"/>
    <cellStyle name="20% - Accent5 5" xfId="44"/>
    <cellStyle name="20% - Accent6 2" xfId="45"/>
    <cellStyle name="20% - Accent6 2 2" xfId="46"/>
    <cellStyle name="20% - Accent6 3" xfId="47"/>
    <cellStyle name="20% - Accent6 3 2" xfId="48"/>
    <cellStyle name="20% - Accent6 4" xfId="49"/>
    <cellStyle name="20% - Accent6 4 2" xfId="50"/>
    <cellStyle name="20% - Accent6 5" xfId="51"/>
    <cellStyle name="40% - Accent1 2" xfId="52"/>
    <cellStyle name="40% - Accent1 2 2" xfId="53"/>
    <cellStyle name="40% - Accent1 3" xfId="54"/>
    <cellStyle name="40% - Accent1 3 2" xfId="55"/>
    <cellStyle name="40% - Accent1 4" xfId="56"/>
    <cellStyle name="40% - Accent1 4 2" xfId="57"/>
    <cellStyle name="40% - Accent1 5" xfId="58"/>
    <cellStyle name="40% - Accent2 2" xfId="59"/>
    <cellStyle name="40% - Accent2 2 2" xfId="60"/>
    <cellStyle name="40% - Accent2 3" xfId="61"/>
    <cellStyle name="40% - Accent2 3 2" xfId="62"/>
    <cellStyle name="40% - Accent2 4" xfId="63"/>
    <cellStyle name="40% - Accent2 4 2" xfId="64"/>
    <cellStyle name="40% - Accent2 5" xfId="65"/>
    <cellStyle name="40% - Accent3 2" xfId="66"/>
    <cellStyle name="40% - Accent3 2 2" xfId="67"/>
    <cellStyle name="40% - Accent3 3" xfId="68"/>
    <cellStyle name="40% - Accent3 3 2" xfId="69"/>
    <cellStyle name="40% - Accent3 4" xfId="70"/>
    <cellStyle name="40% - Accent3 4 2" xfId="71"/>
    <cellStyle name="40% - Accent3 5" xfId="72"/>
    <cellStyle name="40% - Accent4 2" xfId="73"/>
    <cellStyle name="40% - Accent4 2 2" xfId="74"/>
    <cellStyle name="40% - Accent4 3" xfId="75"/>
    <cellStyle name="40% - Accent4 3 2" xfId="76"/>
    <cellStyle name="40% - Accent4 4" xfId="77"/>
    <cellStyle name="40% - Accent4 4 2" xfId="78"/>
    <cellStyle name="40% - Accent4 5" xfId="79"/>
    <cellStyle name="40% - Accent5 2" xfId="80"/>
    <cellStyle name="40% - Accent5 2 2" xfId="81"/>
    <cellStyle name="40% - Accent5 3" xfId="82"/>
    <cellStyle name="40% - Accent5 3 2" xfId="83"/>
    <cellStyle name="40% - Accent5 4" xfId="84"/>
    <cellStyle name="40% - Accent5 4 2" xfId="85"/>
    <cellStyle name="40% - Accent5 5" xfId="86"/>
    <cellStyle name="40% - Accent6 2" xfId="87"/>
    <cellStyle name="40% - Accent6 2 2" xfId="88"/>
    <cellStyle name="40% - Accent6 3" xfId="89"/>
    <cellStyle name="40% - Accent6 3 2" xfId="90"/>
    <cellStyle name="40% - Accent6 4" xfId="91"/>
    <cellStyle name="40% - Accent6 4 2" xfId="92"/>
    <cellStyle name="40% - Accent6 5" xfId="93"/>
    <cellStyle name="60% - Accent1 2" xfId="315"/>
    <cellStyle name="60% - Accent1 2 2" xfId="428"/>
    <cellStyle name="60% - Accent1 3" xfId="429"/>
    <cellStyle name="60% - Accent2 2" xfId="316"/>
    <cellStyle name="60% - Accent2 2 2" xfId="430"/>
    <cellStyle name="60% - Accent2 3" xfId="431"/>
    <cellStyle name="60% - Accent3 2" xfId="317"/>
    <cellStyle name="60% - Accent3 2 2" xfId="432"/>
    <cellStyle name="60% - Accent3 3" xfId="433"/>
    <cellStyle name="60% - Accent4 2" xfId="318"/>
    <cellStyle name="60% - Accent4 2 2" xfId="434"/>
    <cellStyle name="60% - Accent4 3" xfId="435"/>
    <cellStyle name="60% - Accent5 2" xfId="319"/>
    <cellStyle name="60% - Accent5 3" xfId="436"/>
    <cellStyle name="60% - Accent6 2" xfId="320"/>
    <cellStyle name="60% - Accent6 2 2" xfId="437"/>
    <cellStyle name="60% - Accent6 3" xfId="438"/>
    <cellStyle name="Accent1 - 20%" xfId="321"/>
    <cellStyle name="Accent1 - 40%" xfId="322"/>
    <cellStyle name="Accent1 - 60%" xfId="323"/>
    <cellStyle name="Accent1 2" xfId="324"/>
    <cellStyle name="Accent1 2 2" xfId="439"/>
    <cellStyle name="Accent1 3" xfId="440"/>
    <cellStyle name="Accent2 - 20%" xfId="325"/>
    <cellStyle name="Accent2 - 40%" xfId="326"/>
    <cellStyle name="Accent2 - 60%" xfId="327"/>
    <cellStyle name="Accent2 2" xfId="328"/>
    <cellStyle name="Accent2 3" xfId="441"/>
    <cellStyle name="Accent3 - 20%" xfId="329"/>
    <cellStyle name="Accent3 - 40%" xfId="330"/>
    <cellStyle name="Accent3 - 60%" xfId="331"/>
    <cellStyle name="Accent3 2" xfId="332"/>
    <cellStyle name="Accent3 2 2" xfId="442"/>
    <cellStyle name="Accent3 3" xfId="443"/>
    <cellStyle name="Accent4 - 20%" xfId="333"/>
    <cellStyle name="Accent4 - 40%" xfId="334"/>
    <cellStyle name="Accent4 - 60%" xfId="335"/>
    <cellStyle name="Accent4 2" xfId="336"/>
    <cellStyle name="Accent4 2 2" xfId="444"/>
    <cellStyle name="Accent4 3" xfId="445"/>
    <cellStyle name="Accent5 - 20%" xfId="337"/>
    <cellStyle name="Accent5 - 40%" xfId="338"/>
    <cellStyle name="Accent5 - 60%" xfId="339"/>
    <cellStyle name="Accent5 2" xfId="340"/>
    <cellStyle name="Accent5 3" xfId="446"/>
    <cellStyle name="Accent6 - 20%" xfId="341"/>
    <cellStyle name="Accent6 - 40%" xfId="342"/>
    <cellStyle name="Accent6 - 60%" xfId="343"/>
    <cellStyle name="Accent6 2" xfId="344"/>
    <cellStyle name="Accent6 3" xfId="447"/>
    <cellStyle name="Bad 2" xfId="345"/>
    <cellStyle name="Bad 2 2" xfId="448"/>
    <cellStyle name="Bad 3" xfId="449"/>
    <cellStyle name="Calculation 2" xfId="346"/>
    <cellStyle name="Calculation 2 2" xfId="450"/>
    <cellStyle name="Calculation 3" xfId="451"/>
    <cellStyle name="Check Cell 2" xfId="347"/>
    <cellStyle name="Check Cell 3" xfId="452"/>
    <cellStyle name="Comma" xfId="510" builtinId="3"/>
    <cellStyle name="Comma [0] 2" xfId="94"/>
    <cellStyle name="Comma 2" xfId="95"/>
    <cellStyle name="Comma 2 2" xfId="96"/>
    <cellStyle name="Comma 2 2 2" xfId="97"/>
    <cellStyle name="Comma 2 2 3" xfId="98"/>
    <cellStyle name="Comma 2 2 3 2" xfId="99"/>
    <cellStyle name="Comma 2 2 4" xfId="100"/>
    <cellStyle name="Comma 2 2 4 2" xfId="101"/>
    <cellStyle name="Comma 2 2 5" xfId="102"/>
    <cellStyle name="Comma 2 2 5 2" xfId="103"/>
    <cellStyle name="Comma 2 2 6" xfId="104"/>
    <cellStyle name="Comma 2 2 6 2" xfId="105"/>
    <cellStyle name="Comma 2 2 7" xfId="106"/>
    <cellStyle name="Comma 2 2 8" xfId="107"/>
    <cellStyle name="Comma 2 3" xfId="108"/>
    <cellStyle name="Comma 2 4" xfId="109"/>
    <cellStyle name="Comma 2 5" xfId="110"/>
    <cellStyle name="Comma 3" xfId="111"/>
    <cellStyle name="Comma 3 10" xfId="112"/>
    <cellStyle name="Comma 3 2" xfId="113"/>
    <cellStyle name="Comma 3 2 2" xfId="114"/>
    <cellStyle name="Comma 3 2 3" xfId="115"/>
    <cellStyle name="Comma 3 3" xfId="116"/>
    <cellStyle name="Comma 3 3 2" xfId="117"/>
    <cellStyle name="Comma 3 3 3" xfId="118"/>
    <cellStyle name="Comma 3 3 4" xfId="348"/>
    <cellStyle name="Comma 3 4" xfId="119"/>
    <cellStyle name="Comma 3 4 2" xfId="120"/>
    <cellStyle name="Comma 3 5" xfId="121"/>
    <cellStyle name="Comma 3 5 2" xfId="122"/>
    <cellStyle name="Comma 3 6" xfId="123"/>
    <cellStyle name="Comma 3 6 2" xfId="124"/>
    <cellStyle name="Comma 3 7" xfId="125"/>
    <cellStyle name="Comma 3 8" xfId="126"/>
    <cellStyle name="Comma 3 9" xfId="127"/>
    <cellStyle name="Comma 4" xfId="128"/>
    <cellStyle name="Comma 4 2" xfId="349"/>
    <cellStyle name="Comma 4 2 2" xfId="350"/>
    <cellStyle name="Comma 4 3" xfId="351"/>
    <cellStyle name="Comma 5" xfId="129"/>
    <cellStyle name="Comma 5 2" xfId="352"/>
    <cellStyle name="Comma 5 3" xfId="353"/>
    <cellStyle name="Comma 6" xfId="130"/>
    <cellStyle name="Comma 7" xfId="131"/>
    <cellStyle name="Comma 8" xfId="132"/>
    <cellStyle name="Currency 2" xfId="133"/>
    <cellStyle name="Currency 2 2" xfId="134"/>
    <cellStyle name="Currency 2 2 2" xfId="135"/>
    <cellStyle name="Currency 2 2 3" xfId="136"/>
    <cellStyle name="Currency 2 3" xfId="137"/>
    <cellStyle name="Currency 2 4" xfId="138"/>
    <cellStyle name="Currency 2 5" xfId="139"/>
    <cellStyle name="Currency 3" xfId="140"/>
    <cellStyle name="Currency 3 2" xfId="141"/>
    <cellStyle name="Currency 3 2 2" xfId="142"/>
    <cellStyle name="Currency 3 2 3" xfId="143"/>
    <cellStyle name="Currency 3 3" xfId="9"/>
    <cellStyle name="Currency 3 4" xfId="144"/>
    <cellStyle name="Currency 3 5" xfId="145"/>
    <cellStyle name="Currency 4" xfId="146"/>
    <cellStyle name="Currency 4 2" xfId="147"/>
    <cellStyle name="Currency 4 3" xfId="148"/>
    <cellStyle name="Currency 5" xfId="149"/>
    <cellStyle name="Currency 5 2" xfId="354"/>
    <cellStyle name="Currency 5 2 2" xfId="355"/>
    <cellStyle name="Currency 5 3" xfId="356"/>
    <cellStyle name="Currency 6" xfId="150"/>
    <cellStyle name="Currency 6 2" xfId="357"/>
    <cellStyle name="Currency 7" xfId="151"/>
    <cellStyle name="Currency 7 2" xfId="358"/>
    <cellStyle name="Currency 8" xfId="359"/>
    <cellStyle name="Data Field" xfId="152"/>
    <cellStyle name="Data Field 2" xfId="153"/>
    <cellStyle name="Data Field 2 2" xfId="154"/>
    <cellStyle name="Data Field 2 3" xfId="155"/>
    <cellStyle name="Data Field 3" xfId="156"/>
    <cellStyle name="Data Field 4" xfId="157"/>
    <cellStyle name="Data Field 5" xfId="158"/>
    <cellStyle name="Data Name" xfId="159"/>
    <cellStyle name="Data Name 2" xfId="160"/>
    <cellStyle name="Data Name 2 2" xfId="161"/>
    <cellStyle name="Data Name 3" xfId="162"/>
    <cellStyle name="Data Name 4" xfId="163"/>
    <cellStyle name="Date/Time" xfId="164"/>
    <cellStyle name="Emphasis 1" xfId="360"/>
    <cellStyle name="Emphasis 2" xfId="361"/>
    <cellStyle name="Emphasis 3" xfId="362"/>
    <cellStyle name="Explanatory Text 2" xfId="363"/>
    <cellStyle name="Explanatory Text 3" xfId="453"/>
    <cellStyle name="Good 2" xfId="364"/>
    <cellStyle name="Good 3" xfId="454"/>
    <cellStyle name="Heading" xfId="165"/>
    <cellStyle name="Heading 1 2" xfId="365"/>
    <cellStyle name="Heading 1 2 2" xfId="455"/>
    <cellStyle name="Heading 1 3" xfId="456"/>
    <cellStyle name="Heading 2 2" xfId="166"/>
    <cellStyle name="Heading 2 3" xfId="366"/>
    <cellStyle name="Heading 3 2" xfId="367"/>
    <cellStyle name="Heading 3 2 2" xfId="457"/>
    <cellStyle name="Heading 3 3" xfId="458"/>
    <cellStyle name="Heading 4 2" xfId="368"/>
    <cellStyle name="Heading 4 2 2" xfId="459"/>
    <cellStyle name="Heading 4 3" xfId="460"/>
    <cellStyle name="Hyperlink" xfId="5" builtinId="8"/>
    <cellStyle name="Hyperlink 2" xfId="167"/>
    <cellStyle name="Hyperlink 2 2" xfId="168"/>
    <cellStyle name="Hyperlink 2 2 2" xfId="169"/>
    <cellStyle name="Hyperlink 2_ResWXMF_FY10v2_0" xfId="369"/>
    <cellStyle name="Hyperlink 3" xfId="170"/>
    <cellStyle name="Hyperlink 3 2" xfId="370"/>
    <cellStyle name="Hyperlink 3 2 2" xfId="371"/>
    <cellStyle name="Hyperlink 4" xfId="372"/>
    <cellStyle name="Hyperlink 5" xfId="373"/>
    <cellStyle name="Hyperlink 6" xfId="374"/>
    <cellStyle name="Hyperlink 7" xfId="375"/>
    <cellStyle name="Hyperlink 8" xfId="376"/>
    <cellStyle name="Input 2" xfId="377"/>
    <cellStyle name="Input 3" xfId="461"/>
    <cellStyle name="Linked Cell 2" xfId="378"/>
    <cellStyle name="Linked Cell 3" xfId="462"/>
    <cellStyle name="Neutral 2" xfId="379"/>
    <cellStyle name="Neutral 3" xfId="463"/>
    <cellStyle name="Normal" xfId="0" builtinId="0"/>
    <cellStyle name="Normal 10" xfId="171"/>
    <cellStyle name="Normal 10 2" xfId="172"/>
    <cellStyle name="Normal 11" xfId="173"/>
    <cellStyle name="Normal 11 2" xfId="174"/>
    <cellStyle name="Normal 12" xfId="175"/>
    <cellStyle name="Normal 12 2" xfId="176"/>
    <cellStyle name="Normal 13" xfId="177"/>
    <cellStyle name="Normal 13 2" xfId="178"/>
    <cellStyle name="Normal 13 3" xfId="380"/>
    <cellStyle name="Normal 14" xfId="1"/>
    <cellStyle name="Normal 14 2" xfId="381"/>
    <cellStyle name="Normal 14 2 2" xfId="382"/>
    <cellStyle name="Normal 14 3" xfId="383"/>
    <cellStyle name="Normal 14 3 2" xfId="384"/>
    <cellStyle name="Normal 14 4" xfId="464"/>
    <cellStyle name="Normal 15" xfId="6"/>
    <cellStyle name="Normal 15 2" xfId="385"/>
    <cellStyle name="Normal 15 2 2" xfId="386"/>
    <cellStyle name="Normal 15 3" xfId="387"/>
    <cellStyle name="Normal 15 4" xfId="388"/>
    <cellStyle name="Normal 16" xfId="179"/>
    <cellStyle name="Normal 16 2" xfId="389"/>
    <cellStyle name="Normal 16 3" xfId="390"/>
    <cellStyle name="Normal 17" xfId="180"/>
    <cellStyle name="Normal 17 2" xfId="391"/>
    <cellStyle name="Normal 18" xfId="181"/>
    <cellStyle name="Normal 19" xfId="182"/>
    <cellStyle name="Normal 2" xfId="183"/>
    <cellStyle name="Normal 2 10" xfId="184"/>
    <cellStyle name="Normal 2 11" xfId="185"/>
    <cellStyle name="Normal 2 12" xfId="186"/>
    <cellStyle name="Normal 2 2" xfId="187"/>
    <cellStyle name="Normal 2 2 2" xfId="188"/>
    <cellStyle name="Normal 2 2 2 2" xfId="189"/>
    <cellStyle name="Normal 2 2 2 3" xfId="190"/>
    <cellStyle name="Normal 2 2 3" xfId="2"/>
    <cellStyle name="Normal 2 2 3 2" xfId="191"/>
    <cellStyle name="Normal 2 2 3 3" xfId="392"/>
    <cellStyle name="Normal 2 2 4" xfId="192"/>
    <cellStyle name="Normal 2 2 4 2" xfId="193"/>
    <cellStyle name="Normal 2 2 5" xfId="194"/>
    <cellStyle name="Normal 2 3" xfId="195"/>
    <cellStyle name="Normal 2 3 2" xfId="196"/>
    <cellStyle name="Normal 2 3 2 2" xfId="197"/>
    <cellStyle name="Normal 2 3 2 2 2" xfId="393"/>
    <cellStyle name="Normal 2 3 3" xfId="198"/>
    <cellStyle name="Normal 2 3 3 2" xfId="394"/>
    <cellStyle name="Normal 2 4" xfId="199"/>
    <cellStyle name="Normal 2 4 2" xfId="200"/>
    <cellStyle name="Normal 2 4 2 2" xfId="395"/>
    <cellStyle name="Normal 2 4 2 3" xfId="396"/>
    <cellStyle name="Normal 2 4 2 4" xfId="397"/>
    <cellStyle name="Normal 2 4 3" xfId="201"/>
    <cellStyle name="Normal 2 5" xfId="202"/>
    <cellStyle name="Normal 2 5 2" xfId="203"/>
    <cellStyle name="Normal 2 6" xfId="3"/>
    <cellStyle name="Normal 2 6 2" xfId="204"/>
    <cellStyle name="Normal 2 6 2 2" xfId="398"/>
    <cellStyle name="Normal 2 6 2 3" xfId="399"/>
    <cellStyle name="Normal 2 6 3" xfId="400"/>
    <cellStyle name="Normal 2 6 3 2" xfId="401"/>
    <cellStyle name="Normal 2 6 4" xfId="402"/>
    <cellStyle name="Normal 2 6 4 2" xfId="403"/>
    <cellStyle name="Normal 2 6 5" xfId="404"/>
    <cellStyle name="Normal 2 6 6" xfId="405"/>
    <cellStyle name="Normal 2 7" xfId="205"/>
    <cellStyle name="Normal 2 7 2" xfId="206"/>
    <cellStyle name="Normal 2 7 2 2" xfId="406"/>
    <cellStyle name="Normal 2 7 3" xfId="407"/>
    <cellStyle name="Normal 2 8" xfId="207"/>
    <cellStyle name="Normal 2 8 2" xfId="208"/>
    <cellStyle name="Normal 2 9" xfId="209"/>
    <cellStyle name="Normal 2 9 2" xfId="210"/>
    <cellStyle name="Normal 20" xfId="465"/>
    <cellStyle name="Normal 21" xfId="466"/>
    <cellStyle name="Normal 22" xfId="467"/>
    <cellStyle name="Normal 23" xfId="468"/>
    <cellStyle name="Normal 24" xfId="469"/>
    <cellStyle name="Normal 25" xfId="470"/>
    <cellStyle name="Normal 26" xfId="471"/>
    <cellStyle name="Normal 27" xfId="472"/>
    <cellStyle name="Normal 28" xfId="473"/>
    <cellStyle name="Normal 29" xfId="474"/>
    <cellStyle name="Normal 3" xfId="211"/>
    <cellStyle name="Normal 3 2" xfId="212"/>
    <cellStyle name="Normal 3 2 2" xfId="213"/>
    <cellStyle name="Normal 3 2 3" xfId="214"/>
    <cellStyle name="Normal 3 3" xfId="8"/>
    <cellStyle name="Normal 3 3 2" xfId="215"/>
    <cellStyle name="Normal 3 3 2 2" xfId="408"/>
    <cellStyle name="Normal 3 4" xfId="216"/>
    <cellStyle name="Normal 3 4 2" xfId="217"/>
    <cellStyle name="Normal 3 5" xfId="218"/>
    <cellStyle name="Normal 3 66" xfId="409"/>
    <cellStyle name="Normal 30" xfId="475"/>
    <cellStyle name="Normal 31" xfId="476"/>
    <cellStyle name="Normal 32" xfId="477"/>
    <cellStyle name="Normal 33" xfId="478"/>
    <cellStyle name="Normal 34" xfId="479"/>
    <cellStyle name="Normal 35" xfId="480"/>
    <cellStyle name="Normal 36" xfId="481"/>
    <cellStyle name="Normal 37" xfId="482"/>
    <cellStyle name="Normal 38" xfId="483"/>
    <cellStyle name="Normal 39" xfId="484"/>
    <cellStyle name="Normal 4" xfId="219"/>
    <cellStyle name="Normal 4 2" xfId="220"/>
    <cellStyle name="Normal 4 2 2" xfId="221"/>
    <cellStyle name="Normal 4 3" xfId="222"/>
    <cellStyle name="Normal 4 3 2" xfId="410"/>
    <cellStyle name="Normal 4 3 2 2" xfId="411"/>
    <cellStyle name="Normal 4 3 2 3" xfId="412"/>
    <cellStyle name="Normal 4 3 3" xfId="413"/>
    <cellStyle name="Normal 4 4" xfId="223"/>
    <cellStyle name="Normal 4 4 2" xfId="414"/>
    <cellStyle name="Normal 4 4 3" xfId="415"/>
    <cellStyle name="Normal 4 5" xfId="416"/>
    <cellStyle name="Normal 4 5 2" xfId="417"/>
    <cellStyle name="Normal 4 5 3" xfId="485"/>
    <cellStyle name="Normal 4 6" xfId="486"/>
    <cellStyle name="Normal 4 7" xfId="487"/>
    <cellStyle name="Normal 40" xfId="488"/>
    <cellStyle name="Normal 41" xfId="489"/>
    <cellStyle name="Normal 42" xfId="490"/>
    <cellStyle name="Normal 43" xfId="491"/>
    <cellStyle name="Normal 44" xfId="492"/>
    <cellStyle name="Normal 45" xfId="493"/>
    <cellStyle name="Normal 46" xfId="494"/>
    <cellStyle name="Normal 47" xfId="495"/>
    <cellStyle name="Normal 48" xfId="496"/>
    <cellStyle name="Normal 48 2" xfId="497"/>
    <cellStyle name="Normal 49" xfId="498"/>
    <cellStyle name="Normal 5" xfId="224"/>
    <cellStyle name="Normal 5 2" xfId="225"/>
    <cellStyle name="Normal 5 2 2" xfId="226"/>
    <cellStyle name="Normal 5 3" xfId="227"/>
    <cellStyle name="Normal 5 3 2" xfId="228"/>
    <cellStyle name="Normal 5 4" xfId="229"/>
    <cellStyle name="Normal 5 4 2" xfId="230"/>
    <cellStyle name="Normal 5 5" xfId="231"/>
    <cellStyle name="Normal 5 5 2" xfId="232"/>
    <cellStyle name="Normal 5 6" xfId="233"/>
    <cellStyle name="Normal 5 6 2" xfId="234"/>
    <cellStyle name="Normal 5 7" xfId="235"/>
    <cellStyle name="Normal 50" xfId="499"/>
    <cellStyle name="Normal 6" xfId="236"/>
    <cellStyle name="Normal 7" xfId="237"/>
    <cellStyle name="Normal 7 2" xfId="238"/>
    <cellStyle name="Normal 7 2 2" xfId="239"/>
    <cellStyle name="Normal 7 3" xfId="240"/>
    <cellStyle name="Normal 8" xfId="241"/>
    <cellStyle name="Normal 8 2" xfId="242"/>
    <cellStyle name="Normal 8 2 2" xfId="243"/>
    <cellStyle name="Normal 8 3" xfId="244"/>
    <cellStyle name="Normal 9" xfId="245"/>
    <cellStyle name="Normal 9 2" xfId="246"/>
    <cellStyle name="Normal 9 3" xfId="247"/>
    <cellStyle name="Normal_EStarDISHWASHERFY08v1_1" xfId="7"/>
    <cellStyle name="Normal_EStarWASHERResTiersFY07v1_3_postJan07" xfId="248"/>
    <cellStyle name="Normal_MTDUCT" xfId="249"/>
    <cellStyle name="Normal_PC-LPDPackage-6P-D14" xfId="427"/>
    <cellStyle name="Normal_ProCostFinAssumptions_Sector" xfId="250"/>
    <cellStyle name="Note 2" xfId="251"/>
    <cellStyle name="Note 2 2" xfId="252"/>
    <cellStyle name="Note 2 2 2" xfId="253"/>
    <cellStyle name="Note 2 3" xfId="254"/>
    <cellStyle name="Note 2 3 2" xfId="255"/>
    <cellStyle name="Note 2 4" xfId="256"/>
    <cellStyle name="Note 2 4 2" xfId="257"/>
    <cellStyle name="Note 2 5" xfId="258"/>
    <cellStyle name="Note 3" xfId="418"/>
    <cellStyle name="Output 2" xfId="419"/>
    <cellStyle name="Output 2 2" xfId="500"/>
    <cellStyle name="Output 3" xfId="501"/>
    <cellStyle name="Percent" xfId="426" builtinId="5"/>
    <cellStyle name="Percent 2" xfId="259"/>
    <cellStyle name="Percent 2 10" xfId="260"/>
    <cellStyle name="Percent 2 2" xfId="261"/>
    <cellStyle name="Percent 2 2 2" xfId="262"/>
    <cellStyle name="Percent 2 2 2 2" xfId="263"/>
    <cellStyle name="Percent 2 2 2 3" xfId="264"/>
    <cellStyle name="Percent 2 2 3" xfId="265"/>
    <cellStyle name="Percent 2 2 4" xfId="266"/>
    <cellStyle name="Percent 2 3" xfId="4"/>
    <cellStyle name="Percent 2 3 2" xfId="267"/>
    <cellStyle name="Percent 2 3 2 2" xfId="268"/>
    <cellStyle name="Percent 2 3 2 2 2" xfId="269"/>
    <cellStyle name="Percent 2 3 2 3" xfId="270"/>
    <cellStyle name="Percent 2 3 2 3 2" xfId="271"/>
    <cellStyle name="Percent 2 3 2 4" xfId="272"/>
    <cellStyle name="Percent 2 3 2 4 2" xfId="273"/>
    <cellStyle name="Percent 2 3 2 5" xfId="274"/>
    <cellStyle name="Percent 2 3 2 6" xfId="275"/>
    <cellStyle name="Percent 2 3 3" xfId="502"/>
    <cellStyle name="Percent 2 4" xfId="276"/>
    <cellStyle name="Percent 2 4 2" xfId="277"/>
    <cellStyle name="Percent 2 4 3" xfId="278"/>
    <cellStyle name="Percent 2 5" xfId="279"/>
    <cellStyle name="Percent 2 5 2" xfId="280"/>
    <cellStyle name="Percent 2 6" xfId="281"/>
    <cellStyle name="Percent 2 6 2" xfId="282"/>
    <cellStyle name="Percent 2 7" xfId="283"/>
    <cellStyle name="Percent 2 7 2" xfId="284"/>
    <cellStyle name="Percent 2 8" xfId="285"/>
    <cellStyle name="Percent 2 9" xfId="286"/>
    <cellStyle name="Percent 3" xfId="287"/>
    <cellStyle name="Percent 3 2" xfId="288"/>
    <cellStyle name="Percent 3 2 2" xfId="289"/>
    <cellStyle name="Percent 3 2 2 2" xfId="290"/>
    <cellStyle name="Percent 3 2 3" xfId="291"/>
    <cellStyle name="Percent 3 2 3 2" xfId="292"/>
    <cellStyle name="Percent 3 2 4" xfId="293"/>
    <cellStyle name="Percent 3 2 4 2" xfId="294"/>
    <cellStyle name="Percent 3 2 5" xfId="295"/>
    <cellStyle name="Percent 3 2 5 2" xfId="296"/>
    <cellStyle name="Percent 3 2 6" xfId="297"/>
    <cellStyle name="Percent 3 2 7" xfId="298"/>
    <cellStyle name="Percent 3 2 8" xfId="299"/>
    <cellStyle name="Percent 3 3" xfId="300"/>
    <cellStyle name="Percent 3 4" xfId="301"/>
    <cellStyle name="Percent 3 5" xfId="302"/>
    <cellStyle name="Percent 4" xfId="303"/>
    <cellStyle name="Percent 4 2" xfId="304"/>
    <cellStyle name="Percent 4 2 2" xfId="305"/>
    <cellStyle name="Percent 4 3" xfId="306"/>
    <cellStyle name="Percent 5" xfId="307"/>
    <cellStyle name="Percent 5 2" xfId="308"/>
    <cellStyle name="Percent 6" xfId="309"/>
    <cellStyle name="Percent 6 2" xfId="420"/>
    <cellStyle name="Percent 7" xfId="310"/>
    <cellStyle name="Percent 8" xfId="311"/>
    <cellStyle name="Sheet Title" xfId="421"/>
    <cellStyle name="Style 1" xfId="312"/>
    <cellStyle name="Style 1 2" xfId="422"/>
    <cellStyle name="Style 28" xfId="503"/>
    <cellStyle name="Title 2" xfId="423"/>
    <cellStyle name="Title 2 2" xfId="504"/>
    <cellStyle name="Title 3" xfId="505"/>
    <cellStyle name="Total 2" xfId="424"/>
    <cellStyle name="Total 2 2" xfId="506"/>
    <cellStyle name="Total 3" xfId="507"/>
    <cellStyle name="Warning Text 2" xfId="425"/>
    <cellStyle name="Warning Text 3" xfId="508"/>
    <cellStyle name="표준 2_WP-1 보고자료 (2009.06.03)" xfId="509"/>
    <cellStyle name="표준_ENERGY CONSUMP" xfId="313"/>
    <cellStyle name="常规_海外市场服务网站资料操作BOM" xfId="314"/>
  </cellStyles>
  <dxfs count="4">
    <dxf>
      <font>
        <color theme="0" tint="-0.499984740745262"/>
      </font>
      <fill>
        <patternFill>
          <bgColor theme="0" tint="-0.499984740745262"/>
        </patternFill>
      </fill>
    </dxf>
    <dxf>
      <font>
        <b val="0"/>
        <i val="0"/>
        <color auto="1"/>
      </font>
      <fill>
        <patternFill>
          <bgColor theme="0"/>
        </patternFill>
      </fill>
    </dxf>
    <dxf>
      <font>
        <b val="0"/>
        <i val="0"/>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strRef>
          <c:f>'SC-New'!$A$21</c:f>
          <c:strCache>
            <c:ptCount val="1"/>
            <c:pt idx="0">
              <c:v># HOMES APPLICABLE BY YEAR FOR MEASURE - Dishwasher - New</c:v>
            </c:pt>
          </c:strCache>
        </c:strRef>
      </c:tx>
      <c:layout>
        <c:manualLayout>
          <c:xMode val="edge"/>
          <c:yMode val="edge"/>
          <c:x val="0.27677829502253981"/>
          <c:y val="3.2608695652174592E-2"/>
        </c:manualLayout>
      </c:layout>
      <c:spPr>
        <a:noFill/>
        <a:ln w="25400">
          <a:noFill/>
        </a:ln>
      </c:spPr>
      <c:txPr>
        <a:bodyPr/>
        <a:lstStyle/>
        <a:p>
          <a:pPr>
            <a:defRPr sz="1125" b="1" i="0" u="none" strike="noStrike" baseline="0">
              <a:solidFill>
                <a:srgbClr val="000000"/>
              </a:solidFill>
              <a:latin typeface="Arial"/>
              <a:ea typeface="Arial"/>
              <a:cs typeface="Arial"/>
            </a:defRPr>
          </a:pPr>
          <a:endParaRPr lang="en-US"/>
        </a:p>
      </c:txPr>
    </c:title>
    <c:plotArea>
      <c:layout>
        <c:manualLayout>
          <c:layoutTarget val="inner"/>
          <c:xMode val="edge"/>
          <c:yMode val="edge"/>
          <c:x val="0.11996582446797517"/>
          <c:y val="0.14402173913043725"/>
          <c:w val="0.79605893521962634"/>
          <c:h val="0.67391304347826164"/>
        </c:manualLayout>
      </c:layout>
      <c:barChart>
        <c:barDir val="col"/>
        <c:grouping val="stacked"/>
        <c:ser>
          <c:idx val="0"/>
          <c:order val="0"/>
          <c:tx>
            <c:strRef>
              <c:f>'SC-New'!$C$23</c:f>
              <c:strCache>
                <c:ptCount val="1"/>
                <c:pt idx="0">
                  <c:v>Single Family</c:v>
                </c:pt>
              </c:strCache>
            </c:strRef>
          </c:tx>
          <c:spPr>
            <a:solidFill>
              <a:srgbClr val="9999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'SC-New'!$E$23:$Y$23</c:f>
              <c:numCache>
                <c:formatCode>0</c:formatCode>
                <c:ptCount val="21"/>
                <c:pt idx="0">
                  <c:v>55015.836460152037</c:v>
                </c:pt>
                <c:pt idx="1">
                  <c:v>52625.151070683409</c:v>
                </c:pt>
                <c:pt idx="2">
                  <c:v>49880.080570872866</c:v>
                </c:pt>
                <c:pt idx="3">
                  <c:v>48257.474011248662</c:v>
                </c:pt>
                <c:pt idx="4">
                  <c:v>46960.5614726598</c:v>
                </c:pt>
                <c:pt idx="5">
                  <c:v>44744.135987940972</c:v>
                </c:pt>
                <c:pt idx="6">
                  <c:v>43497.545852419003</c:v>
                </c:pt>
                <c:pt idx="7">
                  <c:v>43289.41148760479</c:v>
                </c:pt>
                <c:pt idx="8">
                  <c:v>42842.911401876714</c:v>
                </c:pt>
                <c:pt idx="9">
                  <c:v>43604.252551851874</c:v>
                </c:pt>
                <c:pt idx="10">
                  <c:v>43908.694401722118</c:v>
                </c:pt>
                <c:pt idx="11">
                  <c:v>43344.918139074427</c:v>
                </c:pt>
                <c:pt idx="12">
                  <c:v>42196.59263672735</c:v>
                </c:pt>
                <c:pt idx="13">
                  <c:v>42240.215976300409</c:v>
                </c:pt>
                <c:pt idx="14">
                  <c:v>42733.02938320885</c:v>
                </c:pt>
                <c:pt idx="15">
                  <c:v>42550.738150012556</c:v>
                </c:pt>
                <c:pt idx="16">
                  <c:v>41143.115973618565</c:v>
                </c:pt>
                <c:pt idx="17">
                  <c:v>41072.708667098712</c:v>
                </c:pt>
                <c:pt idx="18">
                  <c:v>41177.015885384972</c:v>
                </c:pt>
                <c:pt idx="19">
                  <c:v>41456.561582480455</c:v>
                </c:pt>
              </c:numCache>
            </c:numRef>
          </c:val>
        </c:ser>
        <c:ser>
          <c:idx val="1"/>
          <c:order val="1"/>
          <c:tx>
            <c:strRef>
              <c:f>'SC-New'!#REF!</c:f>
              <c:strCache>
                <c:ptCount val="1"/>
                <c:pt idx="0">
                  <c:v>#REF!</c:v>
                </c:pt>
              </c:strCache>
            </c:strRef>
          </c:tx>
          <c:spPr>
            <a:solidFill>
              <a:srgbClr val="993366"/>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2"/>
          <c:order val="2"/>
          <c:tx>
            <c:strRef>
              <c:f>'SC-New'!$C$24</c:f>
              <c:strCache>
                <c:ptCount val="1"/>
                <c:pt idx="0">
                  <c:v>Multifamily - Low Rise</c:v>
                </c:pt>
              </c:strCache>
            </c:strRef>
          </c:tx>
          <c:spPr>
            <a:solidFill>
              <a:srgbClr val="FFFFCC"/>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'SC-New'!$E$24:$Y$24</c:f>
              <c:numCache>
                <c:formatCode>0</c:formatCode>
                <c:ptCount val="21"/>
                <c:pt idx="0">
                  <c:v>18185.151916297156</c:v>
                </c:pt>
                <c:pt idx="1">
                  <c:v>17979.768221023551</c:v>
                </c:pt>
                <c:pt idx="2">
                  <c:v>17819.002643423664</c:v>
                </c:pt>
                <c:pt idx="3">
                  <c:v>17252.137298788126</c:v>
                </c:pt>
                <c:pt idx="4">
                  <c:v>16261.606162911168</c:v>
                </c:pt>
                <c:pt idx="5">
                  <c:v>15677.647632826982</c:v>
                </c:pt>
                <c:pt idx="6">
                  <c:v>15535.130624285468</c:v>
                </c:pt>
                <c:pt idx="7">
                  <c:v>15823.957715524575</c:v>
                </c:pt>
                <c:pt idx="8">
                  <c:v>16208.890413010855</c:v>
                </c:pt>
                <c:pt idx="9">
                  <c:v>16649.425594553464</c:v>
                </c:pt>
                <c:pt idx="10">
                  <c:v>16718.909305401739</c:v>
                </c:pt>
                <c:pt idx="11">
                  <c:v>16723.479957034913</c:v>
                </c:pt>
                <c:pt idx="12">
                  <c:v>16750.211087943717</c:v>
                </c:pt>
                <c:pt idx="13">
                  <c:v>16567.821212922503</c:v>
                </c:pt>
                <c:pt idx="14">
                  <c:v>16368.094008539823</c:v>
                </c:pt>
                <c:pt idx="15">
                  <c:v>16033.190877716568</c:v>
                </c:pt>
                <c:pt idx="16">
                  <c:v>15759.843815445889</c:v>
                </c:pt>
                <c:pt idx="17">
                  <c:v>15560.043163528748</c:v>
                </c:pt>
                <c:pt idx="18">
                  <c:v>15260.453610257449</c:v>
                </c:pt>
                <c:pt idx="19">
                  <c:v>15202.722132195169</c:v>
                </c:pt>
              </c:numCache>
            </c:numRef>
          </c:val>
        </c:ser>
        <c:ser>
          <c:idx val="3"/>
          <c:order val="3"/>
          <c:tx>
            <c:strRef>
              <c:f>'SC-New'!$C$26</c:f>
              <c:strCache>
                <c:ptCount val="1"/>
                <c:pt idx="0">
                  <c:v>Manufactured</c:v>
                </c:pt>
              </c:strCache>
            </c:strRef>
          </c:tx>
          <c:spPr>
            <a:solidFill>
              <a:srgbClr val="CCFF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'SC-New'!$E$26:$Y$26</c:f>
              <c:numCache>
                <c:formatCode>0</c:formatCode>
                <c:ptCount val="21"/>
                <c:pt idx="0">
                  <c:v>1424.5516916195761</c:v>
                </c:pt>
                <c:pt idx="1">
                  <c:v>1433.8635947018493</c:v>
                </c:pt>
                <c:pt idx="2">
                  <c:v>1485.1726027988923</c:v>
                </c:pt>
                <c:pt idx="3">
                  <c:v>1540.0816073649801</c:v>
                </c:pt>
                <c:pt idx="4">
                  <c:v>1493.0758198069245</c:v>
                </c:pt>
                <c:pt idx="5">
                  <c:v>1469.5084329299386</c:v>
                </c:pt>
                <c:pt idx="6">
                  <c:v>1474.3756248703601</c:v>
                </c:pt>
                <c:pt idx="7">
                  <c:v>1482.679613745491</c:v>
                </c:pt>
                <c:pt idx="8">
                  <c:v>1490.815616919431</c:v>
                </c:pt>
                <c:pt idx="9">
                  <c:v>1491.7561192728542</c:v>
                </c:pt>
                <c:pt idx="10">
                  <c:v>1483.7018712574998</c:v>
                </c:pt>
                <c:pt idx="11">
                  <c:v>1482.1395464992622</c:v>
                </c:pt>
                <c:pt idx="12">
                  <c:v>1484.2447320941496</c:v>
                </c:pt>
                <c:pt idx="13">
                  <c:v>1485.8895832981145</c:v>
                </c:pt>
                <c:pt idx="14">
                  <c:v>1486.4245782235523</c:v>
                </c:pt>
                <c:pt idx="15">
                  <c:v>1485.6927384409055</c:v>
                </c:pt>
                <c:pt idx="16">
                  <c:v>1484.6821749689141</c:v>
                </c:pt>
                <c:pt idx="17">
                  <c:v>1484.8455589208168</c:v>
                </c:pt>
                <c:pt idx="18">
                  <c:v>1485.2965609910755</c:v>
                </c:pt>
                <c:pt idx="19">
                  <c:v>1485.4718658072297</c:v>
                </c:pt>
              </c:numCache>
            </c:numRef>
          </c:val>
        </c:ser>
        <c:ser>
          <c:idx val="4"/>
          <c:order val="4"/>
          <c:tx>
            <c:strRef>
              <c:f>'SC-New'!#REF!</c:f>
              <c:strCache>
                <c:ptCount val="1"/>
                <c:pt idx="0">
                  <c:v>#REF!</c:v>
                </c:pt>
              </c:strCache>
            </c:strRef>
          </c:tx>
          <c:spPr>
            <a:solidFill>
              <a:srgbClr val="660066"/>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5"/>
          <c:order val="5"/>
          <c:tx>
            <c:strRef>
              <c:f>'SC-New'!#REF!</c:f>
              <c:strCache>
                <c:ptCount val="1"/>
                <c:pt idx="0">
                  <c:v>#REF!</c:v>
                </c:pt>
              </c:strCache>
            </c:strRef>
          </c:tx>
          <c:spPr>
            <a:solidFill>
              <a:srgbClr val="FF8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6"/>
          <c:order val="6"/>
          <c:tx>
            <c:strRef>
              <c:f>'SC-New'!#REF!</c:f>
              <c:strCache>
                <c:ptCount val="1"/>
                <c:pt idx="0">
                  <c:v>#REF!</c:v>
                </c:pt>
              </c:strCache>
            </c:strRef>
          </c:tx>
          <c:spPr>
            <a:solidFill>
              <a:srgbClr val="0066CC"/>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7"/>
          <c:order val="7"/>
          <c:tx>
            <c:strRef>
              <c:f>'SC-New'!#REF!</c:f>
              <c:strCache>
                <c:ptCount val="1"/>
                <c:pt idx="0">
                  <c:v>#REF!</c:v>
                </c:pt>
              </c:strCache>
            </c:strRef>
          </c:tx>
          <c:spPr>
            <a:solidFill>
              <a:srgbClr val="CCCC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8"/>
          <c:order val="8"/>
          <c:tx>
            <c:strRef>
              <c:f>'SC-New'!#REF!</c:f>
              <c:strCache>
                <c:ptCount val="1"/>
                <c:pt idx="0">
                  <c:v>#REF!</c:v>
                </c:pt>
              </c:strCache>
            </c:strRef>
          </c:tx>
          <c:spPr>
            <a:solidFill>
              <a:srgbClr val="000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9"/>
          <c:order val="9"/>
          <c:tx>
            <c:strRef>
              <c:f>'SC-New'!#REF!</c:f>
              <c:strCache>
                <c:ptCount val="1"/>
                <c:pt idx="0">
                  <c:v>#REF!</c:v>
                </c:pt>
              </c:strCache>
            </c:strRef>
          </c:tx>
          <c:spPr>
            <a:solidFill>
              <a:srgbClr val="FF00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0"/>
          <c:order val="10"/>
          <c:tx>
            <c:strRef>
              <c:f>'SC-New'!#REF!</c:f>
              <c:strCache>
                <c:ptCount val="1"/>
                <c:pt idx="0">
                  <c:v>#REF!</c:v>
                </c:pt>
              </c:strCache>
            </c:strRef>
          </c:tx>
          <c:spPr>
            <a:solidFill>
              <a:srgbClr val="FFFF0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1"/>
          <c:order val="11"/>
          <c:tx>
            <c:strRef>
              <c:f>'SC-New'!#REF!</c:f>
              <c:strCache>
                <c:ptCount val="1"/>
                <c:pt idx="0">
                  <c:v>#REF!</c:v>
                </c:pt>
              </c:strCache>
            </c:strRef>
          </c:tx>
          <c:spPr>
            <a:solidFill>
              <a:srgbClr val="00FF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2"/>
          <c:order val="12"/>
          <c:tx>
            <c:strRef>
              <c:f>'SC-New'!#REF!</c:f>
              <c:strCache>
                <c:ptCount val="1"/>
                <c:pt idx="0">
                  <c:v>#REF!</c:v>
                </c:pt>
              </c:strCache>
            </c:strRef>
          </c:tx>
          <c:spPr>
            <a:solidFill>
              <a:srgbClr val="800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3"/>
          <c:order val="13"/>
          <c:tx>
            <c:strRef>
              <c:f>'SC-New'!#REF!</c:f>
              <c:strCache>
                <c:ptCount val="1"/>
                <c:pt idx="0">
                  <c:v>#REF!</c:v>
                </c:pt>
              </c:strCache>
            </c:strRef>
          </c:tx>
          <c:spPr>
            <a:solidFill>
              <a:srgbClr val="80000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4"/>
          <c:order val="14"/>
          <c:tx>
            <c:strRef>
              <c:f>'SC-New'!#REF!</c:f>
              <c:strCache>
                <c:ptCount val="1"/>
                <c:pt idx="0">
                  <c:v>#REF!</c:v>
                </c:pt>
              </c:strCache>
            </c:strRef>
          </c:tx>
          <c:spPr>
            <a:solidFill>
              <a:srgbClr val="008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5"/>
          <c:order val="15"/>
          <c:tx>
            <c:strRef>
              <c:f>'SC-New'!#REF!</c:f>
              <c:strCache>
                <c:ptCount val="1"/>
                <c:pt idx="0">
                  <c:v>#REF!</c:v>
                </c:pt>
              </c:strCache>
            </c:strRef>
          </c:tx>
          <c:spPr>
            <a:solidFill>
              <a:srgbClr val="0000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6"/>
          <c:order val="16"/>
          <c:tx>
            <c:strRef>
              <c:f>'SC-New'!#REF!</c:f>
              <c:strCache>
                <c:ptCount val="1"/>
                <c:pt idx="0">
                  <c:v>#REF!</c:v>
                </c:pt>
              </c:strCache>
            </c:strRef>
          </c:tx>
          <c:spPr>
            <a:solidFill>
              <a:srgbClr val="00CC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7"/>
          <c:order val="17"/>
          <c:tx>
            <c:strRef>
              <c:f>'SC-New'!#REF!</c:f>
              <c:strCache>
                <c:ptCount val="1"/>
                <c:pt idx="0">
                  <c:v>#REF!</c:v>
                </c:pt>
              </c:strCache>
            </c:strRef>
          </c:tx>
          <c:spPr>
            <a:solidFill>
              <a:srgbClr val="CCFF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overlap val="100"/>
        <c:axId val="116537984"/>
        <c:axId val="116552064"/>
      </c:barChart>
      <c:catAx>
        <c:axId val="116537984"/>
        <c:scaling>
          <c:orientation val="minMax"/>
        </c:scaling>
        <c:axPos val="b"/>
        <c:numFmt formatCode="General" sourceLinked="1"/>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116552064"/>
        <c:crosses val="autoZero"/>
        <c:auto val="1"/>
        <c:lblAlgn val="ctr"/>
        <c:lblOffset val="100"/>
        <c:tickLblSkip val="1"/>
        <c:tickMarkSkip val="1"/>
      </c:catAx>
      <c:valAx>
        <c:axId val="116552064"/>
        <c:scaling>
          <c:orientation val="minMax"/>
        </c:scaling>
        <c:axPos val="l"/>
        <c:majorGridlines>
          <c:spPr>
            <a:ln w="3175">
              <a:solidFill>
                <a:srgbClr val="000000"/>
              </a:solidFill>
              <a:prstDash val="solid"/>
            </a:ln>
          </c:spPr>
        </c:majorGridlines>
        <c:title>
          <c:tx>
            <c:strRef>
              <c:f>'SC-New'!$C$11</c:f>
              <c:strCache>
                <c:ptCount val="1"/>
                <c:pt idx="0">
                  <c:v># homes</c:v>
                </c:pt>
              </c:strCache>
            </c:strRef>
          </c:tx>
          <c:layout>
            <c:manualLayout>
              <c:xMode val="edge"/>
              <c:yMode val="edge"/>
              <c:x val="7.0265697188384713E-2"/>
              <c:y val="0.40489130434782838"/>
            </c:manualLayout>
          </c:layout>
          <c:spPr>
            <a:noFill/>
            <a:ln w="25400">
              <a:noFill/>
            </a:ln>
          </c:spPr>
          <c:txPr>
            <a:bodyPr/>
            <a:lstStyle/>
            <a:p>
              <a:pPr>
                <a:defRPr sz="900" b="1" i="0" u="none" strike="noStrike" baseline="0">
                  <a:solidFill>
                    <a:srgbClr val="000000"/>
                  </a:solidFill>
                  <a:latin typeface="Arial"/>
                  <a:ea typeface="Arial"/>
                  <a:cs typeface="Arial"/>
                </a:defRPr>
              </a:pPr>
              <a:endParaRPr lang="en-US"/>
            </a:p>
          </c:txPr>
        </c:title>
        <c:numFmt formatCode="0" sourceLinked="1"/>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116537984"/>
        <c:crosses val="autoZero"/>
        <c:crossBetween val="between"/>
      </c:valAx>
      <c:spPr>
        <a:solidFill>
          <a:srgbClr val="C0C0C0"/>
        </a:solidFill>
        <a:ln w="12700">
          <a:solidFill>
            <a:srgbClr val="808080"/>
          </a:solidFill>
          <a:prstDash val="solid"/>
        </a:ln>
      </c:spPr>
    </c:plotArea>
    <c:legend>
      <c:legendPos val="r"/>
      <c:layout>
        <c:manualLayout>
          <c:xMode val="edge"/>
          <c:yMode val="edge"/>
          <c:x val="0.92545064589579806"/>
          <c:y val="5.9782608695652183E-2"/>
          <c:w val="6.7695000949785533E-2"/>
          <c:h val="0.93206521739130765"/>
        </c:manualLayout>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833" r="0.75000000000000833"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30</xdr:col>
      <xdr:colOff>247650</xdr:colOff>
      <xdr:row>20</xdr:row>
      <xdr:rowOff>152400</xdr:rowOff>
    </xdr:from>
    <xdr:to>
      <xdr:col>39</xdr:col>
      <xdr:colOff>190500</xdr:colOff>
      <xdr:row>28</xdr:row>
      <xdr:rowOff>95250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2095500</xdr:colOff>
      <xdr:row>7</xdr:row>
      <xdr:rowOff>0</xdr:rowOff>
    </xdr:from>
    <xdr:to>
      <xdr:col>3</xdr:col>
      <xdr:colOff>1019175</xdr:colOff>
      <xdr:row>7</xdr:row>
      <xdr:rowOff>0</xdr:rowOff>
    </xdr:to>
    <xdr:sp macro="" textlink="">
      <xdr:nvSpPr>
        <xdr:cNvPr id="2" name="AutoShape 1"/>
        <xdr:cNvSpPr>
          <a:spLocks noChangeArrowheads="1"/>
        </xdr:cNvSpPr>
      </xdr:nvSpPr>
      <xdr:spPr bwMode="auto">
        <a:xfrm>
          <a:off x="722947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3</xdr:col>
      <xdr:colOff>2095500</xdr:colOff>
      <xdr:row>7</xdr:row>
      <xdr:rowOff>0</xdr:rowOff>
    </xdr:from>
    <xdr:to>
      <xdr:col>3</xdr:col>
      <xdr:colOff>1019175</xdr:colOff>
      <xdr:row>7</xdr:row>
      <xdr:rowOff>0</xdr:rowOff>
    </xdr:to>
    <xdr:sp macro="" textlink="">
      <xdr:nvSpPr>
        <xdr:cNvPr id="3" name="AutoShape 2"/>
        <xdr:cNvSpPr>
          <a:spLocks noChangeArrowheads="1"/>
        </xdr:cNvSpPr>
      </xdr:nvSpPr>
      <xdr:spPr bwMode="auto">
        <a:xfrm>
          <a:off x="722947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3</xdr:col>
      <xdr:colOff>2095500</xdr:colOff>
      <xdr:row>7</xdr:row>
      <xdr:rowOff>0</xdr:rowOff>
    </xdr:from>
    <xdr:to>
      <xdr:col>3</xdr:col>
      <xdr:colOff>1019175</xdr:colOff>
      <xdr:row>7</xdr:row>
      <xdr:rowOff>0</xdr:rowOff>
    </xdr:to>
    <xdr:sp macro="" textlink="">
      <xdr:nvSpPr>
        <xdr:cNvPr id="4" name="AutoShape 3"/>
        <xdr:cNvSpPr>
          <a:spLocks noChangeArrowheads="1"/>
        </xdr:cNvSpPr>
      </xdr:nvSpPr>
      <xdr:spPr bwMode="auto">
        <a:xfrm>
          <a:off x="722947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3</xdr:col>
      <xdr:colOff>2095500</xdr:colOff>
      <xdr:row>7</xdr:row>
      <xdr:rowOff>0</xdr:rowOff>
    </xdr:from>
    <xdr:to>
      <xdr:col>3</xdr:col>
      <xdr:colOff>1019175</xdr:colOff>
      <xdr:row>7</xdr:row>
      <xdr:rowOff>0</xdr:rowOff>
    </xdr:to>
    <xdr:sp macro="" textlink="">
      <xdr:nvSpPr>
        <xdr:cNvPr id="5" name="AutoShape 4"/>
        <xdr:cNvSpPr>
          <a:spLocks noChangeArrowheads="1"/>
        </xdr:cNvSpPr>
      </xdr:nvSpPr>
      <xdr:spPr bwMode="auto">
        <a:xfrm>
          <a:off x="722947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3</xdr:col>
      <xdr:colOff>2095500</xdr:colOff>
      <xdr:row>7</xdr:row>
      <xdr:rowOff>0</xdr:rowOff>
    </xdr:from>
    <xdr:to>
      <xdr:col>3</xdr:col>
      <xdr:colOff>1019175</xdr:colOff>
      <xdr:row>7</xdr:row>
      <xdr:rowOff>0</xdr:rowOff>
    </xdr:to>
    <xdr:sp macro="" textlink="">
      <xdr:nvSpPr>
        <xdr:cNvPr id="6" name="AutoShape 5"/>
        <xdr:cNvSpPr>
          <a:spLocks noChangeArrowheads="1"/>
        </xdr:cNvSpPr>
      </xdr:nvSpPr>
      <xdr:spPr bwMode="auto">
        <a:xfrm>
          <a:off x="722947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3</xdr:col>
      <xdr:colOff>2095500</xdr:colOff>
      <xdr:row>7</xdr:row>
      <xdr:rowOff>0</xdr:rowOff>
    </xdr:from>
    <xdr:to>
      <xdr:col>3</xdr:col>
      <xdr:colOff>1019175</xdr:colOff>
      <xdr:row>7</xdr:row>
      <xdr:rowOff>0</xdr:rowOff>
    </xdr:to>
    <xdr:sp macro="" textlink="">
      <xdr:nvSpPr>
        <xdr:cNvPr id="7" name="AutoShape 6"/>
        <xdr:cNvSpPr>
          <a:spLocks noChangeArrowheads="1"/>
        </xdr:cNvSpPr>
      </xdr:nvSpPr>
      <xdr:spPr bwMode="auto">
        <a:xfrm>
          <a:off x="722947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3</xdr:col>
      <xdr:colOff>2095500</xdr:colOff>
      <xdr:row>7</xdr:row>
      <xdr:rowOff>0</xdr:rowOff>
    </xdr:from>
    <xdr:to>
      <xdr:col>3</xdr:col>
      <xdr:colOff>1019175</xdr:colOff>
      <xdr:row>7</xdr:row>
      <xdr:rowOff>0</xdr:rowOff>
    </xdr:to>
    <xdr:sp macro="" textlink="">
      <xdr:nvSpPr>
        <xdr:cNvPr id="8" name="AutoShape 7"/>
        <xdr:cNvSpPr>
          <a:spLocks noChangeArrowheads="1"/>
        </xdr:cNvSpPr>
      </xdr:nvSpPr>
      <xdr:spPr bwMode="auto">
        <a:xfrm>
          <a:off x="722947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3</xdr:col>
      <xdr:colOff>2095500</xdr:colOff>
      <xdr:row>7</xdr:row>
      <xdr:rowOff>0</xdr:rowOff>
    </xdr:from>
    <xdr:to>
      <xdr:col>3</xdr:col>
      <xdr:colOff>1019175</xdr:colOff>
      <xdr:row>7</xdr:row>
      <xdr:rowOff>0</xdr:rowOff>
    </xdr:to>
    <xdr:sp macro="" textlink="">
      <xdr:nvSpPr>
        <xdr:cNvPr id="9" name="AutoShape 8"/>
        <xdr:cNvSpPr>
          <a:spLocks noChangeArrowheads="1"/>
        </xdr:cNvSpPr>
      </xdr:nvSpPr>
      <xdr:spPr bwMode="auto">
        <a:xfrm>
          <a:off x="722947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3</xdr:col>
      <xdr:colOff>2095500</xdr:colOff>
      <xdr:row>7</xdr:row>
      <xdr:rowOff>0</xdr:rowOff>
    </xdr:from>
    <xdr:to>
      <xdr:col>3</xdr:col>
      <xdr:colOff>1019175</xdr:colOff>
      <xdr:row>7</xdr:row>
      <xdr:rowOff>0</xdr:rowOff>
    </xdr:to>
    <xdr:sp macro="" textlink="">
      <xdr:nvSpPr>
        <xdr:cNvPr id="10" name="AutoShape 9"/>
        <xdr:cNvSpPr>
          <a:spLocks noChangeArrowheads="1"/>
        </xdr:cNvSpPr>
      </xdr:nvSpPr>
      <xdr:spPr bwMode="auto">
        <a:xfrm>
          <a:off x="722947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3</xdr:col>
      <xdr:colOff>2095500</xdr:colOff>
      <xdr:row>7</xdr:row>
      <xdr:rowOff>0</xdr:rowOff>
    </xdr:from>
    <xdr:to>
      <xdr:col>3</xdr:col>
      <xdr:colOff>1019175</xdr:colOff>
      <xdr:row>7</xdr:row>
      <xdr:rowOff>0</xdr:rowOff>
    </xdr:to>
    <xdr:sp macro="" textlink="">
      <xdr:nvSpPr>
        <xdr:cNvPr id="11" name="AutoShape 10"/>
        <xdr:cNvSpPr>
          <a:spLocks noChangeArrowheads="1"/>
        </xdr:cNvSpPr>
      </xdr:nvSpPr>
      <xdr:spPr bwMode="auto">
        <a:xfrm>
          <a:off x="722947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3</xdr:col>
      <xdr:colOff>2095500</xdr:colOff>
      <xdr:row>7</xdr:row>
      <xdr:rowOff>0</xdr:rowOff>
    </xdr:from>
    <xdr:to>
      <xdr:col>3</xdr:col>
      <xdr:colOff>1019175</xdr:colOff>
      <xdr:row>7</xdr:row>
      <xdr:rowOff>0</xdr:rowOff>
    </xdr:to>
    <xdr:sp macro="" textlink="">
      <xdr:nvSpPr>
        <xdr:cNvPr id="12" name="AutoShape 11"/>
        <xdr:cNvSpPr>
          <a:spLocks noChangeArrowheads="1"/>
        </xdr:cNvSpPr>
      </xdr:nvSpPr>
      <xdr:spPr bwMode="auto">
        <a:xfrm>
          <a:off x="722947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3</xdr:col>
      <xdr:colOff>2095500</xdr:colOff>
      <xdr:row>7</xdr:row>
      <xdr:rowOff>0</xdr:rowOff>
    </xdr:from>
    <xdr:to>
      <xdr:col>3</xdr:col>
      <xdr:colOff>1019175</xdr:colOff>
      <xdr:row>7</xdr:row>
      <xdr:rowOff>0</xdr:rowOff>
    </xdr:to>
    <xdr:sp macro="" textlink="">
      <xdr:nvSpPr>
        <xdr:cNvPr id="13" name="AutoShape 12"/>
        <xdr:cNvSpPr>
          <a:spLocks noChangeArrowheads="1"/>
        </xdr:cNvSpPr>
      </xdr:nvSpPr>
      <xdr:spPr bwMode="auto">
        <a:xfrm>
          <a:off x="722947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3</xdr:col>
      <xdr:colOff>2095500</xdr:colOff>
      <xdr:row>7</xdr:row>
      <xdr:rowOff>0</xdr:rowOff>
    </xdr:from>
    <xdr:to>
      <xdr:col>3</xdr:col>
      <xdr:colOff>1019175</xdr:colOff>
      <xdr:row>7</xdr:row>
      <xdr:rowOff>0</xdr:rowOff>
    </xdr:to>
    <xdr:sp macro="" textlink="">
      <xdr:nvSpPr>
        <xdr:cNvPr id="14" name="AutoShape 13"/>
        <xdr:cNvSpPr>
          <a:spLocks noChangeArrowheads="1"/>
        </xdr:cNvSpPr>
      </xdr:nvSpPr>
      <xdr:spPr bwMode="auto">
        <a:xfrm>
          <a:off x="722947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3</xdr:col>
      <xdr:colOff>2095500</xdr:colOff>
      <xdr:row>7</xdr:row>
      <xdr:rowOff>0</xdr:rowOff>
    </xdr:from>
    <xdr:to>
      <xdr:col>3</xdr:col>
      <xdr:colOff>1019175</xdr:colOff>
      <xdr:row>7</xdr:row>
      <xdr:rowOff>0</xdr:rowOff>
    </xdr:to>
    <xdr:sp macro="" textlink="">
      <xdr:nvSpPr>
        <xdr:cNvPr id="15" name="AutoShape 14"/>
        <xdr:cNvSpPr>
          <a:spLocks noChangeArrowheads="1"/>
        </xdr:cNvSpPr>
      </xdr:nvSpPr>
      <xdr:spPr bwMode="auto">
        <a:xfrm>
          <a:off x="722947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3</xdr:col>
      <xdr:colOff>2095500</xdr:colOff>
      <xdr:row>7</xdr:row>
      <xdr:rowOff>0</xdr:rowOff>
    </xdr:from>
    <xdr:to>
      <xdr:col>3</xdr:col>
      <xdr:colOff>1019175</xdr:colOff>
      <xdr:row>7</xdr:row>
      <xdr:rowOff>0</xdr:rowOff>
    </xdr:to>
    <xdr:sp macro="" textlink="">
      <xdr:nvSpPr>
        <xdr:cNvPr id="16" name="AutoShape 15"/>
        <xdr:cNvSpPr>
          <a:spLocks noChangeArrowheads="1"/>
        </xdr:cNvSpPr>
      </xdr:nvSpPr>
      <xdr:spPr bwMode="auto">
        <a:xfrm>
          <a:off x="722947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3</xdr:col>
      <xdr:colOff>2095500</xdr:colOff>
      <xdr:row>7</xdr:row>
      <xdr:rowOff>0</xdr:rowOff>
    </xdr:from>
    <xdr:to>
      <xdr:col>3</xdr:col>
      <xdr:colOff>1019175</xdr:colOff>
      <xdr:row>7</xdr:row>
      <xdr:rowOff>0</xdr:rowOff>
    </xdr:to>
    <xdr:sp macro="" textlink="">
      <xdr:nvSpPr>
        <xdr:cNvPr id="17" name="AutoShape 16"/>
        <xdr:cNvSpPr>
          <a:spLocks noChangeArrowheads="1"/>
        </xdr:cNvSpPr>
      </xdr:nvSpPr>
      <xdr:spPr bwMode="auto">
        <a:xfrm>
          <a:off x="722947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3</xdr:col>
      <xdr:colOff>2095500</xdr:colOff>
      <xdr:row>7</xdr:row>
      <xdr:rowOff>0</xdr:rowOff>
    </xdr:from>
    <xdr:to>
      <xdr:col>3</xdr:col>
      <xdr:colOff>1019175</xdr:colOff>
      <xdr:row>7</xdr:row>
      <xdr:rowOff>0</xdr:rowOff>
    </xdr:to>
    <xdr:sp macro="" textlink="">
      <xdr:nvSpPr>
        <xdr:cNvPr id="18" name="AutoShape 17"/>
        <xdr:cNvSpPr>
          <a:spLocks noChangeArrowheads="1"/>
        </xdr:cNvSpPr>
      </xdr:nvSpPr>
      <xdr:spPr bwMode="auto">
        <a:xfrm>
          <a:off x="722947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3</xdr:col>
      <xdr:colOff>2095500</xdr:colOff>
      <xdr:row>7</xdr:row>
      <xdr:rowOff>0</xdr:rowOff>
    </xdr:from>
    <xdr:to>
      <xdr:col>3</xdr:col>
      <xdr:colOff>1019175</xdr:colOff>
      <xdr:row>7</xdr:row>
      <xdr:rowOff>0</xdr:rowOff>
    </xdr:to>
    <xdr:sp macro="" textlink="">
      <xdr:nvSpPr>
        <xdr:cNvPr id="19" name="AutoShape 18"/>
        <xdr:cNvSpPr>
          <a:spLocks noChangeArrowheads="1"/>
        </xdr:cNvSpPr>
      </xdr:nvSpPr>
      <xdr:spPr bwMode="auto">
        <a:xfrm>
          <a:off x="722947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3</xdr:col>
      <xdr:colOff>2095500</xdr:colOff>
      <xdr:row>7</xdr:row>
      <xdr:rowOff>0</xdr:rowOff>
    </xdr:from>
    <xdr:to>
      <xdr:col>3</xdr:col>
      <xdr:colOff>1019175</xdr:colOff>
      <xdr:row>7</xdr:row>
      <xdr:rowOff>0</xdr:rowOff>
    </xdr:to>
    <xdr:sp macro="" textlink="">
      <xdr:nvSpPr>
        <xdr:cNvPr id="20" name="AutoShape 19"/>
        <xdr:cNvSpPr>
          <a:spLocks noChangeArrowheads="1"/>
        </xdr:cNvSpPr>
      </xdr:nvSpPr>
      <xdr:spPr bwMode="auto">
        <a:xfrm>
          <a:off x="722947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3</xdr:col>
      <xdr:colOff>2095500</xdr:colOff>
      <xdr:row>7</xdr:row>
      <xdr:rowOff>0</xdr:rowOff>
    </xdr:from>
    <xdr:to>
      <xdr:col>3</xdr:col>
      <xdr:colOff>1019175</xdr:colOff>
      <xdr:row>7</xdr:row>
      <xdr:rowOff>0</xdr:rowOff>
    </xdr:to>
    <xdr:sp macro="" textlink="">
      <xdr:nvSpPr>
        <xdr:cNvPr id="21" name="AutoShape 20"/>
        <xdr:cNvSpPr>
          <a:spLocks noChangeArrowheads="1"/>
        </xdr:cNvSpPr>
      </xdr:nvSpPr>
      <xdr:spPr bwMode="auto">
        <a:xfrm>
          <a:off x="722947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3</xdr:col>
      <xdr:colOff>2095500</xdr:colOff>
      <xdr:row>7</xdr:row>
      <xdr:rowOff>0</xdr:rowOff>
    </xdr:from>
    <xdr:to>
      <xdr:col>3</xdr:col>
      <xdr:colOff>1019175</xdr:colOff>
      <xdr:row>7</xdr:row>
      <xdr:rowOff>0</xdr:rowOff>
    </xdr:to>
    <xdr:sp macro="" textlink="">
      <xdr:nvSpPr>
        <xdr:cNvPr id="22" name="AutoShape 21"/>
        <xdr:cNvSpPr>
          <a:spLocks noChangeArrowheads="1"/>
        </xdr:cNvSpPr>
      </xdr:nvSpPr>
      <xdr:spPr bwMode="auto">
        <a:xfrm>
          <a:off x="722947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3</xdr:col>
      <xdr:colOff>2095500</xdr:colOff>
      <xdr:row>7</xdr:row>
      <xdr:rowOff>0</xdr:rowOff>
    </xdr:from>
    <xdr:to>
      <xdr:col>3</xdr:col>
      <xdr:colOff>1019175</xdr:colOff>
      <xdr:row>7</xdr:row>
      <xdr:rowOff>0</xdr:rowOff>
    </xdr:to>
    <xdr:sp macro="" textlink="">
      <xdr:nvSpPr>
        <xdr:cNvPr id="23" name="AutoShape 22"/>
        <xdr:cNvSpPr>
          <a:spLocks noChangeArrowheads="1"/>
        </xdr:cNvSpPr>
      </xdr:nvSpPr>
      <xdr:spPr bwMode="auto">
        <a:xfrm>
          <a:off x="722947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3</xdr:col>
      <xdr:colOff>2095500</xdr:colOff>
      <xdr:row>7</xdr:row>
      <xdr:rowOff>0</xdr:rowOff>
    </xdr:from>
    <xdr:to>
      <xdr:col>3</xdr:col>
      <xdr:colOff>1019175</xdr:colOff>
      <xdr:row>7</xdr:row>
      <xdr:rowOff>0</xdr:rowOff>
    </xdr:to>
    <xdr:sp macro="" textlink="">
      <xdr:nvSpPr>
        <xdr:cNvPr id="24" name="AutoShape 23"/>
        <xdr:cNvSpPr>
          <a:spLocks noChangeArrowheads="1"/>
        </xdr:cNvSpPr>
      </xdr:nvSpPr>
      <xdr:spPr bwMode="auto">
        <a:xfrm>
          <a:off x="722947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3</xdr:col>
      <xdr:colOff>2095500</xdr:colOff>
      <xdr:row>7</xdr:row>
      <xdr:rowOff>0</xdr:rowOff>
    </xdr:from>
    <xdr:to>
      <xdr:col>3</xdr:col>
      <xdr:colOff>1019175</xdr:colOff>
      <xdr:row>7</xdr:row>
      <xdr:rowOff>0</xdr:rowOff>
    </xdr:to>
    <xdr:sp macro="" textlink="">
      <xdr:nvSpPr>
        <xdr:cNvPr id="25" name="AutoShape 24"/>
        <xdr:cNvSpPr>
          <a:spLocks noChangeArrowheads="1"/>
        </xdr:cNvSpPr>
      </xdr:nvSpPr>
      <xdr:spPr bwMode="auto">
        <a:xfrm>
          <a:off x="722947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3</xdr:col>
      <xdr:colOff>2095500</xdr:colOff>
      <xdr:row>7</xdr:row>
      <xdr:rowOff>0</xdr:rowOff>
    </xdr:from>
    <xdr:to>
      <xdr:col>3</xdr:col>
      <xdr:colOff>1019175</xdr:colOff>
      <xdr:row>7</xdr:row>
      <xdr:rowOff>0</xdr:rowOff>
    </xdr:to>
    <xdr:sp macro="" textlink="">
      <xdr:nvSpPr>
        <xdr:cNvPr id="26" name="AutoShape 25"/>
        <xdr:cNvSpPr>
          <a:spLocks noChangeArrowheads="1"/>
        </xdr:cNvSpPr>
      </xdr:nvSpPr>
      <xdr:spPr bwMode="auto">
        <a:xfrm>
          <a:off x="722947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3</xdr:col>
      <xdr:colOff>2095500</xdr:colOff>
      <xdr:row>7</xdr:row>
      <xdr:rowOff>0</xdr:rowOff>
    </xdr:from>
    <xdr:to>
      <xdr:col>3</xdr:col>
      <xdr:colOff>1019175</xdr:colOff>
      <xdr:row>7</xdr:row>
      <xdr:rowOff>0</xdr:rowOff>
    </xdr:to>
    <xdr:sp macro="" textlink="">
      <xdr:nvSpPr>
        <xdr:cNvPr id="27" name="AutoShape 26"/>
        <xdr:cNvSpPr>
          <a:spLocks noChangeArrowheads="1"/>
        </xdr:cNvSpPr>
      </xdr:nvSpPr>
      <xdr:spPr bwMode="auto">
        <a:xfrm>
          <a:off x="722947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3</xdr:col>
      <xdr:colOff>2095500</xdr:colOff>
      <xdr:row>7</xdr:row>
      <xdr:rowOff>0</xdr:rowOff>
    </xdr:from>
    <xdr:to>
      <xdr:col>3</xdr:col>
      <xdr:colOff>1019175</xdr:colOff>
      <xdr:row>7</xdr:row>
      <xdr:rowOff>0</xdr:rowOff>
    </xdr:to>
    <xdr:sp macro="" textlink="">
      <xdr:nvSpPr>
        <xdr:cNvPr id="28" name="AutoShape 27"/>
        <xdr:cNvSpPr>
          <a:spLocks noChangeArrowheads="1"/>
        </xdr:cNvSpPr>
      </xdr:nvSpPr>
      <xdr:spPr bwMode="auto">
        <a:xfrm>
          <a:off x="7229475"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4</xdr:col>
      <xdr:colOff>180975</xdr:colOff>
      <xdr:row>33</xdr:row>
      <xdr:rowOff>104775</xdr:rowOff>
    </xdr:to>
    <xdr:pic>
      <xdr:nvPicPr>
        <xdr:cNvPr id="2"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l="12367" t="30782" r="55840" b="26991"/>
        <a:stretch>
          <a:fillRect/>
        </a:stretch>
      </xdr:blipFill>
      <xdr:spPr bwMode="auto">
        <a:xfrm>
          <a:off x="0" y="3305175"/>
          <a:ext cx="6334125" cy="26955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34</xdr:row>
      <xdr:rowOff>9525</xdr:rowOff>
    </xdr:from>
    <xdr:to>
      <xdr:col>2</xdr:col>
      <xdr:colOff>752475</xdr:colOff>
      <xdr:row>56</xdr:row>
      <xdr:rowOff>28575</xdr:rowOff>
    </xdr:to>
    <xdr:pic>
      <xdr:nvPicPr>
        <xdr:cNvPr id="3"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l="12439" t="9891" r="55341" b="22212"/>
        <a:stretch>
          <a:fillRect/>
        </a:stretch>
      </xdr:blipFill>
      <xdr:spPr bwMode="auto">
        <a:xfrm>
          <a:off x="0" y="6067425"/>
          <a:ext cx="5305425" cy="35814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47625</xdr:colOff>
      <xdr:row>56</xdr:row>
      <xdr:rowOff>85725</xdr:rowOff>
    </xdr:from>
    <xdr:to>
      <xdr:col>3</xdr:col>
      <xdr:colOff>47625</xdr:colOff>
      <xdr:row>72</xdr:row>
      <xdr:rowOff>114300</xdr:rowOff>
    </xdr:to>
    <xdr:pic>
      <xdr:nvPicPr>
        <xdr:cNvPr id="4"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l="12735" t="22449" r="56232" b="30656"/>
        <a:stretch>
          <a:fillRect/>
        </a:stretch>
      </xdr:blipFill>
      <xdr:spPr bwMode="auto">
        <a:xfrm>
          <a:off x="47625" y="9705975"/>
          <a:ext cx="5400675" cy="26193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523875</xdr:colOff>
      <xdr:row>0</xdr:row>
      <xdr:rowOff>0</xdr:rowOff>
    </xdr:from>
    <xdr:to>
      <xdr:col>19</xdr:col>
      <xdr:colOff>38100</xdr:colOff>
      <xdr:row>12</xdr:row>
      <xdr:rowOff>152400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l="17497" t="17319" r="55124" b="20833"/>
        <a:stretch>
          <a:fillRect/>
        </a:stretch>
      </xdr:blipFill>
      <xdr:spPr bwMode="auto">
        <a:xfrm>
          <a:off x="19964400" y="0"/>
          <a:ext cx="3171825" cy="2543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editAs="absolute">
    <xdr:from>
      <xdr:col>5</xdr:col>
      <xdr:colOff>1552575</xdr:colOff>
      <xdr:row>22</xdr:row>
      <xdr:rowOff>104775</xdr:rowOff>
    </xdr:from>
    <xdr:to>
      <xdr:col>8</xdr:col>
      <xdr:colOff>228600</xdr:colOff>
      <xdr:row>30</xdr:row>
      <xdr:rowOff>142875</xdr:rowOff>
    </xdr:to>
    <xdr:pic>
      <xdr:nvPicPr>
        <xdr:cNvPr id="3" name="Picture 1" descr="10CFR430AppC.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4230350" y="4400550"/>
          <a:ext cx="2390775" cy="1781175"/>
        </a:xfrm>
        <a:prstGeom prst="rect">
          <a:avLst/>
        </a:prstGeom>
        <a:noFill/>
        <a:ln w="9525">
          <a:solidFill>
            <a:srgbClr val="4F81BD"/>
          </a:solidFill>
          <a:miter lim="800000"/>
          <a:headEnd/>
          <a:tailEnd/>
        </a:ln>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9</xdr:col>
      <xdr:colOff>219075</xdr:colOff>
      <xdr:row>22</xdr:row>
      <xdr:rowOff>95250</xdr:rowOff>
    </xdr:from>
    <xdr:to>
      <xdr:col>18</xdr:col>
      <xdr:colOff>523875</xdr:colOff>
      <xdr:row>31</xdr:row>
      <xdr:rowOff>114300</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l="7790" t="30257" r="55614" b="27231"/>
        <a:stretch>
          <a:fillRect/>
        </a:stretch>
      </xdr:blipFill>
      <xdr:spPr bwMode="auto">
        <a:xfrm>
          <a:off x="17221200" y="4391025"/>
          <a:ext cx="5791200" cy="19526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21</xdr:col>
      <xdr:colOff>103229</xdr:colOff>
      <xdr:row>1</xdr:row>
      <xdr:rowOff>19050</xdr:rowOff>
    </xdr:from>
    <xdr:to>
      <xdr:col>29</xdr:col>
      <xdr:colOff>476251</xdr:colOff>
      <xdr:row>18</xdr:row>
      <xdr:rowOff>133351</xdr:rowOff>
    </xdr:to>
    <xdr:pic>
      <xdr:nvPicPr>
        <xdr:cNvPr id="5" name="Picture 4"/>
        <xdr:cNvPicPr>
          <a:picLocks noChangeAspect="1"/>
        </xdr:cNvPicPr>
      </xdr:nvPicPr>
      <xdr:blipFill rotWithShape="1">
        <a:blip xmlns:r="http://schemas.openxmlformats.org/officeDocument/2006/relationships" r:embed="rId4" cstate="print"/>
        <a:srcRect l="11157" t="12556" r="56658" b="20990"/>
        <a:stretch/>
      </xdr:blipFill>
      <xdr:spPr>
        <a:xfrm>
          <a:off x="24420554" y="190500"/>
          <a:ext cx="5249822" cy="34766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523875</xdr:colOff>
      <xdr:row>0</xdr:row>
      <xdr:rowOff>0</xdr:rowOff>
    </xdr:from>
    <xdr:to>
      <xdr:col>19</xdr:col>
      <xdr:colOff>38100</xdr:colOff>
      <xdr:row>12</xdr:row>
      <xdr:rowOff>152400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l="17497" t="17319" r="55124" b="20833"/>
        <a:stretch>
          <a:fillRect/>
        </a:stretch>
      </xdr:blipFill>
      <xdr:spPr bwMode="auto">
        <a:xfrm>
          <a:off x="19964400" y="0"/>
          <a:ext cx="3171825" cy="2543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editAs="absolute">
    <xdr:from>
      <xdr:col>5</xdr:col>
      <xdr:colOff>1552575</xdr:colOff>
      <xdr:row>22</xdr:row>
      <xdr:rowOff>104775</xdr:rowOff>
    </xdr:from>
    <xdr:to>
      <xdr:col>8</xdr:col>
      <xdr:colOff>228600</xdr:colOff>
      <xdr:row>30</xdr:row>
      <xdr:rowOff>142875</xdr:rowOff>
    </xdr:to>
    <xdr:pic>
      <xdr:nvPicPr>
        <xdr:cNvPr id="3" name="Picture 1" descr="10CFR430AppC.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4230350" y="4400550"/>
          <a:ext cx="2390775" cy="1781175"/>
        </a:xfrm>
        <a:prstGeom prst="rect">
          <a:avLst/>
        </a:prstGeom>
        <a:noFill/>
        <a:ln w="9525">
          <a:solidFill>
            <a:srgbClr val="4F81BD"/>
          </a:solidFill>
          <a:miter lim="800000"/>
          <a:headEnd/>
          <a:tailEnd/>
        </a:ln>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9</xdr:col>
      <xdr:colOff>219075</xdr:colOff>
      <xdr:row>22</xdr:row>
      <xdr:rowOff>95250</xdr:rowOff>
    </xdr:from>
    <xdr:to>
      <xdr:col>18</xdr:col>
      <xdr:colOff>523875</xdr:colOff>
      <xdr:row>31</xdr:row>
      <xdr:rowOff>114300</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l="7790" t="30257" r="55614" b="27231"/>
        <a:stretch>
          <a:fillRect/>
        </a:stretch>
      </xdr:blipFill>
      <xdr:spPr bwMode="auto">
        <a:xfrm>
          <a:off x="17221200" y="4391025"/>
          <a:ext cx="5791200" cy="19526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21</xdr:col>
      <xdr:colOff>103229</xdr:colOff>
      <xdr:row>1</xdr:row>
      <xdr:rowOff>19050</xdr:rowOff>
    </xdr:from>
    <xdr:to>
      <xdr:col>29</xdr:col>
      <xdr:colOff>476251</xdr:colOff>
      <xdr:row>18</xdr:row>
      <xdr:rowOff>133351</xdr:rowOff>
    </xdr:to>
    <xdr:pic>
      <xdr:nvPicPr>
        <xdr:cNvPr id="5" name="Picture 4"/>
        <xdr:cNvPicPr>
          <a:picLocks noChangeAspect="1"/>
        </xdr:cNvPicPr>
      </xdr:nvPicPr>
      <xdr:blipFill rotWithShape="1">
        <a:blip xmlns:r="http://schemas.openxmlformats.org/officeDocument/2006/relationships" r:embed="rId4" cstate="print"/>
        <a:srcRect l="11157" t="12556" r="56658" b="20990"/>
        <a:stretch/>
      </xdr:blipFill>
      <xdr:spPr>
        <a:xfrm>
          <a:off x="24420554" y="190500"/>
          <a:ext cx="5249822" cy="34766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523875</xdr:colOff>
      <xdr:row>0</xdr:row>
      <xdr:rowOff>0</xdr:rowOff>
    </xdr:from>
    <xdr:to>
      <xdr:col>19</xdr:col>
      <xdr:colOff>38100</xdr:colOff>
      <xdr:row>12</xdr:row>
      <xdr:rowOff>152400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l="17497" t="17319" r="55124" b="20833"/>
        <a:stretch>
          <a:fillRect/>
        </a:stretch>
      </xdr:blipFill>
      <xdr:spPr bwMode="auto">
        <a:xfrm>
          <a:off x="19964400" y="0"/>
          <a:ext cx="3171825" cy="2543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editAs="absolute">
    <xdr:from>
      <xdr:col>5</xdr:col>
      <xdr:colOff>1552575</xdr:colOff>
      <xdr:row>22</xdr:row>
      <xdr:rowOff>104775</xdr:rowOff>
    </xdr:from>
    <xdr:to>
      <xdr:col>8</xdr:col>
      <xdr:colOff>228600</xdr:colOff>
      <xdr:row>30</xdr:row>
      <xdr:rowOff>142875</xdr:rowOff>
    </xdr:to>
    <xdr:pic>
      <xdr:nvPicPr>
        <xdr:cNvPr id="3" name="Picture 1" descr="10CFR430AppC.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4230350" y="4400550"/>
          <a:ext cx="2390775" cy="1781175"/>
        </a:xfrm>
        <a:prstGeom prst="rect">
          <a:avLst/>
        </a:prstGeom>
        <a:noFill/>
        <a:ln w="9525">
          <a:solidFill>
            <a:srgbClr val="4F81BD"/>
          </a:solidFill>
          <a:miter lim="800000"/>
          <a:headEnd/>
          <a:tailEnd/>
        </a:ln>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9</xdr:col>
      <xdr:colOff>219075</xdr:colOff>
      <xdr:row>22</xdr:row>
      <xdr:rowOff>95250</xdr:rowOff>
    </xdr:from>
    <xdr:to>
      <xdr:col>18</xdr:col>
      <xdr:colOff>523875</xdr:colOff>
      <xdr:row>31</xdr:row>
      <xdr:rowOff>114300</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l="7790" t="30257" r="55614" b="27231"/>
        <a:stretch>
          <a:fillRect/>
        </a:stretch>
      </xdr:blipFill>
      <xdr:spPr bwMode="auto">
        <a:xfrm>
          <a:off x="17221200" y="4391025"/>
          <a:ext cx="5791200" cy="19526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21</xdr:col>
      <xdr:colOff>103229</xdr:colOff>
      <xdr:row>1</xdr:row>
      <xdr:rowOff>19050</xdr:rowOff>
    </xdr:from>
    <xdr:to>
      <xdr:col>29</xdr:col>
      <xdr:colOff>476251</xdr:colOff>
      <xdr:row>18</xdr:row>
      <xdr:rowOff>133351</xdr:rowOff>
    </xdr:to>
    <xdr:pic>
      <xdr:nvPicPr>
        <xdr:cNvPr id="5" name="Picture 4"/>
        <xdr:cNvPicPr>
          <a:picLocks noChangeAspect="1"/>
        </xdr:cNvPicPr>
      </xdr:nvPicPr>
      <xdr:blipFill rotWithShape="1">
        <a:blip xmlns:r="http://schemas.openxmlformats.org/officeDocument/2006/relationships" r:embed="rId4" cstate="print"/>
        <a:srcRect l="11157" t="12556" r="56658" b="20990"/>
        <a:stretch/>
      </xdr:blipFill>
      <xdr:spPr>
        <a:xfrm>
          <a:off x="24420554" y="190500"/>
          <a:ext cx="5249822" cy="34766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_Master.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Base Case)"/>
      <sheetName val="Ag Forecast (Low)"/>
      <sheetName val="Ag Forecast (Base Case)"/>
      <sheetName val="Ag Forecast (High)"/>
      <sheetName val="Pop Forecast (High Case)"/>
      <sheetName val="Pop Forecast (Base Case)"/>
      <sheetName val="Pop Forecast (Low Case)"/>
      <sheetName val="DEI (Base Case)"/>
    </sheetNames>
    <definedNames>
      <definedName name="rng_ForecastColumnLookup" refersTo="='Forecast Switchboard'!$H$20:$AE$20"/>
      <definedName name="rng_ForecastRowLookup" refersTo="='Forecast Switchboard'!$G$21:$G$501"/>
      <definedName name="switch_ForecastScenario" refersTo="='Forecast Switchboard'!$H$3"/>
      <definedName name="switch_ForecastState" refersTo="='Forecast Switchboard'!$H$4"/>
      <definedName name="tbl_Forecast" refersTo="='Forecast Switchboard'!$H$21:$AE$501"/>
    </definedNames>
    <sheetDataSet>
      <sheetData sheetId="0"/>
      <sheetData sheetId="1">
        <row r="3">
          <cell r="H3" t="str">
            <v>Base</v>
          </cell>
        </row>
        <row r="4">
          <cell r="H4" t="str">
            <v>Region</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RegionBig Box-RetailNew</v>
          </cell>
          <cell r="H32" t="str">
            <v>Com</v>
          </cell>
          <cell r="I32" t="str">
            <v>Big Box-Retail</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RegionSmall Box-RetailNew</v>
          </cell>
          <cell r="H33" t="str">
            <v>Com</v>
          </cell>
          <cell r="I33" t="str">
            <v>Small Box-Retail</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RegionHigh End-RetailNew</v>
          </cell>
          <cell r="H34" t="str">
            <v>Com</v>
          </cell>
          <cell r="I34" t="str">
            <v>High End-Retail</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RegionAnchor-RetailNew</v>
          </cell>
          <cell r="H35" t="str">
            <v>Com</v>
          </cell>
          <cell r="I35" t="str">
            <v>Anchor-Retail</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RegionK-12New</v>
          </cell>
          <cell r="H36" t="str">
            <v>Com</v>
          </cell>
          <cell r="I36" t="str">
            <v>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RegionOtherHealthNew</v>
          </cell>
          <cell r="H44" t="str">
            <v>Com</v>
          </cell>
          <cell r="I44" t="str">
            <v>OtherHealth</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RegionBig Box-RetailStock 2016</v>
          </cell>
          <cell r="H50" t="str">
            <v>Com</v>
          </cell>
          <cell r="I50" t="str">
            <v>Big Box-Retail</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RegionSmall Box-RetailStock 2016</v>
          </cell>
          <cell r="H51" t="str">
            <v>Com</v>
          </cell>
          <cell r="I51" t="str">
            <v>Small Box-Retail</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RegionHigh End-RetailStock 2016</v>
          </cell>
          <cell r="H52" t="str">
            <v>Com</v>
          </cell>
          <cell r="I52" t="str">
            <v>High End-Retail</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RegionAnchor-RetailStock 2016</v>
          </cell>
          <cell r="H53" t="str">
            <v>Com</v>
          </cell>
          <cell r="I53" t="str">
            <v>Anchor-Retail</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RegionK-12Stock 2016</v>
          </cell>
          <cell r="H54" t="str">
            <v>Com</v>
          </cell>
          <cell r="I54" t="str">
            <v>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RegionOtherHealthStock 2016</v>
          </cell>
          <cell r="H62" t="str">
            <v>Com</v>
          </cell>
          <cell r="I62" t="str">
            <v>OtherHealth</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sheetData>
      <sheetData sheetId="2">
        <row r="3">
          <cell r="H3">
            <v>100</v>
          </cell>
        </row>
        <row r="4">
          <cell r="H4">
            <v>100</v>
          </cell>
        </row>
      </sheetData>
      <sheetData sheetId="3">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4">
        <row r="14">
          <cell r="C14" t="str">
            <v>OR_Single Family</v>
          </cell>
          <cell r="D14" t="str">
            <v>Single Family</v>
          </cell>
          <cell r="E14" t="str">
            <v>New</v>
          </cell>
          <cell r="F14">
            <v>6704</v>
          </cell>
          <cell r="G14">
            <v>6968</v>
          </cell>
          <cell r="H14">
            <v>8205</v>
          </cell>
          <cell r="I14">
            <v>9300</v>
          </cell>
          <cell r="J14">
            <v>11414</v>
          </cell>
          <cell r="K14">
            <v>13600</v>
          </cell>
          <cell r="L14">
            <v>12406</v>
          </cell>
          <cell r="M14">
            <v>14907</v>
          </cell>
          <cell r="N14">
            <v>16765</v>
          </cell>
          <cell r="O14">
            <v>17498</v>
          </cell>
          <cell r="P14">
            <v>16395</v>
          </cell>
          <cell r="Q14">
            <v>18008</v>
          </cell>
          <cell r="R14">
            <v>16935</v>
          </cell>
          <cell r="S14">
            <v>17518</v>
          </cell>
          <cell r="T14">
            <v>16687</v>
          </cell>
          <cell r="U14">
            <v>15476</v>
          </cell>
          <cell r="V14">
            <v>15963</v>
          </cell>
          <cell r="W14">
            <v>17418</v>
          </cell>
          <cell r="X14">
            <v>18681</v>
          </cell>
          <cell r="Y14">
            <v>20556</v>
          </cell>
          <cell r="Z14">
            <v>23352</v>
          </cell>
          <cell r="AA14">
            <v>20383</v>
          </cell>
          <cell r="AB14">
            <v>15397</v>
          </cell>
          <cell r="AC14">
            <v>8164.9999999999991</v>
          </cell>
          <cell r="AD14">
            <v>5328</v>
          </cell>
          <cell r="AE14">
            <v>5305</v>
          </cell>
          <cell r="AF14">
            <v>5050</v>
          </cell>
          <cell r="AG14">
            <v>6513</v>
          </cell>
          <cell r="AH14">
            <v>8720</v>
          </cell>
          <cell r="AI14">
            <v>11272</v>
          </cell>
          <cell r="AJ14">
            <v>15952</v>
          </cell>
          <cell r="AK14">
            <v>17272</v>
          </cell>
          <cell r="AL14">
            <v>16727</v>
          </cell>
          <cell r="AM14">
            <v>16202.000000000002</v>
          </cell>
          <cell r="AN14">
            <v>15889</v>
          </cell>
          <cell r="AO14">
            <v>15686</v>
          </cell>
          <cell r="AP14">
            <v>15088</v>
          </cell>
          <cell r="AQ14">
            <v>14772</v>
          </cell>
          <cell r="AR14">
            <v>14734</v>
          </cell>
          <cell r="AS14">
            <v>14757</v>
          </cell>
          <cell r="AT14">
            <v>15342</v>
          </cell>
          <cell r="AU14">
            <v>15526</v>
          </cell>
          <cell r="AV14">
            <v>15254</v>
          </cell>
          <cell r="AW14">
            <v>14608</v>
          </cell>
          <cell r="AX14">
            <v>14523</v>
          </cell>
          <cell r="AY14">
            <v>14775</v>
          </cell>
          <cell r="AZ14">
            <v>14714</v>
          </cell>
          <cell r="BA14">
            <v>14158</v>
          </cell>
          <cell r="BB14">
            <v>14093</v>
          </cell>
          <cell r="BC14">
            <v>14173</v>
          </cell>
          <cell r="BD14">
            <v>14330</v>
          </cell>
        </row>
        <row r="15">
          <cell r="C15" t="str">
            <v>OR_Multi Family</v>
          </cell>
          <cell r="D15" t="str">
            <v>Multifamily - Low Rise</v>
          </cell>
          <cell r="E15" t="str">
            <v>New</v>
          </cell>
          <cell r="F15">
            <v>3772.8448706752683</v>
          </cell>
          <cell r="G15">
            <v>2941.0349178883071</v>
          </cell>
          <cell r="H15">
            <v>3202.3298129108261</v>
          </cell>
          <cell r="I15">
            <v>2714.899092549962</v>
          </cell>
          <cell r="J15">
            <v>8896.7022428480705</v>
          </cell>
          <cell r="K15">
            <v>8252.2238816719419</v>
          </cell>
          <cell r="L15">
            <v>3301.122737123248</v>
          </cell>
          <cell r="M15">
            <v>2811.4691158519631</v>
          </cell>
          <cell r="N15">
            <v>2637.894836250196</v>
          </cell>
          <cell r="O15">
            <v>4819.5855773579242</v>
          </cell>
          <cell r="P15">
            <v>6713.3146314455371</v>
          </cell>
          <cell r="Q15">
            <v>8721.3694621543327</v>
          </cell>
          <cell r="R15">
            <v>7555.8808889387019</v>
          </cell>
          <cell r="S15">
            <v>6573.1222265963652</v>
          </cell>
          <cell r="T15">
            <v>4692.7024347114893</v>
          </cell>
          <cell r="U15">
            <v>2354.7720492520393</v>
          </cell>
          <cell r="V15">
            <v>2899.5066232946756</v>
          </cell>
          <cell r="W15">
            <v>2562.0870522389155</v>
          </cell>
          <cell r="X15">
            <v>3686.8568040688797</v>
          </cell>
          <cell r="Y15">
            <v>3834.8880826444029</v>
          </cell>
          <cell r="Z15">
            <v>3263.6700424474207</v>
          </cell>
          <cell r="AA15">
            <v>4388.1347752705051</v>
          </cell>
          <cell r="AB15">
            <v>2959.161886968971</v>
          </cell>
          <cell r="AC15">
            <v>2360.9550283740805</v>
          </cell>
          <cell r="AD15">
            <v>671.9841739580163</v>
          </cell>
          <cell r="AE15">
            <v>66.596429394015331</v>
          </cell>
          <cell r="AF15">
            <v>949.87426015052506</v>
          </cell>
          <cell r="AG15">
            <v>2297.5049440684579</v>
          </cell>
          <cell r="AH15">
            <v>4512.1309043270476</v>
          </cell>
          <cell r="AI15">
            <v>4834.4211617459714</v>
          </cell>
          <cell r="AJ15">
            <v>6816.6588407441923</v>
          </cell>
          <cell r="AK15">
            <v>7232.862016530873</v>
          </cell>
          <cell r="AL15">
            <v>7009.2519401018944</v>
          </cell>
          <cell r="AM15">
            <v>7026.167603814305</v>
          </cell>
          <cell r="AN15">
            <v>7441.1769135052737</v>
          </cell>
          <cell r="AO15">
            <v>7431.377897912399</v>
          </cell>
          <cell r="AP15">
            <v>6971.963329889757</v>
          </cell>
          <cell r="AQ15">
            <v>6761.3209416287918</v>
          </cell>
          <cell r="AR15">
            <v>6554.7240085809162</v>
          </cell>
          <cell r="AS15">
            <v>6621.6730773670097</v>
          </cell>
          <cell r="AT15">
            <v>6557.8368230103088</v>
          </cell>
          <cell r="AU15">
            <v>6522.0493084879608</v>
          </cell>
          <cell r="AV15">
            <v>6282.365298704045</v>
          </cell>
          <cell r="AW15">
            <v>6009.1462390877323</v>
          </cell>
          <cell r="AX15">
            <v>5504.874605946914</v>
          </cell>
          <cell r="AY15">
            <v>5132.8554374960586</v>
          </cell>
          <cell r="AZ15">
            <v>4866.3598178070824</v>
          </cell>
          <cell r="BA15">
            <v>4605.8340776656614</v>
          </cell>
          <cell r="BB15">
            <v>4391.1894980251245</v>
          </cell>
          <cell r="BC15">
            <v>3931.255214930798</v>
          </cell>
          <cell r="BD15">
            <v>3779.4583907174715</v>
          </cell>
        </row>
        <row r="16">
          <cell r="C16" t="str">
            <v>OR</v>
          </cell>
          <cell r="D16" t="str">
            <v>Multifamily - High Rise</v>
          </cell>
          <cell r="E16" t="str">
            <v>New</v>
          </cell>
          <cell r="F16">
            <v>468.15512932473166</v>
          </cell>
          <cell r="G16">
            <v>512.96508211169294</v>
          </cell>
          <cell r="H16">
            <v>567.67018708917408</v>
          </cell>
          <cell r="I16">
            <v>1440.100907450038</v>
          </cell>
          <cell r="J16">
            <v>1235.2977571519298</v>
          </cell>
          <cell r="K16">
            <v>508.77611832805769</v>
          </cell>
          <cell r="L16">
            <v>504.87726287675196</v>
          </cell>
          <cell r="M16">
            <v>979.53088414803699</v>
          </cell>
          <cell r="N16">
            <v>1373.1051637498038</v>
          </cell>
          <cell r="O16">
            <v>1730.4144226420756</v>
          </cell>
          <cell r="P16">
            <v>2043.6853685544634</v>
          </cell>
          <cell r="Q16">
            <v>1875.6305378456677</v>
          </cell>
          <cell r="R16">
            <v>1705.1191110612986</v>
          </cell>
          <cell r="S16">
            <v>1382.877773403635</v>
          </cell>
          <cell r="T16">
            <v>1045.2975652885109</v>
          </cell>
          <cell r="U16">
            <v>1145.2279507479607</v>
          </cell>
          <cell r="V16">
            <v>1138.4933767053251</v>
          </cell>
          <cell r="W16">
            <v>1344.9129477610845</v>
          </cell>
          <cell r="X16">
            <v>1380.1431959311205</v>
          </cell>
          <cell r="Y16">
            <v>1332.1119173555971</v>
          </cell>
          <cell r="Z16">
            <v>1508.3299575525793</v>
          </cell>
          <cell r="AA16">
            <v>1311.8652247294947</v>
          </cell>
          <cell r="AB16">
            <v>1171.838113031029</v>
          </cell>
          <cell r="AC16">
            <v>876.04497162591952</v>
          </cell>
          <cell r="AD16">
            <v>822.0158260419837</v>
          </cell>
          <cell r="AE16">
            <v>1092.4035706059847</v>
          </cell>
          <cell r="AF16">
            <v>1676.1257398494749</v>
          </cell>
          <cell r="AG16">
            <v>1050.4950559315419</v>
          </cell>
          <cell r="AH16">
            <v>1179.8690956729522</v>
          </cell>
          <cell r="AI16">
            <v>1558.5788382540286</v>
          </cell>
          <cell r="AJ16">
            <v>1628.3411592558075</v>
          </cell>
          <cell r="AK16">
            <v>1590.137983469127</v>
          </cell>
          <cell r="AL16">
            <v>1606.7480598981056</v>
          </cell>
          <cell r="AM16">
            <v>1679.8323961856952</v>
          </cell>
          <cell r="AN16">
            <v>1660.8230864947266</v>
          </cell>
          <cell r="AO16">
            <v>1567.6221020876008</v>
          </cell>
          <cell r="AP16">
            <v>1522.0366701102428</v>
          </cell>
          <cell r="AQ16">
            <v>1485.6790583712077</v>
          </cell>
          <cell r="AR16">
            <v>1495.2759914190849</v>
          </cell>
          <cell r="AS16">
            <v>1480.3269226329903</v>
          </cell>
          <cell r="AT16">
            <v>1463.1631769896919</v>
          </cell>
          <cell r="AU16">
            <v>1405.9506915120394</v>
          </cell>
          <cell r="AV16">
            <v>1335.6347012959552</v>
          </cell>
          <cell r="AW16">
            <v>1227.8537609122679</v>
          </cell>
          <cell r="AX16">
            <v>1148.1253940530855</v>
          </cell>
          <cell r="AY16">
            <v>1088.1445625039419</v>
          </cell>
          <cell r="AZ16">
            <v>1029.6401821929173</v>
          </cell>
          <cell r="BA16">
            <v>973.16592233433857</v>
          </cell>
          <cell r="BB16">
            <v>881.81050197487571</v>
          </cell>
          <cell r="BC16">
            <v>846.74478506920184</v>
          </cell>
          <cell r="BD16">
            <v>808.54160928252838</v>
          </cell>
        </row>
        <row r="17">
          <cell r="C17" t="str">
            <v>OR_Other Family</v>
          </cell>
          <cell r="D17" t="str">
            <v>Manufactured</v>
          </cell>
          <cell r="E17" t="str">
            <v>New</v>
          </cell>
          <cell r="F17">
            <v>2370</v>
          </cell>
          <cell r="G17">
            <v>2297</v>
          </cell>
          <cell r="H17">
            <v>2910</v>
          </cell>
          <cell r="I17">
            <v>3852</v>
          </cell>
          <cell r="J17">
            <v>4387</v>
          </cell>
          <cell r="K17">
            <v>4905</v>
          </cell>
          <cell r="L17">
            <v>4720</v>
          </cell>
          <cell r="M17">
            <v>5103</v>
          </cell>
          <cell r="N17">
            <v>6454</v>
          </cell>
          <cell r="O17">
            <v>7597</v>
          </cell>
          <cell r="P17">
            <v>7450</v>
          </cell>
          <cell r="Q17">
            <v>6484</v>
          </cell>
          <cell r="R17">
            <v>6567</v>
          </cell>
          <cell r="S17">
            <v>6223</v>
          </cell>
          <cell r="T17">
            <v>5202</v>
          </cell>
          <cell r="U17">
            <v>3199</v>
          </cell>
          <cell r="V17">
            <v>2392</v>
          </cell>
          <cell r="W17">
            <v>2517</v>
          </cell>
          <cell r="X17">
            <v>2415</v>
          </cell>
          <cell r="Y17">
            <v>2492</v>
          </cell>
          <cell r="Z17">
            <v>2495</v>
          </cell>
          <cell r="AA17">
            <v>2230</v>
          </cell>
          <cell r="AB17">
            <v>1772</v>
          </cell>
          <cell r="AC17">
            <v>1278</v>
          </cell>
          <cell r="AD17">
            <v>717</v>
          </cell>
          <cell r="AE17">
            <v>647</v>
          </cell>
          <cell r="AF17">
            <v>445</v>
          </cell>
          <cell r="AG17">
            <v>473</v>
          </cell>
          <cell r="AH17">
            <v>888.66666666666663</v>
          </cell>
          <cell r="AI17">
            <v>741.44444444444446</v>
          </cell>
          <cell r="AJ17">
            <v>652.01851851851848</v>
          </cell>
          <cell r="AK17">
            <v>641.18827160493822</v>
          </cell>
          <cell r="AL17">
            <v>640.21965020576124</v>
          </cell>
          <cell r="AM17">
            <v>672.75625857338821</v>
          </cell>
          <cell r="AN17">
            <v>706.04896833561952</v>
          </cell>
          <cell r="AO17">
            <v>675.61268528044502</v>
          </cell>
          <cell r="AP17">
            <v>664.64072541977851</v>
          </cell>
          <cell r="AQ17">
            <v>666.74442656998838</v>
          </cell>
          <cell r="AR17">
            <v>671.00378573083015</v>
          </cell>
          <cell r="AS17">
            <v>676.1344749850083</v>
          </cell>
          <cell r="AT17">
            <v>676.69751105361161</v>
          </cell>
          <cell r="AU17">
            <v>671.80560150661029</v>
          </cell>
          <cell r="AV17">
            <v>671.17108754430456</v>
          </cell>
          <cell r="AW17">
            <v>672.25948123172554</v>
          </cell>
          <cell r="AX17">
            <v>673.17865700868174</v>
          </cell>
          <cell r="AY17">
            <v>673.54113555499043</v>
          </cell>
          <cell r="AZ17">
            <v>673.10891231665403</v>
          </cell>
          <cell r="BA17">
            <v>672.51081252716119</v>
          </cell>
          <cell r="BB17">
            <v>672.62834769725293</v>
          </cell>
          <cell r="BC17">
            <v>672.87122438941094</v>
          </cell>
          <cell r="BD17">
            <v>672.97318158235862</v>
          </cell>
        </row>
        <row r="18">
          <cell r="C18" t="str">
            <v>OR_Single Family</v>
          </cell>
          <cell r="D18" t="str">
            <v>Single Family</v>
          </cell>
          <cell r="E18" t="str">
            <v>Existing</v>
          </cell>
          <cell r="AK18">
            <v>1281442</v>
          </cell>
          <cell r="AL18">
            <v>1278532.125467059</v>
          </cell>
          <cell r="AM18">
            <v>1275628.858622798</v>
          </cell>
          <cell r="AN18">
            <v>1272732.1844626011</v>
          </cell>
          <cell r="AO18">
            <v>1269842.0880159247</v>
          </cell>
          <cell r="AP18">
            <v>1266958.5543462196</v>
          </cell>
          <cell r="AQ18">
            <v>1264081.5685508549</v>
          </cell>
          <cell r="AR18">
            <v>1261211.1157610398</v>
          </cell>
          <cell r="AS18">
            <v>1258347.1811417476</v>
          </cell>
          <cell r="AT18">
            <v>1255489.7498916385</v>
          </cell>
          <cell r="AU18">
            <v>1252638.8072429833</v>
          </cell>
          <cell r="AV18">
            <v>1249794.338461587</v>
          </cell>
          <cell r="AW18">
            <v>1246956.3288467131</v>
          </cell>
          <cell r="AX18">
            <v>1244124.763731007</v>
          </cell>
          <cell r="AY18">
            <v>1241299.6284804204</v>
          </cell>
          <cell r="AZ18">
            <v>1238480.9084941361</v>
          </cell>
          <cell r="BA18">
            <v>1235668.5892044916</v>
          </cell>
          <cell r="BB18">
            <v>1232862.6560769046</v>
          </cell>
          <cell r="BC18">
            <v>1230063.0946097979</v>
          </cell>
          <cell r="BD18">
            <v>1227269.890334524</v>
          </cell>
        </row>
        <row r="19">
          <cell r="C19" t="str">
            <v>OR_Multi Family</v>
          </cell>
          <cell r="D19" t="str">
            <v>Multifamily - Low Rise</v>
          </cell>
          <cell r="E19" t="str">
            <v>Existing</v>
          </cell>
          <cell r="AK19">
            <v>277837.92835758231</v>
          </cell>
          <cell r="AL19">
            <v>277207.00904135435</v>
          </cell>
          <cell r="AM19">
            <v>276577.52242794685</v>
          </cell>
          <cell r="AN19">
            <v>275949.46526395273</v>
          </cell>
          <cell r="AO19">
            <v>275322.83430335281</v>
          </cell>
          <cell r="AP19">
            <v>274697.62630749901</v>
          </cell>
          <cell r="AQ19">
            <v>274073.83804509765</v>
          </cell>
          <cell r="AR19">
            <v>273451.46629219269</v>
          </cell>
          <cell r="AS19">
            <v>272830.50783214916</v>
          </cell>
          <cell r="AT19">
            <v>272210.95945563645</v>
          </cell>
          <cell r="AU19">
            <v>271592.81796061178</v>
          </cell>
          <cell r="AV19">
            <v>270976.08015230362</v>
          </cell>
          <cell r="AW19">
            <v>270360.74284319516</v>
          </cell>
          <cell r="AX19">
            <v>269746.80285300786</v>
          </cell>
          <cell r="AY19">
            <v>269134.25700868503</v>
          </cell>
          <cell r="AZ19">
            <v>268523.10214437544</v>
          </cell>
          <cell r="BA19">
            <v>267913.33510141686</v>
          </cell>
          <cell r="BB19">
            <v>267304.95272831985</v>
          </cell>
          <cell r="BC19">
            <v>266697.95188075147</v>
          </cell>
          <cell r="BD19">
            <v>266092.32942151889</v>
          </cell>
        </row>
        <row r="20">
          <cell r="D20" t="str">
            <v>Multifamily - High Rise</v>
          </cell>
          <cell r="E20" t="str">
            <v>Existing</v>
          </cell>
          <cell r="AK20">
            <v>63346.033033662934</v>
          </cell>
          <cell r="AL20">
            <v>63202.185733607068</v>
          </cell>
          <cell r="AM20">
            <v>63058.665084562206</v>
          </cell>
          <cell r="AN20">
            <v>62915.470344763409</v>
          </cell>
          <cell r="AO20">
            <v>62772.600774130158</v>
          </cell>
          <cell r="AP20">
            <v>62630.05563426252</v>
          </cell>
          <cell r="AQ20">
            <v>62487.834188437337</v>
          </cell>
          <cell r="AR20">
            <v>62345.935701604409</v>
          </cell>
          <cell r="AS20">
            <v>62204.359440382708</v>
          </cell>
          <cell r="AT20">
            <v>62063.104673056572</v>
          </cell>
          <cell r="AU20">
            <v>61922.17066957194</v>
          </cell>
          <cell r="AV20">
            <v>61781.556701532572</v>
          </cell>
          <cell r="AW20">
            <v>61641.262042196271</v>
          </cell>
          <cell r="AX20">
            <v>61501.28596647115</v>
          </cell>
          <cell r="AY20">
            <v>61361.627750911874</v>
          </cell>
          <cell r="AZ20">
            <v>61222.286673715913</v>
          </cell>
          <cell r="BA20">
            <v>61083.262014719818</v>
          </cell>
          <cell r="BB20">
            <v>60944.55305539551</v>
          </cell>
          <cell r="BC20">
            <v>60806.159078846555</v>
          </cell>
          <cell r="BD20">
            <v>60668.079369804451</v>
          </cell>
        </row>
        <row r="21">
          <cell r="C21" t="str">
            <v>OR_Other Family</v>
          </cell>
          <cell r="D21" t="str">
            <v>Manufactured</v>
          </cell>
          <cell r="E21" t="str">
            <v>Existing</v>
          </cell>
          <cell r="AK21">
            <v>202413.31790123455</v>
          </cell>
          <cell r="AL21">
            <v>200250.12950997456</v>
          </cell>
          <cell r="AM21">
            <v>198110.05908380006</v>
          </cell>
          <cell r="AN21">
            <v>195992.85956133081</v>
          </cell>
          <cell r="AO21">
            <v>193898.28652152821</v>
          </cell>
          <cell r="AP21">
            <v>191826.09815547793</v>
          </cell>
          <cell r="AQ21">
            <v>189776.05523847431</v>
          </cell>
          <cell r="AR21">
            <v>187747.92110240282</v>
          </cell>
          <cell r="AS21">
            <v>185741.46160841791</v>
          </cell>
          <cell r="AT21">
            <v>183756.44511991271</v>
          </cell>
          <cell r="AU21">
            <v>181792.64247577763</v>
          </cell>
          <cell r="AV21">
            <v>179849.82696394474</v>
          </cell>
          <cell r="AW21">
            <v>177927.77429521491</v>
          </cell>
          <cell r="AX21">
            <v>176026.26257736469</v>
          </cell>
          <cell r="AY21">
            <v>174145.07228952978</v>
          </cell>
          <cell r="AZ21">
            <v>172283.98625686244</v>
          </cell>
          <cell r="BA21">
            <v>170442.78962545953</v>
          </cell>
          <cell r="BB21">
            <v>168621.26983755868</v>
          </cell>
          <cell r="BC21">
            <v>166819.21660699949</v>
          </cell>
          <cell r="BD21">
            <v>165036.42189494686</v>
          </cell>
        </row>
        <row r="23">
          <cell r="D23" t="str">
            <v>WASHINGTON</v>
          </cell>
        </row>
        <row r="24">
          <cell r="C24" t="str">
            <v>WA_Single Family</v>
          </cell>
          <cell r="D24" t="str">
            <v>Single Family</v>
          </cell>
          <cell r="E24" t="str">
            <v>New</v>
          </cell>
          <cell r="F24">
            <v>17836</v>
          </cell>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cell r="AF24">
            <v>13829</v>
          </cell>
          <cell r="AG24">
            <v>16887</v>
          </cell>
          <cell r="AH24">
            <v>18274</v>
          </cell>
          <cell r="AI24">
            <v>24247</v>
          </cell>
          <cell r="AJ24">
            <v>30852</v>
          </cell>
          <cell r="AK24">
            <v>33055</v>
          </cell>
          <cell r="AL24">
            <v>31044</v>
          </cell>
          <cell r="AM24">
            <v>28849</v>
          </cell>
          <cell r="AN24">
            <v>27415</v>
          </cell>
          <cell r="AO24">
            <v>26216</v>
          </cell>
          <cell r="AP24">
            <v>24554</v>
          </cell>
          <cell r="AQ24">
            <v>23488</v>
          </cell>
          <cell r="AR24">
            <v>23152</v>
          </cell>
          <cell r="AS24">
            <v>22514</v>
          </cell>
          <cell r="AT24">
            <v>22375</v>
          </cell>
          <cell r="AU24">
            <v>22305</v>
          </cell>
          <cell r="AV24">
            <v>21816</v>
          </cell>
          <cell r="AW24">
            <v>21213</v>
          </cell>
          <cell r="AX24">
            <v>21215</v>
          </cell>
          <cell r="AY24">
            <v>21402</v>
          </cell>
          <cell r="AZ24">
            <v>21237</v>
          </cell>
          <cell r="BA24">
            <v>20416</v>
          </cell>
          <cell r="BB24">
            <v>20299</v>
          </cell>
          <cell r="BC24">
            <v>20303</v>
          </cell>
          <cell r="BD24">
            <v>20372</v>
          </cell>
        </row>
        <row r="25">
          <cell r="C25" t="str">
            <v>WA_Multi Family</v>
          </cell>
          <cell r="D25" t="str">
            <v>Multifamily - Low Rise</v>
          </cell>
          <cell r="E25" t="str">
            <v>New</v>
          </cell>
          <cell r="F25">
            <v>15061.883667534441</v>
          </cell>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cell r="AF25">
            <v>5265.721927064159</v>
          </cell>
          <cell r="AG25">
            <v>8692.3033155335615</v>
          </cell>
          <cell r="AH25">
            <v>12312.39973222512</v>
          </cell>
          <cell r="AI25">
            <v>11883.279860328872</v>
          </cell>
          <cell r="AJ25">
            <v>13265.608797275603</v>
          </cell>
          <cell r="AK25">
            <v>13028.433829152391</v>
          </cell>
          <cell r="AL25">
            <v>13080.239965534132</v>
          </cell>
          <cell r="AM25">
            <v>12923.202614626804</v>
          </cell>
          <cell r="AN25">
            <v>11912.982955180836</v>
          </cell>
          <cell r="AO25">
            <v>10886.573878115541</v>
          </cell>
          <cell r="AP25">
            <v>10714.966051350757</v>
          </cell>
          <cell r="AQ25">
            <v>10719.822876636612</v>
          </cell>
          <cell r="AR25">
            <v>11250.835774550411</v>
          </cell>
          <cell r="AS25">
            <v>11653.142802390561</v>
          </cell>
          <cell r="AT25">
            <v>12252.151254305772</v>
          </cell>
          <cell r="AU25">
            <v>12363.048764997984</v>
          </cell>
          <cell r="AV25">
            <v>12613.98473809777</v>
          </cell>
          <cell r="AW25">
            <v>12900.537429959741</v>
          </cell>
          <cell r="AX25">
            <v>13132.046101915988</v>
          </cell>
          <cell r="AY25">
            <v>13215.421602655624</v>
          </cell>
          <cell r="AZ25">
            <v>13014.672824175932</v>
          </cell>
          <cell r="BA25">
            <v>12900.537429959741</v>
          </cell>
          <cell r="BB25">
            <v>12809.067220410498</v>
          </cell>
          <cell r="BC25">
            <v>12840.636584768163</v>
          </cell>
          <cell r="BD25">
            <v>12863.301769435224</v>
          </cell>
        </row>
        <row r="26">
          <cell r="C26" t="str">
            <v>WA</v>
          </cell>
          <cell r="D26" t="str">
            <v>Multifamily - High Rise</v>
          </cell>
          <cell r="E26" t="str">
            <v>New</v>
          </cell>
          <cell r="F26">
            <v>926.11633246555948</v>
          </cell>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cell r="AF26">
            <v>1217.2780729358408</v>
          </cell>
          <cell r="AG26">
            <v>806.69668446643777</v>
          </cell>
          <cell r="AH26">
            <v>792.60026777487974</v>
          </cell>
          <cell r="AI26">
            <v>992.72013967112821</v>
          </cell>
          <cell r="AJ26">
            <v>3024.5103613152296</v>
          </cell>
          <cell r="AK26">
            <v>2970.4353347186084</v>
          </cell>
          <cell r="AL26">
            <v>2982.246944623661</v>
          </cell>
          <cell r="AM26">
            <v>2946.4430020989594</v>
          </cell>
          <cell r="AN26">
            <v>2716.1166089502017</v>
          </cell>
          <cell r="AO26">
            <v>2482.099087706139</v>
          </cell>
          <cell r="AP26">
            <v>2442.9731298956272</v>
          </cell>
          <cell r="AQ26">
            <v>2444.0804683242377</v>
          </cell>
          <cell r="AR26">
            <v>2565.1494698511356</v>
          </cell>
          <cell r="AS26">
            <v>2656.874003020107</v>
          </cell>
          <cell r="AT26">
            <v>2793.4457425474475</v>
          </cell>
          <cell r="AU26">
            <v>2818.729970000426</v>
          </cell>
          <cell r="AV26">
            <v>2875.9424554781176</v>
          </cell>
          <cell r="AW26">
            <v>2941.2754227654787</v>
          </cell>
          <cell r="AX26">
            <v>2994.0585545287277</v>
          </cell>
          <cell r="AY26">
            <v>3013.0678642196926</v>
          </cell>
          <cell r="AZ26">
            <v>2967.2978758375662</v>
          </cell>
          <cell r="BA26">
            <v>2941.2754227654787</v>
          </cell>
          <cell r="BB26">
            <v>2920.4205490268364</v>
          </cell>
          <cell r="BC26">
            <v>2927.6182488127561</v>
          </cell>
          <cell r="BD26">
            <v>2932.7858281462154</v>
          </cell>
        </row>
        <row r="27">
          <cell r="C27" t="str">
            <v>WA_Other Family</v>
          </cell>
          <cell r="D27" t="str">
            <v>Manufactured</v>
          </cell>
          <cell r="E27" t="str">
            <v>New</v>
          </cell>
          <cell r="F27">
            <v>5597</v>
          </cell>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cell r="AF27">
            <v>563</v>
          </cell>
          <cell r="AG27">
            <v>560</v>
          </cell>
          <cell r="AH27">
            <v>1057.8333333333333</v>
          </cell>
          <cell r="AI27">
            <v>890.30555555555554</v>
          </cell>
          <cell r="AJ27">
            <v>768.52314814814815</v>
          </cell>
          <cell r="AK27">
            <v>753.44367283950612</v>
          </cell>
          <cell r="AL27">
            <v>765.51761831275724</v>
          </cell>
          <cell r="AM27">
            <v>799.27055469821664</v>
          </cell>
          <cell r="AN27">
            <v>839.14898048125281</v>
          </cell>
          <cell r="AO27">
            <v>802.70158833923949</v>
          </cell>
          <cell r="AP27">
            <v>788.10092713652</v>
          </cell>
          <cell r="AQ27">
            <v>791.36389030124872</v>
          </cell>
          <cell r="AR27">
            <v>797.68392654487252</v>
          </cell>
          <cell r="AS27">
            <v>803.04497791689175</v>
          </cell>
          <cell r="AT27">
            <v>803.6740484533376</v>
          </cell>
          <cell r="AU27">
            <v>797.76155978201825</v>
          </cell>
          <cell r="AV27">
            <v>796.93822168914812</v>
          </cell>
          <cell r="AW27">
            <v>798.41110411458612</v>
          </cell>
          <cell r="AX27">
            <v>799.58563975014238</v>
          </cell>
          <cell r="AY27">
            <v>799.90259195102078</v>
          </cell>
          <cell r="AZ27">
            <v>799.37886095670899</v>
          </cell>
          <cell r="BA27">
            <v>798.6629963739374</v>
          </cell>
          <cell r="BB27">
            <v>798.81323580592414</v>
          </cell>
          <cell r="BC27">
            <v>799.12573815872008</v>
          </cell>
          <cell r="BD27">
            <v>799.24484383274228</v>
          </cell>
        </row>
        <row r="28">
          <cell r="C28" t="str">
            <v>WA_Single Family</v>
          </cell>
          <cell r="D28" t="str">
            <v>Single Family</v>
          </cell>
          <cell r="E28" t="str">
            <v>Existing</v>
          </cell>
          <cell r="AK28">
            <v>2177155</v>
          </cell>
          <cell r="AL28">
            <v>2172211.1571348798</v>
          </cell>
          <cell r="AM28">
            <v>2167278.5406556972</v>
          </cell>
          <cell r="AN28">
            <v>2162357.1250697845</v>
          </cell>
          <cell r="AO28">
            <v>2157446.8849423626</v>
          </cell>
          <cell r="AP28">
            <v>2152547.7948964094</v>
          </cell>
          <cell r="AQ28">
            <v>2147659.8296125284</v>
          </cell>
          <cell r="AR28">
            <v>2142782.9638288179</v>
          </cell>
          <cell r="AS28">
            <v>2137917.1723407404</v>
          </cell>
          <cell r="AT28">
            <v>2133062.4300009925</v>
          </cell>
          <cell r="AU28">
            <v>2128218.7117193746</v>
          </cell>
          <cell r="AV28">
            <v>2123385.9924626616</v>
          </cell>
          <cell r="AW28">
            <v>2118564.2472544736</v>
          </cell>
          <cell r="AX28">
            <v>2113753.4511751467</v>
          </cell>
          <cell r="AY28">
            <v>2108953.5793616036</v>
          </cell>
          <cell r="AZ28">
            <v>2104164.6070072255</v>
          </cell>
          <cell r="BA28">
            <v>2099386.5093617244</v>
          </cell>
          <cell r="BB28">
            <v>2094619.2617310151</v>
          </cell>
          <cell r="BC28">
            <v>2089862.8394770864</v>
          </cell>
          <cell r="BD28">
            <v>2085117.2180178757</v>
          </cell>
        </row>
        <row r="29">
          <cell r="C29" t="str">
            <v>WA_Multi Family</v>
          </cell>
          <cell r="D29" t="str">
            <v>Multifamily - Low Rise</v>
          </cell>
          <cell r="E29" t="str">
            <v>Existing</v>
          </cell>
          <cell r="AK29">
            <v>558037.0832749434</v>
          </cell>
          <cell r="AL29">
            <v>556769.88272716023</v>
          </cell>
          <cell r="AM29">
            <v>555505.55976095074</v>
          </cell>
          <cell r="AN29">
            <v>554244.10784185154</v>
          </cell>
          <cell r="AO29">
            <v>552985.52045023767</v>
          </cell>
          <cell r="AP29">
            <v>551729.79108128918</v>
          </cell>
          <cell r="AQ29">
            <v>550476.91324495722</v>
          </cell>
          <cell r="AR29">
            <v>549226.88046593068</v>
          </cell>
          <cell r="AS29">
            <v>547979.68628360284</v>
          </cell>
          <cell r="AT29">
            <v>546735.3242520378</v>
          </cell>
          <cell r="AU29">
            <v>545493.78793993709</v>
          </cell>
          <cell r="AV29">
            <v>544255.07093060669</v>
          </cell>
          <cell r="AW29">
            <v>543019.16682192357</v>
          </cell>
          <cell r="AX29">
            <v>541786.06922630291</v>
          </cell>
          <cell r="AY29">
            <v>540555.77177066484</v>
          </cell>
          <cell r="AZ29">
            <v>539328.26809640159</v>
          </cell>
          <cell r="BA29">
            <v>538103.55185934459</v>
          </cell>
          <cell r="BB29">
            <v>536881.6167297319</v>
          </cell>
          <cell r="BC29">
            <v>535662.45639217517</v>
          </cell>
          <cell r="BD29">
            <v>534446.06454562722</v>
          </cell>
        </row>
        <row r="30">
          <cell r="D30" t="str">
            <v>Multifamily - High Rise</v>
          </cell>
          <cell r="E30" t="str">
            <v>Existing</v>
          </cell>
          <cell r="AK30">
            <v>127230.41710003006</v>
          </cell>
          <cell r="AL30">
            <v>126941.50000280481</v>
          </cell>
          <cell r="AM30">
            <v>126653.23898366978</v>
          </cell>
          <cell r="AN30">
            <v>126365.63255279115</v>
          </cell>
          <cell r="AO30">
            <v>126078.67922371827</v>
          </cell>
          <cell r="AP30">
            <v>125792.3775133759</v>
          </cell>
          <cell r="AQ30">
            <v>125506.72594205666</v>
          </cell>
          <cell r="AR30">
            <v>125221.72303341323</v>
          </cell>
          <cell r="AS30">
            <v>124937.36731445088</v>
          </cell>
          <cell r="AT30">
            <v>124653.65731551975</v>
          </cell>
          <cell r="AU30">
            <v>124370.5915703073</v>
          </cell>
          <cell r="AV30">
            <v>124088.1686158307</v>
          </cell>
          <cell r="AW30">
            <v>123806.3869924293</v>
          </cell>
          <cell r="AX30">
            <v>123525.24524375708</v>
          </cell>
          <cell r="AY30">
            <v>123244.74191677509</v>
          </cell>
          <cell r="AZ30">
            <v>122964.875561744</v>
          </cell>
          <cell r="BA30">
            <v>122685.64473221656</v>
          </cell>
          <cell r="BB30">
            <v>122407.04798503013</v>
          </cell>
          <cell r="BC30">
            <v>122129.08388029925</v>
          </cell>
          <cell r="BD30">
            <v>121851.75098140814</v>
          </cell>
        </row>
        <row r="31">
          <cell r="C31" t="str">
            <v>WA_Other Family</v>
          </cell>
          <cell r="D31" t="str">
            <v>Manufactured</v>
          </cell>
          <cell r="E31" t="str">
            <v>Existing</v>
          </cell>
          <cell r="AK31">
            <v>244055.10570987655</v>
          </cell>
          <cell r="AL31">
            <v>241446.89209541003</v>
          </cell>
          <cell r="AM31">
            <v>238866.55242457156</v>
          </cell>
          <cell r="AN31">
            <v>236313.78880890249</v>
          </cell>
          <cell r="AO31">
            <v>233788.30654347411</v>
          </cell>
          <cell r="AP31">
            <v>231289.81407286532</v>
          </cell>
          <cell r="AQ31">
            <v>228818.02295750388</v>
          </cell>
          <cell r="AR31">
            <v>226372.64784036731</v>
          </cell>
          <cell r="AS31">
            <v>223953.40641403978</v>
          </cell>
          <cell r="AT31">
            <v>221560.01938812103</v>
          </cell>
          <cell r="AU31">
            <v>219192.21045698351</v>
          </cell>
          <cell r="AV31">
            <v>216849.70626787416</v>
          </cell>
          <cell r="AW31">
            <v>214532.23638935713</v>
          </cell>
          <cell r="AX31">
            <v>212239.53328009363</v>
          </cell>
          <cell r="AY31">
            <v>209971.33225795557</v>
          </cell>
          <cell r="AZ31">
            <v>207727.37146946916</v>
          </cell>
          <cell r="BA31">
            <v>205507.39185958516</v>
          </cell>
          <cell r="BB31">
            <v>203311.13714177214</v>
          </cell>
          <cell r="BC31">
            <v>201138.35376842934</v>
          </cell>
          <cell r="BD31">
            <v>198988.79090161584</v>
          </cell>
        </row>
        <row r="33">
          <cell r="D33" t="str">
            <v>IDAHO</v>
          </cell>
        </row>
        <row r="34">
          <cell r="C34" t="str">
            <v>ID_Single Family</v>
          </cell>
          <cell r="D34" t="str">
            <v>Single Family</v>
          </cell>
          <cell r="E34" t="str">
            <v>New</v>
          </cell>
          <cell r="F34">
            <v>3059</v>
          </cell>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cell r="AF34">
            <v>3258</v>
          </cell>
          <cell r="AG34">
            <v>5091</v>
          </cell>
          <cell r="AH34">
            <v>7002</v>
          </cell>
          <cell r="AI34">
            <v>7509</v>
          </cell>
          <cell r="AJ34">
            <v>9778</v>
          </cell>
          <cell r="AK34">
            <v>10507</v>
          </cell>
          <cell r="AL34">
            <v>10382</v>
          </cell>
          <cell r="AM34">
            <v>10055</v>
          </cell>
          <cell r="AN34">
            <v>10071</v>
          </cell>
          <cell r="AO34">
            <v>10039</v>
          </cell>
          <cell r="AP34">
            <v>9821</v>
          </cell>
          <cell r="AQ34">
            <v>9813</v>
          </cell>
          <cell r="AR34">
            <v>9958</v>
          </cell>
          <cell r="AS34">
            <v>10085</v>
          </cell>
          <cell r="AT34">
            <v>10505</v>
          </cell>
          <cell r="AU34">
            <v>10749</v>
          </cell>
          <cell r="AV34">
            <v>10878</v>
          </cell>
          <cell r="AW34">
            <v>10846</v>
          </cell>
          <cell r="AX34">
            <v>10975</v>
          </cell>
          <cell r="AY34">
            <v>11099</v>
          </cell>
          <cell r="AZ34">
            <v>11121</v>
          </cell>
          <cell r="BA34">
            <v>10926</v>
          </cell>
          <cell r="BB34">
            <v>11030</v>
          </cell>
          <cell r="BC34">
            <v>11073</v>
          </cell>
          <cell r="BD34">
            <v>11167</v>
          </cell>
        </row>
        <row r="35">
          <cell r="C35" t="str">
            <v>ID_Multi Family</v>
          </cell>
          <cell r="D35" t="str">
            <v>Multifamily - Low Rise</v>
          </cell>
          <cell r="E35" t="str">
            <v>New</v>
          </cell>
          <cell r="F35">
            <v>945.31021109984124</v>
          </cell>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cell r="AF35">
            <v>511.5577769900774</v>
          </cell>
          <cell r="AG35">
            <v>753.64796270668967</v>
          </cell>
          <cell r="AH35">
            <v>1498.8895230864375</v>
          </cell>
          <cell r="AI35">
            <v>1723.6804258697659</v>
          </cell>
          <cell r="AJ35">
            <v>2047.1518579637404</v>
          </cell>
          <cell r="AK35">
            <v>2037.4382073921424</v>
          </cell>
          <cell r="AL35">
            <v>2026.9150859395779</v>
          </cell>
          <cell r="AM35">
            <v>2022.8677315347454</v>
          </cell>
          <cell r="AN35">
            <v>1909.5418081994781</v>
          </cell>
          <cell r="AO35">
            <v>1724.9824473391584</v>
          </cell>
          <cell r="AP35">
            <v>1653.7490098141207</v>
          </cell>
          <cell r="AQ35">
            <v>1669.9384274334507</v>
          </cell>
          <cell r="AR35">
            <v>1698.2699082672639</v>
          </cell>
          <cell r="AS35">
            <v>1706.3646170769289</v>
          </cell>
          <cell r="AT35">
            <v>1733.8866270297899</v>
          </cell>
          <cell r="AU35">
            <v>1733.0771561488234</v>
          </cell>
          <cell r="AV35">
            <v>1759.7896952207038</v>
          </cell>
          <cell r="AW35">
            <v>1788.1211760545311</v>
          </cell>
          <cell r="AX35">
            <v>1819.6905404122106</v>
          </cell>
          <cell r="AY35">
            <v>1830.2136618647751</v>
          </cell>
          <cell r="AZ35">
            <v>1848.8314921269903</v>
          </cell>
          <cell r="BA35">
            <v>1873.925089436952</v>
          </cell>
          <cell r="BB35">
            <v>1904.6849829136791</v>
          </cell>
          <cell r="BC35">
            <v>1945.9679978429422</v>
          </cell>
          <cell r="BD35">
            <v>1994.5362507009463</v>
          </cell>
        </row>
        <row r="36">
          <cell r="C36" t="str">
            <v>ID</v>
          </cell>
          <cell r="D36" t="str">
            <v>Multifamily - High Rise</v>
          </cell>
          <cell r="E36" t="str">
            <v>New</v>
          </cell>
          <cell r="F36">
            <v>60.689788900158746</v>
          </cell>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cell r="AF36">
            <v>121.44222300992257</v>
          </cell>
          <cell r="AG36">
            <v>99.352037293310332</v>
          </cell>
          <cell r="AH36">
            <v>115.11047691356247</v>
          </cell>
          <cell r="AI36">
            <v>146.31957413023412</v>
          </cell>
          <cell r="AJ36">
            <v>466.74314765475788</v>
          </cell>
          <cell r="AK36">
            <v>464.52847079755878</v>
          </cell>
          <cell r="AL36">
            <v>462.12923753559477</v>
          </cell>
          <cell r="AM36">
            <v>461.20645551175875</v>
          </cell>
          <cell r="AN36">
            <v>435.3685588444369</v>
          </cell>
          <cell r="AO36">
            <v>393.28969855764842</v>
          </cell>
          <cell r="AP36">
            <v>377.04873493818434</v>
          </cell>
          <cell r="AQ36">
            <v>380.7398630335195</v>
          </cell>
          <cell r="AR36">
            <v>387.1993372003484</v>
          </cell>
          <cell r="AS36">
            <v>389.04490124801771</v>
          </cell>
          <cell r="AT36">
            <v>395.31981901007907</v>
          </cell>
          <cell r="AU36">
            <v>395.13526260531506</v>
          </cell>
          <cell r="AV36">
            <v>401.22562396261065</v>
          </cell>
          <cell r="AW36">
            <v>407.6850981294449</v>
          </cell>
          <cell r="AX36">
            <v>414.88279791534046</v>
          </cell>
          <cell r="AY36">
            <v>417.28203117730709</v>
          </cell>
          <cell r="AZ36">
            <v>421.52682848694133</v>
          </cell>
          <cell r="BA36">
            <v>427.24807703470356</v>
          </cell>
          <cell r="BB36">
            <v>434.26122041583335</v>
          </cell>
          <cell r="BC36">
            <v>443.67359705893341</v>
          </cell>
          <cell r="BD36">
            <v>454.74698134493076</v>
          </cell>
        </row>
        <row r="37">
          <cell r="C37" t="str">
            <v>ID_Other Family</v>
          </cell>
          <cell r="D37" t="str">
            <v>Manufactured</v>
          </cell>
          <cell r="E37" t="str">
            <v>New</v>
          </cell>
          <cell r="F37">
            <v>1200</v>
          </cell>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cell r="AF37">
            <v>264</v>
          </cell>
          <cell r="AG37">
            <v>217</v>
          </cell>
          <cell r="AH37">
            <v>268.84999999999997</v>
          </cell>
          <cell r="AI37">
            <v>305.30833333333334</v>
          </cell>
          <cell r="AJ37">
            <v>268.5263888888889</v>
          </cell>
          <cell r="AK37">
            <v>267.78078703703704</v>
          </cell>
          <cell r="AL37">
            <v>265.24425154320988</v>
          </cell>
          <cell r="AM37">
            <v>265.45162680041153</v>
          </cell>
          <cell r="AN37">
            <v>273.52689793381347</v>
          </cell>
          <cell r="AO37">
            <v>274.30638092278235</v>
          </cell>
          <cell r="AP37">
            <v>269.13938885435721</v>
          </cell>
          <cell r="AQ37">
            <v>269.2415555152686</v>
          </cell>
          <cell r="AR37">
            <v>269.48501692830718</v>
          </cell>
          <cell r="AS37">
            <v>270.19181115915677</v>
          </cell>
          <cell r="AT37">
            <v>270.9818418856143</v>
          </cell>
          <cell r="AU37">
            <v>270.55766587758109</v>
          </cell>
          <cell r="AV37">
            <v>269.93288003671415</v>
          </cell>
          <cell r="AW37">
            <v>270.06512856710702</v>
          </cell>
          <cell r="AX37">
            <v>270.2023907424134</v>
          </cell>
          <cell r="AY37">
            <v>270.32195304476443</v>
          </cell>
          <cell r="AZ37">
            <v>270.34364335903234</v>
          </cell>
          <cell r="BA37">
            <v>270.23727693793541</v>
          </cell>
          <cell r="BB37">
            <v>270.18387878132779</v>
          </cell>
          <cell r="BC37">
            <v>270.22571190543005</v>
          </cell>
          <cell r="BD37">
            <v>270.25247579515059</v>
          </cell>
        </row>
        <row r="38">
          <cell r="C38" t="str">
            <v>ID_Single Family</v>
          </cell>
          <cell r="D38" t="str">
            <v>Single Family</v>
          </cell>
          <cell r="E38" t="str">
            <v>Existing</v>
          </cell>
          <cell r="AK38">
            <v>560451</v>
          </cell>
          <cell r="AL38">
            <v>559178.33834862499</v>
          </cell>
          <cell r="AM38">
            <v>557908.56663353147</v>
          </cell>
          <cell r="AN38">
            <v>556641.67829230614</v>
          </cell>
          <cell r="AO38">
            <v>555377.66677743755</v>
          </cell>
          <cell r="AP38">
            <v>554116.52555628214</v>
          </cell>
          <cell r="AQ38">
            <v>552858.24811103067</v>
          </cell>
          <cell r="AR38">
            <v>551602.82793867437</v>
          </cell>
          <cell r="AS38">
            <v>550350.25855097128</v>
          </cell>
          <cell r="AT38">
            <v>549100.5334744131</v>
          </cell>
          <cell r="AU38">
            <v>547853.64625019114</v>
          </cell>
          <cell r="AV38">
            <v>546609.59043416334</v>
          </cell>
          <cell r="AW38">
            <v>545368.35959682101</v>
          </cell>
          <cell r="AX38">
            <v>544129.94732325536</v>
          </cell>
          <cell r="AY38">
            <v>542894.34721312439</v>
          </cell>
          <cell r="AZ38">
            <v>541661.55288062</v>
          </cell>
          <cell r="BA38">
            <v>540431.55795443489</v>
          </cell>
          <cell r="BB38">
            <v>539204.35607772938</v>
          </cell>
          <cell r="BC38">
            <v>537979.94090809906</v>
          </cell>
          <cell r="BD38">
            <v>536758.30611754162</v>
          </cell>
        </row>
        <row r="39">
          <cell r="C39" t="str">
            <v>ID_Multi Family</v>
          </cell>
          <cell r="D39" t="str">
            <v>Multifamily - Low Rise</v>
          </cell>
          <cell r="E39" t="str">
            <v>Existing</v>
          </cell>
          <cell r="AK39">
            <v>62297.688470046371</v>
          </cell>
          <cell r="AL39">
            <v>62156.22176949741</v>
          </cell>
          <cell r="AM39">
            <v>62015.076314051694</v>
          </cell>
          <cell r="AN39">
            <v>61874.251374220112</v>
          </cell>
          <cell r="AO39">
            <v>61733.746222170106</v>
          </cell>
          <cell r="AP39">
            <v>61593.560131721882</v>
          </cell>
          <cell r="AQ39">
            <v>61453.692378344676</v>
          </cell>
          <cell r="AR39">
            <v>61314.142239152992</v>
          </cell>
          <cell r="AS39">
            <v>61174.908992902885</v>
          </cell>
          <cell r="AT39">
            <v>61035.991919988213</v>
          </cell>
          <cell r="AU39">
            <v>60897.390302436943</v>
          </cell>
          <cell r="AV39">
            <v>60759.103423907414</v>
          </cell>
          <cell r="AW39">
            <v>60621.130569684647</v>
          </cell>
          <cell r="AX39">
            <v>60483.471026676656</v>
          </cell>
          <cell r="AY39">
            <v>60346.124083410752</v>
          </cell>
          <cell r="AZ39">
            <v>60209.089030029871</v>
          </cell>
          <cell r="BA39">
            <v>60072.365158288914</v>
          </cell>
          <cell r="BB39">
            <v>59935.951761551063</v>
          </cell>
          <cell r="BC39">
            <v>59799.848134784159</v>
          </cell>
          <cell r="BD39">
            <v>59664.053574557031</v>
          </cell>
        </row>
        <row r="40">
          <cell r="D40" t="str">
            <v>Multifamily - High Rise</v>
          </cell>
          <cell r="E40" t="str">
            <v>Existing</v>
          </cell>
          <cell r="AK40">
            <v>14203.645467243141</v>
          </cell>
          <cell r="AL40">
            <v>14171.391576137949</v>
          </cell>
          <cell r="AM40">
            <v>14139.210927743146</v>
          </cell>
          <cell r="AN40">
            <v>14107.103355737881</v>
          </cell>
          <cell r="AO40">
            <v>14075.068694178986</v>
          </cell>
          <cell r="AP40">
            <v>14043.106777500123</v>
          </cell>
          <cell r="AQ40">
            <v>14011.21744051092</v>
          </cell>
          <cell r="AR40">
            <v>13979.400518396127</v>
          </cell>
          <cell r="AS40">
            <v>13947.655846714757</v>
          </cell>
          <cell r="AT40">
            <v>13915.983261399238</v>
          </cell>
          <cell r="AU40">
            <v>13884.382598754568</v>
          </cell>
          <cell r="AV40">
            <v>13852.853695457465</v>
          </cell>
          <cell r="AW40">
            <v>13821.396388555522</v>
          </cell>
          <cell r="AX40">
            <v>13790.010515466372</v>
          </cell>
          <cell r="AY40">
            <v>13758.695913976841</v>
          </cell>
          <cell r="AZ40">
            <v>13727.45242224211</v>
          </cell>
          <cell r="BA40">
            <v>13696.279878784881</v>
          </cell>
          <cell r="BB40">
            <v>13665.178122494543</v>
          </cell>
          <cell r="BC40">
            <v>13634.146992626336</v>
          </cell>
          <cell r="BD40">
            <v>13603.186328800522</v>
          </cell>
        </row>
        <row r="41">
          <cell r="C41" t="str">
            <v>ID_Other Family</v>
          </cell>
          <cell r="D41" t="str">
            <v>Manufactured</v>
          </cell>
          <cell r="E41" t="str">
            <v>Existing</v>
          </cell>
          <cell r="AK41">
            <v>84820.465509259258</v>
          </cell>
          <cell r="AL41">
            <v>83913.990341353419</v>
          </cell>
          <cell r="AM41">
            <v>83017.202661309115</v>
          </cell>
          <cell r="AN41">
            <v>82129.998939074561</v>
          </cell>
          <cell r="AO41">
            <v>81252.276751022233</v>
          </cell>
          <cell r="AP41">
            <v>80383.934768124556</v>
          </cell>
          <cell r="AQ41">
            <v>79524.872744255888</v>
          </cell>
          <cell r="AR41">
            <v>78674.991504619567</v>
          </cell>
          <cell r="AS41">
            <v>77834.19293429864</v>
          </cell>
          <cell r="AT41">
            <v>77002.379966928973</v>
          </cell>
          <cell r="AU41">
            <v>76179.456573493328</v>
          </cell>
          <cell r="AV41">
            <v>75365.32775123528</v>
          </cell>
          <cell r="AW41">
            <v>74559.899512691583</v>
          </cell>
          <cell r="AX41">
            <v>73763.07887484174</v>
          </cell>
          <cell r="AY41">
            <v>72974.773848373516</v>
          </cell>
          <cell r="AZ41">
            <v>72194.893427063245</v>
          </cell>
          <cell r="BA41">
            <v>71423.347577269524</v>
          </cell>
          <cell r="BB41">
            <v>70660.047227539253</v>
          </cell>
          <cell r="BC41">
            <v>69904.90425832475</v>
          </cell>
          <cell r="BD41">
            <v>69157.831491810764</v>
          </cell>
        </row>
        <row r="43">
          <cell r="D43" t="str">
            <v>MONTANA</v>
          </cell>
          <cell r="E43">
            <v>0.56999999999999995</v>
          </cell>
          <cell r="F43" t="str">
            <v>Western MT portion of state</v>
          </cell>
        </row>
        <row r="44">
          <cell r="C44" t="str">
            <v>MT_Single Family</v>
          </cell>
          <cell r="D44" t="str">
            <v>Single Family</v>
          </cell>
          <cell r="E44" t="str">
            <v>New</v>
          </cell>
          <cell r="F44">
            <v>1313</v>
          </cell>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cell r="AF44">
            <v>1527.5</v>
          </cell>
          <cell r="AG44">
            <v>2199.6</v>
          </cell>
          <cell r="AH44">
            <v>2615.6</v>
          </cell>
          <cell r="AI44">
            <v>2434.9</v>
          </cell>
          <cell r="AJ44">
            <v>3003</v>
          </cell>
          <cell r="AK44">
            <v>3248.7000000000003</v>
          </cell>
          <cell r="AL44">
            <v>3173.3</v>
          </cell>
          <cell r="AM44">
            <v>3031.6</v>
          </cell>
          <cell r="AN44">
            <v>2824.9</v>
          </cell>
          <cell r="AO44">
            <v>2748.2000000000003</v>
          </cell>
          <cell r="AP44">
            <v>2665</v>
          </cell>
          <cell r="AQ44">
            <v>2611.7000000000003</v>
          </cell>
          <cell r="AR44">
            <v>2597.4</v>
          </cell>
          <cell r="AS44">
            <v>2561</v>
          </cell>
          <cell r="AT44">
            <v>2563.6</v>
          </cell>
          <cell r="AU44">
            <v>2544.1</v>
          </cell>
          <cell r="AV44">
            <v>2525.9</v>
          </cell>
          <cell r="AW44">
            <v>2477.8000000000002</v>
          </cell>
          <cell r="AX44">
            <v>2484.3000000000002</v>
          </cell>
          <cell r="AY44">
            <v>2481.7000000000003</v>
          </cell>
          <cell r="AZ44">
            <v>2475.2000000000003</v>
          </cell>
          <cell r="BA44">
            <v>2419.3000000000002</v>
          </cell>
          <cell r="BB44">
            <v>2415.4</v>
          </cell>
          <cell r="BC44">
            <v>2401.1</v>
          </cell>
          <cell r="BD44">
            <v>2398.5</v>
          </cell>
        </row>
        <row r="45">
          <cell r="C45" t="str">
            <v>MT_Multi Family</v>
          </cell>
          <cell r="D45" t="str">
            <v>Multifamily - Low Rise</v>
          </cell>
          <cell r="E45" t="str">
            <v>New</v>
          </cell>
          <cell r="F45">
            <v>860.82519174945844</v>
          </cell>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cell r="AF45">
            <v>584.82600096441138</v>
          </cell>
          <cell r="AG45">
            <v>746.00336992138523</v>
          </cell>
          <cell r="AH45">
            <v>1413.6131024199028</v>
          </cell>
          <cell r="AI45">
            <v>1716.9789419190136</v>
          </cell>
          <cell r="AJ45">
            <v>1648.045460109282</v>
          </cell>
          <cell r="AK45">
            <v>1722.1281540862396</v>
          </cell>
          <cell r="AL45">
            <v>1580.7212534439332</v>
          </cell>
          <cell r="AM45">
            <v>1472.5799608727305</v>
          </cell>
          <cell r="AN45">
            <v>1442.4819321350953</v>
          </cell>
          <cell r="AO45">
            <v>1359.5082188973515</v>
          </cell>
          <cell r="AP45">
            <v>1280.00164720679</v>
          </cell>
          <cell r="AQ45">
            <v>1292.5421730399576</v>
          </cell>
          <cell r="AR45">
            <v>1322.3745937064909</v>
          </cell>
          <cell r="AS45">
            <v>1349.4518116826594</v>
          </cell>
          <cell r="AT45">
            <v>1351.6834656111594</v>
          </cell>
          <cell r="AU45">
            <v>1377.387737087626</v>
          </cell>
          <cell r="AV45">
            <v>1321.0487447305225</v>
          </cell>
          <cell r="AW45">
            <v>1307.9885038256584</v>
          </cell>
          <cell r="AX45">
            <v>1321.4989092063927</v>
          </cell>
          <cell r="AY45">
            <v>1360.8548786347953</v>
          </cell>
          <cell r="AZ45">
            <v>1395.7475402061953</v>
          </cell>
          <cell r="BA45">
            <v>1395.1035096345979</v>
          </cell>
          <cell r="BB45">
            <v>1429.4425019916998</v>
          </cell>
          <cell r="BC45">
            <v>1435.6741559201971</v>
          </cell>
          <cell r="BD45">
            <v>1447.3521406344007</v>
          </cell>
        </row>
        <row r="46">
          <cell r="C46" t="str">
            <v>MT</v>
          </cell>
          <cell r="D46" t="str">
            <v>Multifamily - High Rise</v>
          </cell>
          <cell r="E46" t="str">
            <v>New</v>
          </cell>
          <cell r="F46">
            <v>42.174808250541538</v>
          </cell>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cell r="AF46">
            <v>105.17399903558866</v>
          </cell>
          <cell r="AG46">
            <v>93.9966300786148</v>
          </cell>
          <cell r="AH46">
            <v>113.38689758009713</v>
          </cell>
          <cell r="AI46">
            <v>125.02105808098651</v>
          </cell>
          <cell r="AJ46">
            <v>382.95453989071814</v>
          </cell>
          <cell r="AK46">
            <v>352.8718459137603</v>
          </cell>
          <cell r="AL46">
            <v>331.27874655606695</v>
          </cell>
          <cell r="AM46">
            <v>322.42003912726955</v>
          </cell>
          <cell r="AN46">
            <v>304.51806786490465</v>
          </cell>
          <cell r="AO46">
            <v>290.49178110264859</v>
          </cell>
          <cell r="AP46">
            <v>293.99835279320996</v>
          </cell>
          <cell r="AQ46">
            <v>300.45782696004244</v>
          </cell>
          <cell r="AR46">
            <v>305.62540629350912</v>
          </cell>
          <cell r="AS46">
            <v>306.54818831734065</v>
          </cell>
          <cell r="AT46">
            <v>309.31653438884064</v>
          </cell>
          <cell r="AU46">
            <v>298.61226291237398</v>
          </cell>
          <cell r="AV46">
            <v>296.95125526947754</v>
          </cell>
          <cell r="AW46">
            <v>301.01149617434152</v>
          </cell>
          <cell r="AX46">
            <v>309.50109079360732</v>
          </cell>
          <cell r="AY46">
            <v>316.14512136520466</v>
          </cell>
          <cell r="AZ46">
            <v>317.25245979380469</v>
          </cell>
          <cell r="BA46">
            <v>323.89649036540203</v>
          </cell>
          <cell r="BB46">
            <v>325.55749800830023</v>
          </cell>
          <cell r="BC46">
            <v>328.32584407980289</v>
          </cell>
          <cell r="BD46">
            <v>331.6478593655994</v>
          </cell>
        </row>
        <row r="47">
          <cell r="C47" t="str">
            <v>MT_Other Family</v>
          </cell>
          <cell r="D47" t="str">
            <v>Manufactured</v>
          </cell>
          <cell r="E47" t="str">
            <v>New</v>
          </cell>
          <cell r="F47">
            <v>923</v>
          </cell>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cell r="AF47">
            <v>361</v>
          </cell>
          <cell r="AG47">
            <v>468</v>
          </cell>
          <cell r="AH47">
            <v>308.75</v>
          </cell>
          <cell r="AI47">
            <v>364.95833333333331</v>
          </cell>
          <cell r="AJ47">
            <v>352.95138888888891</v>
          </cell>
          <cell r="AK47">
            <v>363.44328703703701</v>
          </cell>
          <cell r="AL47">
            <v>369.85050154320987</v>
          </cell>
          <cell r="AM47">
            <v>371.32558513374482</v>
          </cell>
          <cell r="AN47">
            <v>355.2131826560356</v>
          </cell>
          <cell r="AO47">
            <v>362.95704643204158</v>
          </cell>
          <cell r="AP47">
            <v>362.62349861515963</v>
          </cell>
          <cell r="AQ47">
            <v>364.23551690287144</v>
          </cell>
          <cell r="AR47">
            <v>364.36755521384384</v>
          </cell>
          <cell r="AS47">
            <v>363.45373082561611</v>
          </cell>
          <cell r="AT47">
            <v>362.14175510759469</v>
          </cell>
          <cell r="AU47">
            <v>363.29651718285459</v>
          </cell>
          <cell r="AV47">
            <v>363.35309564132336</v>
          </cell>
          <cell r="AW47">
            <v>363.47469514568405</v>
          </cell>
          <cell r="AX47">
            <v>363.34789151948604</v>
          </cell>
          <cell r="AY47">
            <v>363.17794757042651</v>
          </cell>
          <cell r="AZ47">
            <v>363.13198369456154</v>
          </cell>
          <cell r="BA47">
            <v>363.29702179238939</v>
          </cell>
          <cell r="BB47">
            <v>363.29710589397854</v>
          </cell>
          <cell r="BC47">
            <v>363.28777426942105</v>
          </cell>
          <cell r="BD47">
            <v>363.25662079004383</v>
          </cell>
        </row>
        <row r="48">
          <cell r="C48" t="str">
            <v>MT_Single Family</v>
          </cell>
          <cell r="D48" t="str">
            <v>Single Family</v>
          </cell>
          <cell r="E48" t="str">
            <v>Existing</v>
          </cell>
          <cell r="AK48">
            <v>323649.60000000009</v>
          </cell>
          <cell r="AL48">
            <v>322914.66253998509</v>
          </cell>
          <cell r="AM48">
            <v>322181.39396221231</v>
          </cell>
          <cell r="AN48">
            <v>321449.79047701514</v>
          </cell>
          <cell r="AO48">
            <v>320719.84830333246</v>
          </cell>
          <cell r="AP48">
            <v>319991.56366868917</v>
          </cell>
          <cell r="AQ48">
            <v>319264.93280917662</v>
          </cell>
          <cell r="AR48">
            <v>318539.95196943317</v>
          </cell>
          <cell r="AS48">
            <v>317816.61740262475</v>
          </cell>
          <cell r="AT48">
            <v>317094.92537042563</v>
          </cell>
          <cell r="AU48">
            <v>316374.87214299885</v>
          </cell>
          <cell r="AV48">
            <v>315656.4539989772</v>
          </cell>
          <cell r="AW48">
            <v>314939.66722544387</v>
          </cell>
          <cell r="AX48">
            <v>314224.50811791327</v>
          </cell>
          <cell r="AY48">
            <v>313510.9729803119</v>
          </cell>
          <cell r="AZ48">
            <v>312799.05812495912</v>
          </cell>
          <cell r="BA48">
            <v>312088.7598725484</v>
          </cell>
          <cell r="BB48">
            <v>311380.07455212792</v>
          </cell>
          <cell r="BC48">
            <v>310672.99850108189</v>
          </cell>
          <cell r="BD48">
            <v>309967.52806511155</v>
          </cell>
        </row>
        <row r="49">
          <cell r="C49" t="str">
            <v>MT_Multi Family</v>
          </cell>
          <cell r="D49" t="str">
            <v>Multifamily - Low Rise</v>
          </cell>
          <cell r="E49" t="str">
            <v>Existing</v>
          </cell>
          <cell r="AK49">
            <v>49246.589456226939</v>
          </cell>
          <cell r="AL49">
            <v>49134.75942376897</v>
          </cell>
          <cell r="AM49">
            <v>49023.183336940492</v>
          </cell>
          <cell r="AN49">
            <v>48911.860619077241</v>
          </cell>
          <cell r="AO49">
            <v>48800.790694824464</v>
          </cell>
          <cell r="AP49">
            <v>48689.972990133923</v>
          </cell>
          <cell r="AQ49">
            <v>48579.406932260943</v>
          </cell>
          <cell r="AR49">
            <v>48469.091949761445</v>
          </cell>
          <cell r="AS49">
            <v>48359.027472489004</v>
          </cell>
          <cell r="AT49">
            <v>48249.212931591894</v>
          </cell>
          <cell r="AU49">
            <v>48139.647759510139</v>
          </cell>
          <cell r="AV49">
            <v>48030.331389972584</v>
          </cell>
          <cell r="AW49">
            <v>47921.263257993989</v>
          </cell>
          <cell r="AX49">
            <v>47812.442799872078</v>
          </cell>
          <cell r="AY49">
            <v>47703.869453184649</v>
          </cell>
          <cell r="AZ49">
            <v>47595.54265678666</v>
          </cell>
          <cell r="BA49">
            <v>47487.461850807311</v>
          </cell>
          <cell r="BB49">
            <v>47379.626476647187</v>
          </cell>
          <cell r="BC49">
            <v>47272.035976975341</v>
          </cell>
          <cell r="BD49">
            <v>47164.689795726423</v>
          </cell>
        </row>
        <row r="50">
          <cell r="C50" t="str">
            <v>MT</v>
          </cell>
          <cell r="D50" t="str">
            <v>Multifamily - High Rise</v>
          </cell>
          <cell r="E50" t="str">
            <v>Existing</v>
          </cell>
          <cell r="AK50">
            <v>11228.042553191075</v>
          </cell>
          <cell r="AL50">
            <v>11202.545714180957</v>
          </cell>
          <cell r="AM50">
            <v>11177.106773846983</v>
          </cell>
          <cell r="AN50">
            <v>11151.725600711807</v>
          </cell>
          <cell r="AO50">
            <v>11126.402063596644</v>
          </cell>
          <cell r="AP50">
            <v>11101.136031620596</v>
          </cell>
          <cell r="AQ50">
            <v>11075.927374199966</v>
          </cell>
          <cell r="AR50">
            <v>11050.775961047593</v>
          </cell>
          <cell r="AS50">
            <v>11025.681662172174</v>
          </cell>
          <cell r="AT50">
            <v>11000.644347877589</v>
          </cell>
          <cell r="AU50">
            <v>10975.663888762239</v>
          </cell>
          <cell r="AV50">
            <v>10950.740155718371</v>
          </cell>
          <cell r="AW50">
            <v>10925.87301993141</v>
          </cell>
          <cell r="AX50">
            <v>10901.062352879297</v>
          </cell>
          <cell r="AY50">
            <v>10876.308026331822</v>
          </cell>
          <cell r="AZ50">
            <v>10851.609912349968</v>
          </cell>
          <cell r="BA50">
            <v>10826.967883285235</v>
          </cell>
          <cell r="BB50">
            <v>10802.381811778998</v>
          </cell>
          <cell r="BC50">
            <v>10777.851570761834</v>
          </cell>
          <cell r="BD50">
            <v>10753.377033452874</v>
          </cell>
        </row>
        <row r="51">
          <cell r="C51" t="str">
            <v>MT_Other Family</v>
          </cell>
          <cell r="D51" t="str">
            <v>Manufactured</v>
          </cell>
          <cell r="E51" t="str">
            <v>Existing</v>
          </cell>
          <cell r="AK51">
            <v>71434.103009259255</v>
          </cell>
          <cell r="AL51">
            <v>70670.687716372748</v>
          </cell>
          <cell r="AM51">
            <v>69915.431032397973</v>
          </cell>
          <cell r="AN51">
            <v>69168.245766391818</v>
          </cell>
          <cell r="AO51">
            <v>68429.045659219599</v>
          </cell>
          <cell r="AP51">
            <v>67697.74537359683</v>
          </cell>
          <cell r="AQ51">
            <v>66974.260484237457</v>
          </cell>
          <cell r="AR51">
            <v>66258.507468107273</v>
          </cell>
          <cell r="AS51">
            <v>65550.403694781649</v>
          </cell>
          <cell r="AT51">
            <v>64849.867416906163</v>
          </cell>
          <cell r="AU51">
            <v>64156.817760759273</v>
          </cell>
          <cell r="AV51">
            <v>63471.174716915804</v>
          </cell>
          <cell r="AW51">
            <v>62792.859131010227</v>
          </cell>
          <cell r="AX51">
            <v>62121.792694598647</v>
          </cell>
          <cell r="AY51">
            <v>61457.897936118447</v>
          </cell>
          <cell r="AZ51">
            <v>60801.098211944554</v>
          </cell>
          <cell r="BA51">
            <v>60151.317697541279</v>
          </cell>
          <cell r="BB51">
            <v>59508.481378708726</v>
          </cell>
          <cell r="BC51">
            <v>58872.515042922729</v>
          </cell>
          <cell r="BD51">
            <v>58243.345270767371</v>
          </cell>
        </row>
        <row r="53">
          <cell r="D53" t="str">
            <v>REGION</v>
          </cell>
        </row>
        <row r="54">
          <cell r="D54" t="str">
            <v>Single Family</v>
          </cell>
          <cell r="E54" t="str">
            <v>New</v>
          </cell>
          <cell r="F54">
            <v>28347.41</v>
          </cell>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cell r="AF54">
            <v>23007.674999999999</v>
          </cell>
          <cell r="AG54">
            <v>29744.772000000001</v>
          </cell>
          <cell r="AH54">
            <v>35486.892</v>
          </cell>
          <cell r="AI54">
            <v>44415.892999999996</v>
          </cell>
          <cell r="AJ54">
            <v>58293.71</v>
          </cell>
          <cell r="AK54">
            <v>62685.758999999998</v>
          </cell>
          <cell r="AL54">
            <v>59961.781000000003</v>
          </cell>
          <cell r="AM54">
            <v>56834.012000000002</v>
          </cell>
          <cell r="AN54">
            <v>54985.192999999999</v>
          </cell>
          <cell r="AO54">
            <v>53507.474000000002</v>
          </cell>
          <cell r="AP54">
            <v>50982.05</v>
          </cell>
          <cell r="AQ54">
            <v>49561.669000000002</v>
          </cell>
          <cell r="AR54">
            <v>49324.517999999996</v>
          </cell>
          <cell r="AS54">
            <v>48815.77</v>
          </cell>
          <cell r="AT54">
            <v>49683.252</v>
          </cell>
          <cell r="AU54">
            <v>50030.137000000002</v>
          </cell>
          <cell r="AV54">
            <v>49387.762999999999</v>
          </cell>
          <cell r="AW54">
            <v>48079.345999999998</v>
          </cell>
          <cell r="AX54">
            <v>48129.050999999999</v>
          </cell>
          <cell r="AY54">
            <v>48690.569000000003</v>
          </cell>
          <cell r="AZ54">
            <v>48482.864000000001</v>
          </cell>
          <cell r="BA54">
            <v>46879.000999999997</v>
          </cell>
          <cell r="BB54">
            <v>46798.777999999998</v>
          </cell>
          <cell r="BC54">
            <v>46917.627</v>
          </cell>
          <cell r="BD54">
            <v>47236.144999999997</v>
          </cell>
        </row>
        <row r="55">
          <cell r="D55" t="str">
            <v>Multifamily - Low Rise</v>
          </cell>
          <cell r="E55" t="str">
            <v>New</v>
          </cell>
          <cell r="F55">
            <v>20270.709108606741</v>
          </cell>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cell r="AF55">
            <v>7060.5047847544756</v>
          </cell>
          <cell r="AG55">
            <v>12168.678143163897</v>
          </cell>
          <cell r="AH55">
            <v>19129.179628017948</v>
          </cell>
          <cell r="AI55">
            <v>19420.059444838447</v>
          </cell>
          <cell r="AJ55">
            <v>23068.805408245826</v>
          </cell>
          <cell r="AK55">
            <v>23280.347100904564</v>
          </cell>
          <cell r="AL55">
            <v>23017.418106038647</v>
          </cell>
          <cell r="AM55">
            <v>22811.60852767331</v>
          </cell>
          <cell r="AN55">
            <v>22085.916378202593</v>
          </cell>
          <cell r="AO55">
            <v>20817.853908138593</v>
          </cell>
          <cell r="AP55">
            <v>20070.279329962508</v>
          </cell>
          <cell r="AQ55">
            <v>19887.831284331631</v>
          </cell>
          <cell r="AR55">
            <v>20257.583209811291</v>
          </cell>
          <cell r="AS55">
            <v>20750.368029493613</v>
          </cell>
          <cell r="AT55">
            <v>21314.334279744231</v>
          </cell>
          <cell r="AU55">
            <v>21403.286239774712</v>
          </cell>
          <cell r="AV55">
            <v>21409.137516518917</v>
          </cell>
          <cell r="AW55">
            <v>21443.358292282628</v>
          </cell>
          <cell r="AX55">
            <v>21209.865626522758</v>
          </cell>
          <cell r="AY55">
            <v>20954.17798283829</v>
          </cell>
          <cell r="AZ55">
            <v>20525.44023202754</v>
          </cell>
          <cell r="BA55">
            <v>20175.505597554071</v>
          </cell>
          <cell r="BB55">
            <v>19919.723927484571</v>
          </cell>
          <cell r="BC55">
            <v>19536.194066416414</v>
          </cell>
          <cell r="BD55">
            <v>19462.287131015248</v>
          </cell>
        </row>
        <row r="56">
          <cell r="D56" t="str">
            <v>Multifamily - High Rise</v>
          </cell>
          <cell r="E56" t="str">
            <v>New</v>
          </cell>
          <cell r="F56">
            <v>1479.0008913932584</v>
          </cell>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cell r="AF56">
            <v>3074.7952152455237</v>
          </cell>
          <cell r="AG56">
            <v>2010.1218568361005</v>
          </cell>
          <cell r="AH56">
            <v>2152.2103719820498</v>
          </cell>
          <cell r="AI56">
            <v>2768.8805551615533</v>
          </cell>
          <cell r="AJ56">
            <v>5337.8787559635048</v>
          </cell>
          <cell r="AK56">
            <v>5226.2387411561367</v>
          </cell>
          <cell r="AL56">
            <v>5239.95312759432</v>
          </cell>
          <cell r="AM56">
            <v>5271.2612760989568</v>
          </cell>
          <cell r="AN56">
            <v>4985.883552972361</v>
          </cell>
          <cell r="AO56">
            <v>4608.5912035798974</v>
          </cell>
          <cell r="AP56">
            <v>4509.6375960361838</v>
          </cell>
          <cell r="AQ56">
            <v>4481.760351096189</v>
          </cell>
          <cell r="AR56">
            <v>4621.8312800578688</v>
          </cell>
          <cell r="AS56">
            <v>4700.9782942419988</v>
          </cell>
          <cell r="AT56">
            <v>4828.2391631488581</v>
          </cell>
          <cell r="AU56">
            <v>4790.0249139778334</v>
          </cell>
          <cell r="AV56">
            <v>4782.0649962402858</v>
          </cell>
          <cell r="AW56">
            <v>4748.3908346265653</v>
          </cell>
          <cell r="AX56">
            <v>4733.4823682495089</v>
          </cell>
          <cell r="AY56">
            <v>4698.697177079107</v>
          </cell>
          <cell r="AZ56">
            <v>4599.2987885998937</v>
          </cell>
          <cell r="BA56">
            <v>4526.3104216428001</v>
          </cell>
          <cell r="BB56">
            <v>4422.0600452822764</v>
          </cell>
          <cell r="BC56">
            <v>4405.182362066379</v>
          </cell>
          <cell r="BD56">
            <v>4385.1136986120664</v>
          </cell>
        </row>
        <row r="57">
          <cell r="D57" t="str">
            <v>Manufactured</v>
          </cell>
          <cell r="E57" t="str">
            <v>New</v>
          </cell>
          <cell r="F57">
            <v>9693.11</v>
          </cell>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cell r="AF57">
            <v>1477.77</v>
          </cell>
          <cell r="AG57">
            <v>1516.76</v>
          </cell>
          <cell r="AH57">
            <v>2391.3375000000001</v>
          </cell>
          <cell r="AI57">
            <v>2145.0845833333333</v>
          </cell>
          <cell r="AJ57">
            <v>1890.2503472222222</v>
          </cell>
          <cell r="AK57">
            <v>1869.5754050925925</v>
          </cell>
          <cell r="AL57">
            <v>1881.796305941358</v>
          </cell>
          <cell r="AM57">
            <v>1949.1340235982509</v>
          </cell>
          <cell r="AN57">
            <v>2021.1963608646258</v>
          </cell>
          <cell r="AO57">
            <v>1959.5061710087307</v>
          </cell>
          <cell r="AP57">
            <v>1928.5764356212967</v>
          </cell>
          <cell r="AQ57">
            <v>1934.9641170211423</v>
          </cell>
          <cell r="AR57">
            <v>1945.862235675901</v>
          </cell>
          <cell r="AS57">
            <v>1956.539890631658</v>
          </cell>
          <cell r="AT57">
            <v>1957.7742018038925</v>
          </cell>
          <cell r="AU57">
            <v>1947.2038419604366</v>
          </cell>
          <cell r="AV57">
            <v>1945.153453785721</v>
          </cell>
          <cell r="AW57">
            <v>1947.9162901464586</v>
          </cell>
          <cell r="AX57">
            <v>1950.0749856673444</v>
          </cell>
          <cell r="AY57">
            <v>1950.7771106659191</v>
          </cell>
          <cell r="AZ57">
            <v>1949.8166473382953</v>
          </cell>
          <cell r="BA57">
            <v>1948.4903882606959</v>
          </cell>
          <cell r="BB57">
            <v>1948.7048126440727</v>
          </cell>
          <cell r="BC57">
            <v>1949.296705787131</v>
          </cell>
          <cell r="BD57">
            <v>1949.5267750605763</v>
          </cell>
        </row>
        <row r="58">
          <cell r="D58" t="str">
            <v>Single Family</v>
          </cell>
          <cell r="E58" t="str">
            <v>Existing</v>
          </cell>
          <cell r="AK58">
            <v>4203528.2719999999</v>
          </cell>
          <cell r="AL58">
            <v>4193982.9785983553</v>
          </cell>
          <cell r="AM58">
            <v>4184459.3604704877</v>
          </cell>
          <cell r="AN58">
            <v>4174957.36839659</v>
          </cell>
          <cell r="AO58">
            <v>4165476.9532686244</v>
          </cell>
          <cell r="AP58">
            <v>4156018.0660900641</v>
          </cell>
          <cell r="AQ58">
            <v>4146580.6579756448</v>
          </cell>
          <cell r="AR58">
            <v>4137164.6801511091</v>
          </cell>
          <cell r="AS58">
            <v>4127770.0839529554</v>
          </cell>
          <cell r="AT58">
            <v>4118396.8208281873</v>
          </cell>
          <cell r="AU58">
            <v>4109044.8423340586</v>
          </cell>
          <cell r="AV58">
            <v>4099714.1001378288</v>
          </cell>
          <cell r="AW58">
            <v>4090404.5460165106</v>
          </cell>
          <cell r="AX58">
            <v>4081116.1318566194</v>
          </cell>
          <cell r="AY58">
            <v>4071848.8096539262</v>
          </cell>
          <cell r="AZ58">
            <v>4062602.5315132081</v>
          </cell>
          <cell r="BA58">
            <v>4053377.2496480034</v>
          </cell>
          <cell r="BB58">
            <v>4044172.9163803621</v>
          </cell>
          <cell r="BC58">
            <v>4034989.4841406001</v>
          </cell>
          <cell r="BD58">
            <v>4025826.9054670548</v>
          </cell>
        </row>
        <row r="59">
          <cell r="D59" t="str">
            <v>Multifamily - Low Rise</v>
          </cell>
          <cell r="E59" t="str">
            <v>Existing</v>
          </cell>
          <cell r="AK59">
            <v>926243.25609262148</v>
          </cell>
          <cell r="AL59">
            <v>924139.92640956037</v>
          </cell>
          <cell r="AM59">
            <v>922041.3730050053</v>
          </cell>
          <cell r="AN59">
            <v>919947.58503289847</v>
          </cell>
          <cell r="AO59">
            <v>917858.55167181045</v>
          </cell>
          <cell r="AP59">
            <v>915774.26212488639</v>
          </cell>
          <cell r="AQ59">
            <v>913694.70561978838</v>
          </cell>
          <cell r="AR59">
            <v>911619.87140864041</v>
          </cell>
          <cell r="AS59">
            <v>909549.74876797362</v>
          </cell>
          <cell r="AT59">
            <v>907484.32699866977</v>
          </cell>
          <cell r="AU59">
            <v>905423.59542590659</v>
          </cell>
          <cell r="AV59">
            <v>903367.54339910217</v>
          </cell>
          <cell r="AW59">
            <v>901316.16029185988</v>
          </cell>
          <cell r="AX59">
            <v>899269.43550191447</v>
          </cell>
          <cell r="AY59">
            <v>897227.35845107585</v>
          </cell>
          <cell r="AZ59">
            <v>895189.9185851753</v>
          </cell>
          <cell r="BA59">
            <v>893157.10537401051</v>
          </cell>
          <cell r="BB59">
            <v>891128.90831129183</v>
          </cell>
          <cell r="BC59">
            <v>889105.31691458682</v>
          </cell>
          <cell r="BD59">
            <v>887086.32072526717</v>
          </cell>
        </row>
        <row r="60">
          <cell r="D60" t="str">
            <v>Multifamily - High Rise</v>
          </cell>
          <cell r="E60" t="str">
            <v>Existing</v>
          </cell>
          <cell r="AK60">
            <v>211180.07985625503</v>
          </cell>
          <cell r="AL60">
            <v>210700.52836963299</v>
          </cell>
          <cell r="AM60">
            <v>210222.06585706791</v>
          </cell>
          <cell r="AN60">
            <v>209744.68984569819</v>
          </cell>
          <cell r="AO60">
            <v>209268.39786827751</v>
          </cell>
          <cell r="AP60">
            <v>208793.18746316229</v>
          </cell>
          <cell r="AQ60">
            <v>208319.05617429892</v>
          </cell>
          <cell r="AR60">
            <v>207846.00155121088</v>
          </cell>
          <cell r="AS60">
            <v>207374.0211489865</v>
          </cell>
          <cell r="AT60">
            <v>206903.11252826577</v>
          </cell>
          <cell r="AU60">
            <v>206433.27325522827</v>
          </cell>
          <cell r="AV60">
            <v>205964.50090158021</v>
          </cell>
          <cell r="AW60">
            <v>205496.79304454199</v>
          </cell>
          <cell r="AX60">
            <v>205030.14726683579</v>
          </cell>
          <cell r="AY60">
            <v>204564.56115667295</v>
          </cell>
          <cell r="AZ60">
            <v>204100.03230774152</v>
          </cell>
          <cell r="BA60">
            <v>203636.55831919383</v>
          </cell>
          <cell r="BB60">
            <v>203174.13679563423</v>
          </cell>
          <cell r="BC60">
            <v>202712.76534710638</v>
          </cell>
          <cell r="BD60">
            <v>202252.44158908122</v>
          </cell>
        </row>
        <row r="61">
          <cell r="D61" t="str">
            <v>Manufactured</v>
          </cell>
          <cell r="E61" t="str">
            <v>Existing</v>
          </cell>
          <cell r="AK61">
            <v>572006.3278356482</v>
          </cell>
          <cell r="AL61">
            <v>565893.30394507048</v>
          </cell>
          <cell r="AM61">
            <v>559845.60985814757</v>
          </cell>
          <cell r="AN61">
            <v>553862.54739615123</v>
          </cell>
          <cell r="AO61">
            <v>547943.42584177968</v>
          </cell>
          <cell r="AP61">
            <v>542087.56185941794</v>
          </cell>
          <cell r="AQ61">
            <v>536294.27941624937</v>
          </cell>
          <cell r="AR61">
            <v>530562.90970421082</v>
          </cell>
          <cell r="AS61">
            <v>524892.79106278194</v>
          </cell>
          <cell r="AT61">
            <v>519283.26890259917</v>
          </cell>
          <cell r="AU61">
            <v>513733.69562988722</v>
          </cell>
          <cell r="AV61">
            <v>508243.4305716962</v>
          </cell>
          <cell r="AW61">
            <v>502811.8399019395</v>
          </cell>
          <cell r="AX61">
            <v>497438.2965682213</v>
          </cell>
          <cell r="AY61">
            <v>492122.18021944637</v>
          </cell>
          <cell r="AZ61">
            <v>486862.87713420321</v>
          </cell>
          <cell r="BA61">
            <v>481659.78014991269</v>
          </cell>
          <cell r="BB61">
            <v>476512.28859273402</v>
          </cell>
          <cell r="BC61">
            <v>471419.80820821953</v>
          </cell>
          <cell r="BD61">
            <v>466381.75109271082</v>
          </cell>
        </row>
        <row r="63">
          <cell r="G63">
            <v>1986</v>
          </cell>
          <cell r="H63">
            <v>1987</v>
          </cell>
          <cell r="I63">
            <v>1988</v>
          </cell>
          <cell r="J63">
            <v>1989</v>
          </cell>
          <cell r="K63">
            <v>1990</v>
          </cell>
          <cell r="L63">
            <v>1991</v>
          </cell>
          <cell r="M63">
            <v>1992</v>
          </cell>
          <cell r="N63">
            <v>1993</v>
          </cell>
          <cell r="O63">
            <v>1994</v>
          </cell>
          <cell r="P63">
            <v>1995</v>
          </cell>
          <cell r="Q63">
            <v>1996</v>
          </cell>
          <cell r="R63">
            <v>1997</v>
          </cell>
          <cell r="S63">
            <v>1998</v>
          </cell>
          <cell r="T63">
            <v>1999</v>
          </cell>
          <cell r="U63">
            <v>2000</v>
          </cell>
          <cell r="V63">
            <v>2001</v>
          </cell>
          <cell r="W63">
            <v>2002</v>
          </cell>
          <cell r="X63">
            <v>2003</v>
          </cell>
          <cell r="Y63">
            <v>2004</v>
          </cell>
          <cell r="Z63">
            <v>2005</v>
          </cell>
          <cell r="AA63">
            <v>2006</v>
          </cell>
          <cell r="AB63">
            <v>2007</v>
          </cell>
          <cell r="AC63">
            <v>2008</v>
          </cell>
          <cell r="AD63">
            <v>2009</v>
          </cell>
          <cell r="AE63">
            <v>2010</v>
          </cell>
        </row>
        <row r="65">
          <cell r="G65">
            <v>1913.6278001779131</v>
          </cell>
          <cell r="H65">
            <v>1919.2670567662774</v>
          </cell>
          <cell r="I65">
            <v>1924.9063133546417</v>
          </cell>
          <cell r="J65">
            <v>1930.5455699430061</v>
          </cell>
          <cell r="K65">
            <v>1936.1848265313704</v>
          </cell>
          <cell r="L65">
            <v>1941.8240831197347</v>
          </cell>
          <cell r="M65">
            <v>1947.4633397080986</v>
          </cell>
          <cell r="N65">
            <v>1979.8855944438292</v>
          </cell>
          <cell r="O65">
            <v>2012.3078491795598</v>
          </cell>
          <cell r="P65">
            <v>2044.7301039152903</v>
          </cell>
          <cell r="Q65">
            <v>2077.1523586510211</v>
          </cell>
          <cell r="R65">
            <v>2109.5746133867519</v>
          </cell>
          <cell r="S65">
            <v>2141.9968681224827</v>
          </cell>
          <cell r="T65">
            <v>2174.4191228582135</v>
          </cell>
          <cell r="U65">
            <v>2206.8413775939443</v>
          </cell>
          <cell r="V65">
            <v>2239.2636323296751</v>
          </cell>
          <cell r="W65">
            <v>2271.685887065406</v>
          </cell>
          <cell r="X65">
            <v>2304.1081418011368</v>
          </cell>
          <cell r="Y65">
            <v>2336.5303965368676</v>
          </cell>
          <cell r="Z65">
            <v>2368.9526512725984</v>
          </cell>
          <cell r="AA65">
            <v>2206.8413775939434</v>
          </cell>
          <cell r="AB65">
            <v>2185.6308440789344</v>
          </cell>
          <cell r="AC65">
            <v>2164.4203105639253</v>
          </cell>
          <cell r="AD65">
            <v>2143.2097770489163</v>
          </cell>
          <cell r="AE65">
            <v>2121.9992435339072</v>
          </cell>
        </row>
        <row r="66">
          <cell r="G66">
            <v>698.06928427699506</v>
          </cell>
          <cell r="H66">
            <v>708.32070921300988</v>
          </cell>
          <cell r="I66">
            <v>718.57213414902469</v>
          </cell>
          <cell r="J66">
            <v>728.82355908503951</v>
          </cell>
          <cell r="K66">
            <v>739.07498402105432</v>
          </cell>
          <cell r="L66">
            <v>749.32640895706913</v>
          </cell>
          <cell r="M66">
            <v>759.57783389308383</v>
          </cell>
          <cell r="N66">
            <v>768.47360788626315</v>
          </cell>
          <cell r="O66">
            <v>777.36938187944247</v>
          </cell>
          <cell r="P66">
            <v>786.26515587262179</v>
          </cell>
          <cell r="Q66">
            <v>795.16092986580111</v>
          </cell>
          <cell r="R66">
            <v>804.05670385898043</v>
          </cell>
          <cell r="S66">
            <v>812.95247785215975</v>
          </cell>
          <cell r="T66">
            <v>821.84825184533906</v>
          </cell>
          <cell r="U66">
            <v>830.74402583851838</v>
          </cell>
          <cell r="V66">
            <v>839.6397998316977</v>
          </cell>
          <cell r="W66">
            <v>848.53557382487702</v>
          </cell>
          <cell r="X66">
            <v>857.43134781805634</v>
          </cell>
          <cell r="Y66">
            <v>866.32712181123566</v>
          </cell>
          <cell r="Z66">
            <v>875.22289580441497</v>
          </cell>
          <cell r="AA66">
            <v>830.74402583851884</v>
          </cell>
          <cell r="AB66">
            <v>841.39264921368215</v>
          </cell>
          <cell r="AC66">
            <v>852.04127258884546</v>
          </cell>
          <cell r="AD66">
            <v>862.68989596400877</v>
          </cell>
          <cell r="AE66">
            <v>873.33851933917208</v>
          </cell>
        </row>
        <row r="67">
          <cell r="G67">
            <v>1167</v>
          </cell>
          <cell r="H67">
            <v>1167</v>
          </cell>
          <cell r="I67">
            <v>1167</v>
          </cell>
          <cell r="J67">
            <v>1167</v>
          </cell>
          <cell r="K67">
            <v>1167</v>
          </cell>
          <cell r="L67">
            <v>1167</v>
          </cell>
          <cell r="M67">
            <v>1167</v>
          </cell>
          <cell r="N67">
            <v>1167</v>
          </cell>
          <cell r="O67">
            <v>1167</v>
          </cell>
          <cell r="P67">
            <v>1167</v>
          </cell>
          <cell r="Q67">
            <v>1167</v>
          </cell>
          <cell r="R67">
            <v>1167</v>
          </cell>
          <cell r="S67">
            <v>1167</v>
          </cell>
          <cell r="T67">
            <v>1167</v>
          </cell>
          <cell r="U67">
            <v>1167</v>
          </cell>
          <cell r="V67">
            <v>1167</v>
          </cell>
          <cell r="W67">
            <v>1167</v>
          </cell>
          <cell r="X67">
            <v>1167</v>
          </cell>
          <cell r="Y67">
            <v>1167</v>
          </cell>
          <cell r="Z67">
            <v>1167</v>
          </cell>
          <cell r="AA67">
            <v>1167</v>
          </cell>
          <cell r="AB67">
            <v>1167</v>
          </cell>
          <cell r="AC67">
            <v>1167</v>
          </cell>
          <cell r="AD67">
            <v>1167</v>
          </cell>
          <cell r="AE67">
            <v>1167</v>
          </cell>
        </row>
        <row r="68">
          <cell r="G68">
            <v>1029.0487523611168</v>
          </cell>
          <cell r="H68">
            <v>1097.2261598014015</v>
          </cell>
          <cell r="I68">
            <v>1165.4035672416862</v>
          </cell>
          <cell r="J68">
            <v>1233.5809746819709</v>
          </cell>
          <cell r="K68">
            <v>1301.7583821222556</v>
          </cell>
          <cell r="L68">
            <v>1369.9357895625403</v>
          </cell>
          <cell r="M68">
            <v>1438.1131970028248</v>
          </cell>
          <cell r="N68">
            <v>1454.5206034528924</v>
          </cell>
          <cell r="O68">
            <v>1470.9280099029602</v>
          </cell>
          <cell r="P68">
            <v>1487.335416353028</v>
          </cell>
          <cell r="Q68">
            <v>1503.7428228030958</v>
          </cell>
          <cell r="R68">
            <v>1520.1502292531636</v>
          </cell>
          <cell r="S68">
            <v>1536.5576357032314</v>
          </cell>
          <cell r="T68">
            <v>1552.9650421532992</v>
          </cell>
          <cell r="U68">
            <v>1569.372448603367</v>
          </cell>
          <cell r="V68">
            <v>1585.7798550534349</v>
          </cell>
          <cell r="W68">
            <v>1602.1872615035027</v>
          </cell>
          <cell r="X68">
            <v>1618.5946679535705</v>
          </cell>
          <cell r="Y68">
            <v>1635.0020744036383</v>
          </cell>
          <cell r="Z68">
            <v>1651.4094808537061</v>
          </cell>
          <cell r="AA68">
            <v>1569.3724486033664</v>
          </cell>
          <cell r="AB68">
            <v>1563.8258925279456</v>
          </cell>
          <cell r="AC68">
            <v>1558.2793364525248</v>
          </cell>
          <cell r="AD68">
            <v>1552.7327803771041</v>
          </cell>
          <cell r="AE68">
            <v>1547.1862243016833</v>
          </cell>
        </row>
        <row r="75">
          <cell r="G75">
            <v>2064.1078222566443</v>
          </cell>
          <cell r="H75">
            <v>2077.3226475548058</v>
          </cell>
          <cell r="I75">
            <v>2090.5374728529673</v>
          </cell>
          <cell r="J75">
            <v>2103.7522981511288</v>
          </cell>
          <cell r="K75">
            <v>2116.9671234492903</v>
          </cell>
          <cell r="L75">
            <v>2130.1819487474518</v>
          </cell>
          <cell r="M75">
            <v>2143.3967740456146</v>
          </cell>
          <cell r="N75">
            <v>2172.9935438846765</v>
          </cell>
          <cell r="O75">
            <v>2202.5903137237383</v>
          </cell>
          <cell r="P75">
            <v>2232.1870835628001</v>
          </cell>
          <cell r="Q75">
            <v>2261.783853401862</v>
          </cell>
          <cell r="R75">
            <v>2291.3806232409238</v>
          </cell>
          <cell r="S75">
            <v>2320.9773930799856</v>
          </cell>
          <cell r="T75">
            <v>2350.5741629190475</v>
          </cell>
          <cell r="U75">
            <v>2380.1709327581093</v>
          </cell>
          <cell r="V75">
            <v>2409.7677025971711</v>
          </cell>
          <cell r="W75">
            <v>2439.364472436233</v>
          </cell>
          <cell r="X75">
            <v>2468.9612422752948</v>
          </cell>
          <cell r="Y75">
            <v>2498.5580121143566</v>
          </cell>
          <cell r="Z75">
            <v>2528.1547819534185</v>
          </cell>
          <cell r="AA75">
            <v>2380.1709327581084</v>
          </cell>
          <cell r="AB75">
            <v>2386.7545055478154</v>
          </cell>
          <cell r="AC75">
            <v>2393.3380783375223</v>
          </cell>
          <cell r="AD75">
            <v>2399.9216511272293</v>
          </cell>
          <cell r="AE75">
            <v>2406.5052239169363</v>
          </cell>
        </row>
        <row r="76">
          <cell r="G76">
            <v>698.06928427699506</v>
          </cell>
          <cell r="H76">
            <v>708.32070921300988</v>
          </cell>
          <cell r="I76">
            <v>718.57213414902469</v>
          </cell>
          <cell r="J76">
            <v>728.82355908503951</v>
          </cell>
          <cell r="K76">
            <v>739.07498402105432</v>
          </cell>
          <cell r="L76">
            <v>749.32640895706913</v>
          </cell>
          <cell r="M76">
            <v>759.57783389308383</v>
          </cell>
          <cell r="N76">
            <v>768.01287342852402</v>
          </cell>
          <cell r="O76">
            <v>776.4479129639642</v>
          </cell>
          <cell r="P76">
            <v>784.88295249940438</v>
          </cell>
          <cell r="Q76">
            <v>793.31799203484456</v>
          </cell>
          <cell r="R76">
            <v>801.75303157028475</v>
          </cell>
          <cell r="S76">
            <v>810.18807110572493</v>
          </cell>
          <cell r="T76">
            <v>818.62311064116511</v>
          </cell>
          <cell r="U76">
            <v>827.0581501766053</v>
          </cell>
          <cell r="V76">
            <v>835.49318971204548</v>
          </cell>
          <cell r="W76">
            <v>843.92822924748566</v>
          </cell>
          <cell r="X76">
            <v>852.36326878292584</v>
          </cell>
          <cell r="Y76">
            <v>860.79830831836603</v>
          </cell>
          <cell r="Z76">
            <v>869.23334785380621</v>
          </cell>
          <cell r="AA76">
            <v>827.05815017660575</v>
          </cell>
          <cell r="AB76">
            <v>838.1675080095082</v>
          </cell>
          <cell r="AC76">
            <v>849.27686584241064</v>
          </cell>
          <cell r="AD76">
            <v>860.38622367531309</v>
          </cell>
          <cell r="AE76">
            <v>871.49558150821554</v>
          </cell>
        </row>
        <row r="77">
          <cell r="G77">
            <v>1167</v>
          </cell>
          <cell r="H77">
            <v>1167</v>
          </cell>
          <cell r="I77">
            <v>1167</v>
          </cell>
          <cell r="J77">
            <v>1167</v>
          </cell>
          <cell r="K77">
            <v>1167</v>
          </cell>
          <cell r="L77">
            <v>1167</v>
          </cell>
          <cell r="M77">
            <v>1167</v>
          </cell>
          <cell r="N77">
            <v>1167</v>
          </cell>
          <cell r="O77">
            <v>1167</v>
          </cell>
          <cell r="P77">
            <v>1167</v>
          </cell>
          <cell r="Q77">
            <v>1167</v>
          </cell>
          <cell r="R77">
            <v>1167</v>
          </cell>
          <cell r="S77">
            <v>1167</v>
          </cell>
          <cell r="T77">
            <v>1167</v>
          </cell>
          <cell r="U77">
            <v>1167</v>
          </cell>
          <cell r="V77">
            <v>1167</v>
          </cell>
          <cell r="W77">
            <v>1167</v>
          </cell>
          <cell r="X77">
            <v>1167</v>
          </cell>
          <cell r="Y77">
            <v>1167</v>
          </cell>
          <cell r="Z77">
            <v>1167</v>
          </cell>
          <cell r="AA77">
            <v>1167</v>
          </cell>
          <cell r="AB77">
            <v>1167</v>
          </cell>
          <cell r="AC77">
            <v>1167</v>
          </cell>
          <cell r="AD77">
            <v>1167</v>
          </cell>
          <cell r="AE77">
            <v>1167</v>
          </cell>
        </row>
        <row r="78">
          <cell r="G78">
            <v>1168.8738334833329</v>
          </cell>
          <cell r="H78">
            <v>1178.0613546668903</v>
          </cell>
          <cell r="I78">
            <v>1187.2488758504478</v>
          </cell>
          <cell r="J78">
            <v>1196.4363970340053</v>
          </cell>
          <cell r="K78">
            <v>1205.6239182175627</v>
          </cell>
          <cell r="L78">
            <v>1214.8114394011202</v>
          </cell>
          <cell r="M78">
            <v>1223.9989605846772</v>
          </cell>
          <cell r="N78">
            <v>1276.2228998482572</v>
          </cell>
          <cell r="O78">
            <v>1328.4468391118371</v>
          </cell>
          <cell r="P78">
            <v>1380.6707783754171</v>
          </cell>
          <cell r="Q78">
            <v>1432.894717638997</v>
          </cell>
          <cell r="R78">
            <v>1485.118656902577</v>
          </cell>
          <cell r="S78">
            <v>1537.3425961661569</v>
          </cell>
          <cell r="T78">
            <v>1589.5665354297369</v>
          </cell>
          <cell r="U78">
            <v>1641.7904746933168</v>
          </cell>
          <cell r="V78">
            <v>1694.0144139568968</v>
          </cell>
          <cell r="W78">
            <v>1746.2383532204767</v>
          </cell>
          <cell r="X78">
            <v>1798.4622924840567</v>
          </cell>
          <cell r="Y78">
            <v>1850.6862317476366</v>
          </cell>
          <cell r="Z78">
            <v>1902.9101710112166</v>
          </cell>
          <cell r="AA78">
            <v>1641.7904746933164</v>
          </cell>
          <cell r="AB78">
            <v>1579.0383181111101</v>
          </cell>
          <cell r="AC78">
            <v>1516.2861615289039</v>
          </cell>
          <cell r="AD78">
            <v>1453.5340049466977</v>
          </cell>
          <cell r="AE78">
            <v>1390.7818483644915</v>
          </cell>
        </row>
        <row r="85">
          <cell r="G85">
            <v>2155.8815029472858</v>
          </cell>
          <cell r="H85">
            <v>2184.9101777532496</v>
          </cell>
          <cell r="I85">
            <v>2213.9388525592135</v>
          </cell>
          <cell r="J85">
            <v>2242.9675273651774</v>
          </cell>
          <cell r="K85">
            <v>2271.9962021711412</v>
          </cell>
          <cell r="L85">
            <v>2301.0248769771051</v>
          </cell>
          <cell r="M85">
            <v>2330.0535517830704</v>
          </cell>
          <cell r="N85">
            <v>2314.0416857828459</v>
          </cell>
          <cell r="O85">
            <v>2298.0298197826214</v>
          </cell>
          <cell r="P85">
            <v>2282.0179537823969</v>
          </cell>
          <cell r="Q85">
            <v>2266.0060877821725</v>
          </cell>
          <cell r="R85">
            <v>2249.994221781948</v>
          </cell>
          <cell r="S85">
            <v>2233.9823557817235</v>
          </cell>
          <cell r="T85">
            <v>2217.9704897814991</v>
          </cell>
          <cell r="U85">
            <v>2201.9586237812746</v>
          </cell>
          <cell r="V85">
            <v>2185.9467577810501</v>
          </cell>
          <cell r="W85">
            <v>2169.9348917808256</v>
          </cell>
          <cell r="X85">
            <v>2153.9230257806012</v>
          </cell>
          <cell r="Y85">
            <v>2137.9111597803767</v>
          </cell>
          <cell r="Z85">
            <v>2121.8992937801522</v>
          </cell>
          <cell r="AA85">
            <v>2201.9586237812732</v>
          </cell>
          <cell r="AB85">
            <v>2240.9786175580202</v>
          </cell>
          <cell r="AC85">
            <v>2279.9986113347672</v>
          </cell>
          <cell r="AD85">
            <v>2319.0186051115143</v>
          </cell>
          <cell r="AE85">
            <v>2358.0385988882613</v>
          </cell>
        </row>
        <row r="86">
          <cell r="G86">
            <v>698.06928427699506</v>
          </cell>
          <cell r="H86">
            <v>708.32070921300988</v>
          </cell>
          <cell r="I86">
            <v>718.57213414902469</v>
          </cell>
          <cell r="J86">
            <v>728.82355908503951</v>
          </cell>
          <cell r="K86">
            <v>739.07498402105432</v>
          </cell>
          <cell r="L86">
            <v>749.32640895706913</v>
          </cell>
          <cell r="M86">
            <v>759.57783389308383</v>
          </cell>
          <cell r="N86">
            <v>768.01287342852402</v>
          </cell>
          <cell r="O86">
            <v>776.4479129639642</v>
          </cell>
          <cell r="P86">
            <v>784.88295249940438</v>
          </cell>
          <cell r="Q86">
            <v>793.31799203484456</v>
          </cell>
          <cell r="R86">
            <v>801.75303157028475</v>
          </cell>
          <cell r="S86">
            <v>810.18807110572493</v>
          </cell>
          <cell r="T86">
            <v>818.62311064116511</v>
          </cell>
          <cell r="U86">
            <v>827.0581501766053</v>
          </cell>
          <cell r="V86">
            <v>835.49318971204548</v>
          </cell>
          <cell r="W86">
            <v>843.92822924748566</v>
          </cell>
          <cell r="X86">
            <v>852.36326878292584</v>
          </cell>
          <cell r="Y86">
            <v>860.79830831836603</v>
          </cell>
          <cell r="Z86">
            <v>869.23334785380621</v>
          </cell>
          <cell r="AA86">
            <v>827.05815017660575</v>
          </cell>
          <cell r="AB86">
            <v>838.1675080095082</v>
          </cell>
          <cell r="AC86">
            <v>849.27686584241064</v>
          </cell>
          <cell r="AD86">
            <v>860.38622367531309</v>
          </cell>
          <cell r="AE86">
            <v>871.49558150821554</v>
          </cell>
        </row>
        <row r="87">
          <cell r="G87">
            <v>1167</v>
          </cell>
          <cell r="H87">
            <v>1167</v>
          </cell>
          <cell r="I87">
            <v>1167</v>
          </cell>
          <cell r="J87">
            <v>1167</v>
          </cell>
          <cell r="K87">
            <v>1167</v>
          </cell>
          <cell r="L87">
            <v>1167</v>
          </cell>
          <cell r="M87">
            <v>1167</v>
          </cell>
          <cell r="N87">
            <v>1167</v>
          </cell>
          <cell r="O87">
            <v>1167</v>
          </cell>
          <cell r="P87">
            <v>1167</v>
          </cell>
          <cell r="Q87">
            <v>1167</v>
          </cell>
          <cell r="R87">
            <v>1167</v>
          </cell>
          <cell r="S87">
            <v>1167</v>
          </cell>
          <cell r="T87">
            <v>1167</v>
          </cell>
          <cell r="U87">
            <v>1167</v>
          </cell>
          <cell r="V87">
            <v>1167</v>
          </cell>
          <cell r="W87">
            <v>1167</v>
          </cell>
          <cell r="X87">
            <v>1167</v>
          </cell>
          <cell r="Y87">
            <v>1167</v>
          </cell>
          <cell r="Z87">
            <v>1167</v>
          </cell>
          <cell r="AA87">
            <v>1167</v>
          </cell>
          <cell r="AB87">
            <v>1167</v>
          </cell>
          <cell r="AC87">
            <v>1167</v>
          </cell>
          <cell r="AD87">
            <v>1167</v>
          </cell>
          <cell r="AE87">
            <v>1167</v>
          </cell>
        </row>
        <row r="88">
          <cell r="G88">
            <v>1185.5891467799934</v>
          </cell>
          <cell r="H88">
            <v>1211.1874468780647</v>
          </cell>
          <cell r="I88">
            <v>1236.7857469761361</v>
          </cell>
          <cell r="J88">
            <v>1262.3840470742075</v>
          </cell>
          <cell r="K88">
            <v>1287.9823471722789</v>
          </cell>
          <cell r="L88">
            <v>1313.5806472703503</v>
          </cell>
          <cell r="M88">
            <v>1339.1789473684209</v>
          </cell>
          <cell r="N88">
            <v>1363.3137548732943</v>
          </cell>
          <cell r="O88">
            <v>1387.4485623781677</v>
          </cell>
          <cell r="P88">
            <v>1411.5833698830411</v>
          </cell>
          <cell r="Q88">
            <v>1435.7181773879145</v>
          </cell>
          <cell r="R88">
            <v>1459.8529848927878</v>
          </cell>
          <cell r="S88">
            <v>1483.9877923976612</v>
          </cell>
          <cell r="T88">
            <v>1508.1225999025346</v>
          </cell>
          <cell r="U88">
            <v>1532.257407407408</v>
          </cell>
          <cell r="V88">
            <v>1556.3922149122814</v>
          </cell>
          <cell r="W88">
            <v>1580.5270224171547</v>
          </cell>
          <cell r="X88">
            <v>1604.6618299220281</v>
          </cell>
          <cell r="Y88">
            <v>1628.7966374269015</v>
          </cell>
          <cell r="Z88">
            <v>1652.9314449317749</v>
          </cell>
          <cell r="AA88">
            <v>1532.2574074074075</v>
          </cell>
          <cell r="AB88">
            <v>1537.9043981481482</v>
          </cell>
          <cell r="AC88">
            <v>1543.5513888888888</v>
          </cell>
          <cell r="AD88">
            <v>1549.1983796296295</v>
          </cell>
          <cell r="AE88">
            <v>1554.8453703703701</v>
          </cell>
        </row>
        <row r="95">
          <cell r="G95">
            <v>2189.132116156165</v>
          </cell>
          <cell r="H95">
            <v>2153.2906631184565</v>
          </cell>
          <cell r="I95">
            <v>2117.4492100807479</v>
          </cell>
          <cell r="J95">
            <v>2081.6077570430393</v>
          </cell>
          <cell r="K95">
            <v>2045.7663040053308</v>
          </cell>
          <cell r="L95">
            <v>2009.9248509676222</v>
          </cell>
          <cell r="M95">
            <v>1974.083397929913</v>
          </cell>
          <cell r="N95">
            <v>2052.2554545152962</v>
          </cell>
          <cell r="O95">
            <v>2130.4275111006791</v>
          </cell>
          <cell r="P95">
            <v>2208.5995676860621</v>
          </cell>
          <cell r="Q95">
            <v>2286.771624271445</v>
          </cell>
          <cell r="R95">
            <v>2364.943680856828</v>
          </cell>
          <cell r="S95">
            <v>2443.115737442211</v>
          </cell>
          <cell r="T95">
            <v>2521.2877940275939</v>
          </cell>
          <cell r="U95">
            <v>2599.4598506129769</v>
          </cell>
          <cell r="V95">
            <v>2677.6319071983598</v>
          </cell>
          <cell r="W95">
            <v>2755.8039637837428</v>
          </cell>
          <cell r="X95">
            <v>2833.9760203691258</v>
          </cell>
          <cell r="Y95">
            <v>2912.1480769545087</v>
          </cell>
          <cell r="Z95">
            <v>2990.3201335398917</v>
          </cell>
          <cell r="AA95">
            <v>2599.4598506129778</v>
          </cell>
          <cell r="AB95">
            <v>2551.8698894298795</v>
          </cell>
          <cell r="AC95">
            <v>2504.2799282467813</v>
          </cell>
          <cell r="AD95">
            <v>2456.6899670636831</v>
          </cell>
          <cell r="AE95">
            <v>2409.1000058805848</v>
          </cell>
        </row>
        <row r="96">
          <cell r="G96">
            <v>698.06928427699506</v>
          </cell>
          <cell r="H96">
            <v>708.32070921300988</v>
          </cell>
          <cell r="I96">
            <v>718.57213414902469</v>
          </cell>
          <cell r="J96">
            <v>728.82355908503951</v>
          </cell>
          <cell r="K96">
            <v>739.07498402105432</v>
          </cell>
          <cell r="L96">
            <v>749.32640895706913</v>
          </cell>
          <cell r="M96">
            <v>759.57783389308383</v>
          </cell>
          <cell r="N96">
            <v>768.01287342852402</v>
          </cell>
          <cell r="O96">
            <v>776.4479129639642</v>
          </cell>
          <cell r="P96">
            <v>784.88295249940438</v>
          </cell>
          <cell r="Q96">
            <v>793.31799203484456</v>
          </cell>
          <cell r="R96">
            <v>801.75303157028475</v>
          </cell>
          <cell r="S96">
            <v>810.18807110572493</v>
          </cell>
          <cell r="T96">
            <v>818.62311064116511</v>
          </cell>
          <cell r="U96">
            <v>827.0581501766053</v>
          </cell>
          <cell r="V96">
            <v>835.49318971204548</v>
          </cell>
          <cell r="W96">
            <v>843.92822924748566</v>
          </cell>
          <cell r="X96">
            <v>852.36326878292584</v>
          </cell>
          <cell r="Y96">
            <v>860.79830831836603</v>
          </cell>
          <cell r="Z96">
            <v>869.23334785380621</v>
          </cell>
          <cell r="AA96">
            <v>827.05815017660575</v>
          </cell>
          <cell r="AB96">
            <v>838.1675080095082</v>
          </cell>
          <cell r="AC96">
            <v>849.27686584241064</v>
          </cell>
          <cell r="AD96">
            <v>860.38622367531309</v>
          </cell>
          <cell r="AE96">
            <v>871.49558150821554</v>
          </cell>
        </row>
        <row r="97">
          <cell r="G97">
            <v>1167</v>
          </cell>
          <cell r="H97">
            <v>1167</v>
          </cell>
          <cell r="I97">
            <v>1167</v>
          </cell>
          <cell r="J97">
            <v>1167</v>
          </cell>
          <cell r="K97">
            <v>1167</v>
          </cell>
          <cell r="L97">
            <v>1167</v>
          </cell>
          <cell r="M97">
            <v>1167</v>
          </cell>
          <cell r="N97">
            <v>1167</v>
          </cell>
          <cell r="O97">
            <v>1167</v>
          </cell>
          <cell r="P97">
            <v>1167</v>
          </cell>
          <cell r="Q97">
            <v>1167</v>
          </cell>
          <cell r="R97">
            <v>1167</v>
          </cell>
          <cell r="S97">
            <v>1167</v>
          </cell>
          <cell r="T97">
            <v>1167</v>
          </cell>
          <cell r="U97">
            <v>1167</v>
          </cell>
          <cell r="V97">
            <v>1167</v>
          </cell>
          <cell r="W97">
            <v>1167</v>
          </cell>
          <cell r="X97">
            <v>1167</v>
          </cell>
          <cell r="Y97">
            <v>1167</v>
          </cell>
          <cell r="Z97">
            <v>1167</v>
          </cell>
          <cell r="AA97">
            <v>1167</v>
          </cell>
          <cell r="AB97">
            <v>1167</v>
          </cell>
          <cell r="AC97">
            <v>1167</v>
          </cell>
          <cell r="AD97">
            <v>1167</v>
          </cell>
          <cell r="AE97">
            <v>1167</v>
          </cell>
        </row>
        <row r="98">
          <cell r="G98">
            <v>1352.0807344379759</v>
          </cell>
          <cell r="H98">
            <v>1364.8439453649801</v>
          </cell>
          <cell r="I98">
            <v>1377.6071562919842</v>
          </cell>
          <cell r="J98">
            <v>1390.3703672189883</v>
          </cell>
          <cell r="K98">
            <v>1403.1335781459925</v>
          </cell>
          <cell r="L98">
            <v>1415.8967890729966</v>
          </cell>
          <cell r="M98">
            <v>1428.66</v>
          </cell>
          <cell r="N98">
            <v>1488.9047619047619</v>
          </cell>
          <cell r="O98">
            <v>1549.1495238095238</v>
          </cell>
          <cell r="P98">
            <v>1609.3942857142856</v>
          </cell>
          <cell r="Q98">
            <v>1669.6390476190475</v>
          </cell>
          <cell r="R98">
            <v>1729.8838095238093</v>
          </cell>
          <cell r="S98">
            <v>1790.1285714285711</v>
          </cell>
          <cell r="T98">
            <v>1850.373333333333</v>
          </cell>
          <cell r="U98">
            <v>1910.6180952380948</v>
          </cell>
          <cell r="V98">
            <v>1970.8628571428567</v>
          </cell>
          <cell r="W98">
            <v>2031.1076190476185</v>
          </cell>
          <cell r="X98">
            <v>2091.3523809523804</v>
          </cell>
          <cell r="Y98">
            <v>2151.5971428571424</v>
          </cell>
          <cell r="Z98">
            <v>2211.8419047619045</v>
          </cell>
          <cell r="AA98">
            <v>1910.6180952380955</v>
          </cell>
          <cell r="AB98">
            <v>1897.2483333333337</v>
          </cell>
          <cell r="AC98">
            <v>1883.8785714285718</v>
          </cell>
          <cell r="AD98">
            <v>1870.50880952381</v>
          </cell>
          <cell r="AE98">
            <v>1857.1390476190481</v>
          </cell>
        </row>
      </sheetData>
      <sheetData sheetId="5">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6">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Low</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7">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Base</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08">
          <cell r="G208" t="str">
            <v>Low</v>
          </cell>
          <cell r="H208">
            <v>42.389799174074071</v>
          </cell>
          <cell r="I208">
            <v>36.465809974074077</v>
          </cell>
          <cell r="J208">
            <v>35.569335074074075</v>
          </cell>
          <cell r="K208">
            <v>38.272286974074078</v>
          </cell>
          <cell r="L208">
            <v>34.157084474074075</v>
          </cell>
          <cell r="M208">
            <v>35.53257534037408</v>
          </cell>
          <cell r="N208">
            <v>36.773434690474069</v>
          </cell>
          <cell r="O208">
            <v>42.359566936074067</v>
          </cell>
          <cell r="P208">
            <v>51.593021086074074</v>
          </cell>
          <cell r="Q208">
            <v>51.05823207407407</v>
          </cell>
          <cell r="R208">
            <v>58.828523630074066</v>
          </cell>
          <cell r="S208">
            <v>69.276658966074081</v>
          </cell>
          <cell r="T208">
            <v>78.406612488074074</v>
          </cell>
          <cell r="U208">
            <v>74.656716200074086</v>
          </cell>
          <cell r="V208">
            <v>62.619136074074078</v>
          </cell>
          <cell r="W208">
            <v>48.797968286074081</v>
          </cell>
          <cell r="X208">
            <v>52.20252758307408</v>
          </cell>
          <cell r="Y208">
            <v>51.00957789207407</v>
          </cell>
          <cell r="Z208">
            <v>67.083563074074078</v>
          </cell>
          <cell r="AA208">
            <v>72.079969074074057</v>
          </cell>
          <cell r="AB208">
            <v>65.729459982444979</v>
          </cell>
          <cell r="AC208">
            <v>64.942320409137878</v>
          </cell>
          <cell r="AD208">
            <v>63.362334928324181</v>
          </cell>
          <cell r="AE208">
            <v>65.142943044759335</v>
          </cell>
        </row>
        <row r="209">
          <cell r="G209" t="str">
            <v>High</v>
          </cell>
          <cell r="H209">
            <v>42.389799174074071</v>
          </cell>
          <cell r="I209">
            <v>36.465809974074077</v>
          </cell>
          <cell r="J209">
            <v>35.569335074074075</v>
          </cell>
          <cell r="K209">
            <v>38.272286974074078</v>
          </cell>
          <cell r="L209">
            <v>34.157084474074075</v>
          </cell>
          <cell r="M209">
            <v>35.53257534037408</v>
          </cell>
          <cell r="N209">
            <v>36.773434690474069</v>
          </cell>
          <cell r="O209">
            <v>42.359566936074067</v>
          </cell>
          <cell r="P209">
            <v>51.593021086074074</v>
          </cell>
          <cell r="Q209">
            <v>51.05823207407407</v>
          </cell>
          <cell r="R209">
            <v>58.828523630074066</v>
          </cell>
          <cell r="S209">
            <v>69.276658966074081</v>
          </cell>
          <cell r="T209">
            <v>78.406612488074074</v>
          </cell>
          <cell r="U209">
            <v>74.656716200074086</v>
          </cell>
          <cell r="V209">
            <v>62.619136074074078</v>
          </cell>
          <cell r="W209">
            <v>48.797968286074081</v>
          </cell>
          <cell r="X209">
            <v>52.20252758307408</v>
          </cell>
          <cell r="Y209">
            <v>51.00957789207407</v>
          </cell>
          <cell r="Z209">
            <v>67.083563074074078</v>
          </cell>
          <cell r="AA209">
            <v>72.079969074074057</v>
          </cell>
          <cell r="AB209">
            <v>65.729459982444979</v>
          </cell>
          <cell r="AC209">
            <v>64.942320409137878</v>
          </cell>
          <cell r="AD209">
            <v>63.362334928324181</v>
          </cell>
          <cell r="AE209">
            <v>65.142943044759335</v>
          </cell>
        </row>
        <row r="210">
          <cell r="G210" t="str">
            <v>Base</v>
          </cell>
        </row>
        <row r="211">
          <cell r="G211" t="str">
            <v>Low</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row>
        <row r="212">
          <cell r="G212" t="str">
            <v>High</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8">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High</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sheetData>
      <sheetData sheetId="9">
        <row r="34">
          <cell r="R34">
            <v>2241.6830724899996</v>
          </cell>
          <cell r="S34">
            <v>2163.8976968000002</v>
          </cell>
          <cell r="T34">
            <v>2301.1241944899998</v>
          </cell>
          <cell r="U34">
            <v>2076.5717068700001</v>
          </cell>
          <cell r="V34">
            <v>1996.0602896399998</v>
          </cell>
          <cell r="W34">
            <v>2250.2497511900001</v>
          </cell>
          <cell r="X34">
            <v>2163.1746260100003</v>
          </cell>
          <cell r="Y34">
            <v>2140.9822397200001</v>
          </cell>
          <cell r="Z34">
            <v>2292.7090752799995</v>
          </cell>
          <cell r="AA34">
            <v>2500.0165227299999</v>
          </cell>
          <cell r="AB34">
            <v>2481.8948666900001</v>
          </cell>
          <cell r="AC34">
            <v>2045.6792533299999</v>
          </cell>
          <cell r="AD34">
            <v>2094.8695493</v>
          </cell>
          <cell r="AE34">
            <v>1953.9369025999999</v>
          </cell>
        </row>
        <row r="35">
          <cell r="R35">
            <v>256.05469590000001</v>
          </cell>
          <cell r="S35">
            <v>253.2667701</v>
          </cell>
          <cell r="T35">
            <v>300.73964699999999</v>
          </cell>
          <cell r="U35">
            <v>328.24825880000003</v>
          </cell>
          <cell r="V35">
            <v>306.030933</v>
          </cell>
          <cell r="W35">
            <v>712.26009299999998</v>
          </cell>
          <cell r="X35">
            <v>203.55615209999999</v>
          </cell>
          <cell r="Y35">
            <v>366.60731587999999</v>
          </cell>
          <cell r="Z35">
            <v>507.35561760000002</v>
          </cell>
          <cell r="AA35">
            <v>485.31207719999998</v>
          </cell>
          <cell r="AB35">
            <v>378.14491860999999</v>
          </cell>
          <cell r="AC35">
            <v>411.35808100000003</v>
          </cell>
          <cell r="AD35">
            <v>0.71504779399999996</v>
          </cell>
          <cell r="AE35">
            <v>11.82402203</v>
          </cell>
        </row>
        <row r="36">
          <cell r="R36">
            <v>8899.5570035499986</v>
          </cell>
          <cell r="S36">
            <v>8817.6527938600011</v>
          </cell>
          <cell r="T36">
            <v>9245.813338269998</v>
          </cell>
          <cell r="U36">
            <v>9011.5451928240018</v>
          </cell>
          <cell r="V36">
            <v>9024.3629158299973</v>
          </cell>
          <cell r="W36">
            <v>8728.339281479999</v>
          </cell>
          <cell r="X36">
            <v>9126.2937245939993</v>
          </cell>
          <cell r="Y36">
            <v>8944.5317642250011</v>
          </cell>
          <cell r="Z36">
            <v>8800.5436373460016</v>
          </cell>
          <cell r="AA36">
            <v>8714.2793057930012</v>
          </cell>
          <cell r="AB36">
            <v>8450.0425825519997</v>
          </cell>
          <cell r="AC36">
            <v>8358.6997653549988</v>
          </cell>
          <cell r="AD36">
            <v>8113.2350019459991</v>
          </cell>
          <cell r="AE36">
            <v>7787.2052215100011</v>
          </cell>
        </row>
        <row r="37">
          <cell r="R37">
            <v>7661.6714371359994</v>
          </cell>
          <cell r="S37">
            <v>7776.286964425999</v>
          </cell>
          <cell r="T37">
            <v>7610.5201791749996</v>
          </cell>
          <cell r="U37">
            <v>7263.6624161199998</v>
          </cell>
          <cell r="V37">
            <v>7044.5252494289998</v>
          </cell>
          <cell r="W37">
            <v>6466.0726085319993</v>
          </cell>
          <cell r="X37">
            <v>6855.5085877819974</v>
          </cell>
          <cell r="Y37">
            <v>6963.2062946820006</v>
          </cell>
          <cell r="Z37">
            <v>7246.9256291289994</v>
          </cell>
          <cell r="AA37">
            <v>6912.3675650869991</v>
          </cell>
          <cell r="AB37">
            <v>7691.2867780759989</v>
          </cell>
          <cell r="AC37">
            <v>7979.0961733929998</v>
          </cell>
          <cell r="AD37">
            <v>6385.7180026869992</v>
          </cell>
          <cell r="AE37">
            <v>7075.2106742209999</v>
          </cell>
        </row>
        <row r="38">
          <cell r="R38">
            <v>4086.4875090620003</v>
          </cell>
          <cell r="S38">
            <v>4240.3955410879998</v>
          </cell>
          <cell r="T38">
            <v>4356.9694699659995</v>
          </cell>
          <cell r="U38">
            <v>4400.4775716160002</v>
          </cell>
          <cell r="V38">
            <v>4080.6638443390002</v>
          </cell>
          <cell r="W38">
            <v>3924.871003623</v>
          </cell>
          <cell r="X38">
            <v>4080.422248201</v>
          </cell>
          <cell r="Y38">
            <v>4088.9620284799998</v>
          </cell>
          <cell r="Z38">
            <v>4163.5420287199995</v>
          </cell>
          <cell r="AA38">
            <v>4512.5430191099995</v>
          </cell>
          <cell r="AB38">
            <v>4114.052655085</v>
          </cell>
          <cell r="AC38">
            <v>4448.8855489999996</v>
          </cell>
          <cell r="AD38">
            <v>4409.0903840000001</v>
          </cell>
          <cell r="AE38">
            <v>4408.891697</v>
          </cell>
        </row>
        <row r="39">
          <cell r="R39">
            <v>26505.950918524995</v>
          </cell>
          <cell r="S39">
            <v>27057.599951766999</v>
          </cell>
          <cell r="T39">
            <v>27768.108498663994</v>
          </cell>
          <cell r="U39">
            <v>28144.485808357993</v>
          </cell>
          <cell r="V39">
            <v>26713.211992282002</v>
          </cell>
          <cell r="W39">
            <v>26647.198376786</v>
          </cell>
          <cell r="X39">
            <v>26558.064847981997</v>
          </cell>
          <cell r="Y39">
            <v>26862.425029590002</v>
          </cell>
          <cell r="Z39">
            <v>28236.490102593994</v>
          </cell>
          <cell r="AA39">
            <v>29004.628378201</v>
          </cell>
          <cell r="AB39">
            <v>30663.798993526001</v>
          </cell>
          <cell r="AC39">
            <v>30112.770027643008</v>
          </cell>
          <cell r="AD39">
            <v>29742.328145847001</v>
          </cell>
          <cell r="AE39">
            <v>30186.76773027801</v>
          </cell>
        </row>
        <row r="40">
          <cell r="R40">
            <v>3879.7012499000002</v>
          </cell>
          <cell r="S40">
            <v>3811.8713759000002</v>
          </cell>
          <cell r="T40">
            <v>3687.7944449499996</v>
          </cell>
          <cell r="U40">
            <v>4052.86802012</v>
          </cell>
          <cell r="V40">
            <v>3732.9431664399999</v>
          </cell>
          <cell r="W40">
            <v>3838.0874855900001</v>
          </cell>
          <cell r="X40">
            <v>3896.3264584699996</v>
          </cell>
          <cell r="Y40">
            <v>4023.3897939200001</v>
          </cell>
          <cell r="Z40">
            <v>4441.6666339499998</v>
          </cell>
          <cell r="AA40">
            <v>4460.4758901999994</v>
          </cell>
          <cell r="AB40">
            <v>4050.5395106700003</v>
          </cell>
          <cell r="AC40">
            <v>3608.3347951999999</v>
          </cell>
          <cell r="AD40">
            <v>2971.5261042699999</v>
          </cell>
          <cell r="AE40">
            <v>3218.6991336999999</v>
          </cell>
        </row>
        <row r="41">
          <cell r="R41">
            <v>1816.3775173840002</v>
          </cell>
          <cell r="S41">
            <v>1729.1725085159999</v>
          </cell>
          <cell r="T41">
            <v>1809.3160340530001</v>
          </cell>
          <cell r="U41">
            <v>2002.7971589010001</v>
          </cell>
          <cell r="V41">
            <v>1569.27393001</v>
          </cell>
          <cell r="W41">
            <v>1822.5725142000001</v>
          </cell>
          <cell r="X41">
            <v>1313.8137009700001</v>
          </cell>
          <cell r="Y41">
            <v>1811.0114443580001</v>
          </cell>
          <cell r="Z41">
            <v>1966.132555659</v>
          </cell>
          <cell r="AA41">
            <v>1843.8253456399998</v>
          </cell>
          <cell r="AB41">
            <v>1715.36095056</v>
          </cell>
          <cell r="AC41">
            <v>1500.40197229</v>
          </cell>
          <cell r="AD41">
            <v>1188.2826425000001</v>
          </cell>
          <cell r="AE41">
            <v>1479.3628395000001</v>
          </cell>
        </row>
        <row r="42">
          <cell r="R42">
            <v>5746.479911376</v>
          </cell>
          <cell r="S42">
            <v>5566.126728625999</v>
          </cell>
          <cell r="T42">
            <v>5531.0785744169998</v>
          </cell>
          <cell r="U42">
            <v>5509.7806142379995</v>
          </cell>
          <cell r="V42">
            <v>5673.9444785799997</v>
          </cell>
          <cell r="W42">
            <v>5348.2846288990004</v>
          </cell>
          <cell r="X42">
            <v>5709.1822707800002</v>
          </cell>
          <cell r="Y42">
            <v>5327.3116683639983</v>
          </cell>
          <cell r="Z42">
            <v>5951.8128832550001</v>
          </cell>
          <cell r="AA42">
            <v>6332.950077589001</v>
          </cell>
          <cell r="AB42">
            <v>5853.6235859630006</v>
          </cell>
          <cell r="AC42">
            <v>4927.4810865630006</v>
          </cell>
          <cell r="AD42">
            <v>3630.7389282130007</v>
          </cell>
          <cell r="AE42">
            <v>3869.402575519</v>
          </cell>
        </row>
        <row r="43">
          <cell r="R43">
            <v>3542.670451942</v>
          </cell>
          <cell r="S43">
            <v>3695.7599722179998</v>
          </cell>
          <cell r="T43">
            <v>3595.7598673529997</v>
          </cell>
          <cell r="U43">
            <v>3703.5822214660002</v>
          </cell>
          <cell r="V43">
            <v>3891.4965771289999</v>
          </cell>
          <cell r="W43">
            <v>3776.8268019760003</v>
          </cell>
          <cell r="X43">
            <v>3572.9034326199999</v>
          </cell>
          <cell r="Y43">
            <v>3426.6527044069999</v>
          </cell>
          <cell r="Z43">
            <v>3694.4458117259996</v>
          </cell>
          <cell r="AA43">
            <v>3759.6007925679996</v>
          </cell>
          <cell r="AB43">
            <v>3996.2397316549996</v>
          </cell>
          <cell r="AC43">
            <v>4240.3662453959996</v>
          </cell>
          <cell r="AD43">
            <v>4298.4174826000008</v>
          </cell>
          <cell r="AE43">
            <v>4308.9514624540006</v>
          </cell>
        </row>
        <row r="44">
          <cell r="R44">
            <v>6722.875926398</v>
          </cell>
          <cell r="S44">
            <v>6549.6763158989997</v>
          </cell>
          <cell r="T44">
            <v>9735.1093495830009</v>
          </cell>
          <cell r="U44">
            <v>10917.79018881</v>
          </cell>
          <cell r="V44">
            <v>10471.642102559999</v>
          </cell>
          <cell r="W44">
            <v>9700.2649560009995</v>
          </cell>
          <cell r="X44">
            <v>9166.7088366469998</v>
          </cell>
          <cell r="Y44">
            <v>10082.399690292999</v>
          </cell>
          <cell r="Z44">
            <v>10930.476474950001</v>
          </cell>
          <cell r="AA44">
            <v>11077.385120202998</v>
          </cell>
          <cell r="AB44">
            <v>12644.081003894002</v>
          </cell>
          <cell r="AC44">
            <v>12620.560673337999</v>
          </cell>
          <cell r="AD44">
            <v>10752.502854922999</v>
          </cell>
          <cell r="AE44">
            <v>12228.901004306003</v>
          </cell>
        </row>
        <row r="45">
          <cell r="R45">
            <v>987.87010710000004</v>
          </cell>
          <cell r="S45">
            <v>1056.3657720000001</v>
          </cell>
          <cell r="T45">
            <v>1077.3572095</v>
          </cell>
          <cell r="U45">
            <v>1157.7823619999999</v>
          </cell>
          <cell r="V45">
            <v>865.11798090000002</v>
          </cell>
          <cell r="W45">
            <v>810.12230950000003</v>
          </cell>
          <cell r="X45">
            <v>561.35247136999999</v>
          </cell>
          <cell r="Y45">
            <v>530.68944077000003</v>
          </cell>
          <cell r="Z45">
            <v>562.70049167000002</v>
          </cell>
          <cell r="AA45">
            <v>522.48133399999995</v>
          </cell>
          <cell r="AB45">
            <v>728.54446539999992</v>
          </cell>
          <cell r="AC45">
            <v>648.91529459800006</v>
          </cell>
          <cell r="AD45">
            <v>674.46126260000005</v>
          </cell>
          <cell r="AE45">
            <v>807.73480789999996</v>
          </cell>
        </row>
        <row r="46">
          <cell r="R46">
            <v>8028.1012373619997</v>
          </cell>
          <cell r="S46">
            <v>8070.8592808919984</v>
          </cell>
          <cell r="T46">
            <v>8108.7047170469987</v>
          </cell>
          <cell r="U46">
            <v>8459.6545123170017</v>
          </cell>
          <cell r="V46">
            <v>8153.1399437289983</v>
          </cell>
          <cell r="W46">
            <v>8067.6336821470004</v>
          </cell>
          <cell r="X46">
            <v>7874.9026928249996</v>
          </cell>
          <cell r="Y46">
            <v>8092.7712354900013</v>
          </cell>
          <cell r="Z46">
            <v>8903.6919559619982</v>
          </cell>
          <cell r="AA46">
            <v>9583.8892045320008</v>
          </cell>
          <cell r="AB46">
            <v>10360.924623815999</v>
          </cell>
          <cell r="AC46">
            <v>10390.091238621</v>
          </cell>
          <cell r="AD46">
            <v>8070.4875509460007</v>
          </cell>
          <cell r="AE46">
            <v>8686.678736459</v>
          </cell>
        </row>
        <row r="47">
          <cell r="R47">
            <v>41792.478669936005</v>
          </cell>
          <cell r="S47">
            <v>46010.360973889998</v>
          </cell>
          <cell r="T47">
            <v>44345.152375557009</v>
          </cell>
          <cell r="U47">
            <v>39409.983743543999</v>
          </cell>
          <cell r="V47">
            <v>38522.503463543995</v>
          </cell>
          <cell r="W47">
            <v>36928.813054537</v>
          </cell>
          <cell r="X47">
            <v>31917.853005771005</v>
          </cell>
          <cell r="Y47">
            <v>30913.049653784004</v>
          </cell>
          <cell r="Z47">
            <v>36563.309115559001</v>
          </cell>
          <cell r="AA47">
            <v>36231.182085049993</v>
          </cell>
          <cell r="AB47">
            <v>41925.344552873998</v>
          </cell>
          <cell r="AC47">
            <v>40010.464847378003</v>
          </cell>
          <cell r="AD47">
            <v>34259.478258410003</v>
          </cell>
          <cell r="AE47">
            <v>33961.319954475999</v>
          </cell>
        </row>
        <row r="48">
          <cell r="R48">
            <v>18481.578407179994</v>
          </cell>
          <cell r="S48">
            <v>21586.36417348</v>
          </cell>
          <cell r="T48">
            <v>21592.211247160001</v>
          </cell>
          <cell r="U48">
            <v>17487.501183939999</v>
          </cell>
          <cell r="V48">
            <v>19724.441197800003</v>
          </cell>
          <cell r="W48">
            <v>24393.497758800004</v>
          </cell>
          <cell r="X48">
            <v>22613.35078796</v>
          </cell>
          <cell r="Y48">
            <v>22396.87912998</v>
          </cell>
          <cell r="Z48">
            <v>23725.38254327</v>
          </cell>
          <cell r="AA48">
            <v>22484.80126941</v>
          </cell>
          <cell r="AB48">
            <v>22984.535535661998</v>
          </cell>
          <cell r="AC48">
            <v>23356.263114869998</v>
          </cell>
          <cell r="AD48">
            <v>21977.079059080002</v>
          </cell>
          <cell r="AE48">
            <v>22840.553454469999</v>
          </cell>
        </row>
        <row r="49">
          <cell r="R49">
            <v>749.90207379999993</v>
          </cell>
          <cell r="S49">
            <v>935.18946029999995</v>
          </cell>
          <cell r="T49">
            <v>917.65450629999998</v>
          </cell>
          <cell r="U49">
            <v>688.46132488000001</v>
          </cell>
          <cell r="V49">
            <v>819.13943889999996</v>
          </cell>
          <cell r="W49">
            <v>819.53012970000009</v>
          </cell>
          <cell r="X49">
            <v>287.03224672000005</v>
          </cell>
          <cell r="Y49">
            <v>244.79613380000001</v>
          </cell>
          <cell r="Z49">
            <v>275.05236581000003</v>
          </cell>
          <cell r="AA49">
            <v>316.49096226999995</v>
          </cell>
          <cell r="AB49">
            <v>282.88455316299996</v>
          </cell>
          <cell r="AC49">
            <v>239.51335706</v>
          </cell>
          <cell r="AD49">
            <v>245.71880753400001</v>
          </cell>
          <cell r="AE49">
            <v>308.6148187</v>
          </cell>
        </row>
        <row r="50">
          <cell r="R50">
            <v>40.069969979999996</v>
          </cell>
          <cell r="S50">
            <v>49.290437079999997</v>
          </cell>
          <cell r="T50">
            <v>44.181923900000001</v>
          </cell>
          <cell r="U50">
            <v>31.744433829999998</v>
          </cell>
          <cell r="V50">
            <v>54.459537689999998</v>
          </cell>
          <cell r="W50">
            <v>52.790640359999998</v>
          </cell>
          <cell r="X50">
            <v>43.922344730000006</v>
          </cell>
          <cell r="Y50">
            <v>39.602347330000001</v>
          </cell>
          <cell r="Z50">
            <v>40.60147078</v>
          </cell>
          <cell r="AA50">
            <v>38.540427280000003</v>
          </cell>
          <cell r="AB50">
            <v>36.793157460000003</v>
          </cell>
          <cell r="AC50">
            <v>28.552671589999999</v>
          </cell>
          <cell r="AD50">
            <v>33.155464689999995</v>
          </cell>
          <cell r="AE50">
            <v>33.495301169999998</v>
          </cell>
        </row>
        <row r="51">
          <cell r="R51">
            <v>6917.5240422659999</v>
          </cell>
          <cell r="S51">
            <v>7154.4176529240003</v>
          </cell>
          <cell r="T51">
            <v>6954.8331545249976</v>
          </cell>
          <cell r="U51">
            <v>7466.3359534339979</v>
          </cell>
          <cell r="V51">
            <v>6631.2142074649992</v>
          </cell>
          <cell r="W51">
            <v>6846.4082258890021</v>
          </cell>
          <cell r="X51">
            <v>7440.8036104329985</v>
          </cell>
          <cell r="Y51">
            <v>7458.7309479640007</v>
          </cell>
          <cell r="Z51">
            <v>8233.4972310660014</v>
          </cell>
          <cell r="AA51">
            <v>9313.2930892950026</v>
          </cell>
          <cell r="AB51">
            <v>9743.0205369740015</v>
          </cell>
          <cell r="AC51">
            <v>9752.3034524309987</v>
          </cell>
          <cell r="AD51">
            <v>8962.0381981580013</v>
          </cell>
          <cell r="AE51">
            <v>9637.3531107639992</v>
          </cell>
        </row>
        <row r="52">
          <cell r="R52">
            <v>4004.0712452110001</v>
          </cell>
          <cell r="S52">
            <v>4139.9692471550006</v>
          </cell>
          <cell r="T52">
            <v>4212.7945610890001</v>
          </cell>
          <cell r="U52">
            <v>4270.1149149959992</v>
          </cell>
          <cell r="V52">
            <v>4021.7182798519993</v>
          </cell>
          <cell r="W52">
            <v>4150.6466018599995</v>
          </cell>
          <cell r="X52">
            <v>4351.1031298949993</v>
          </cell>
          <cell r="Y52">
            <v>4871.9967591999994</v>
          </cell>
          <cell r="Z52">
            <v>5226.982737368</v>
          </cell>
          <cell r="AA52">
            <v>5449.5668509220013</v>
          </cell>
          <cell r="AB52">
            <v>5596.5540052040005</v>
          </cell>
          <cell r="AC52">
            <v>4880.9543222960001</v>
          </cell>
          <cell r="AD52">
            <v>3866.1307475399994</v>
          </cell>
          <cell r="AE52">
            <v>4116.998073406</v>
          </cell>
        </row>
        <row r="53">
          <cell r="R53">
            <v>33164.658018429996</v>
          </cell>
          <cell r="S53">
            <v>33170.663591147008</v>
          </cell>
          <cell r="T53">
            <v>30528.007657471997</v>
          </cell>
          <cell r="U53">
            <v>32426.967795426008</v>
          </cell>
          <cell r="V53">
            <v>30920.321995161001</v>
          </cell>
          <cell r="W53">
            <v>30918.806798735004</v>
          </cell>
          <cell r="X53">
            <v>31688.631427576969</v>
          </cell>
          <cell r="Y53">
            <v>33667.820920850994</v>
          </cell>
          <cell r="Z53">
            <v>36171.043930711028</v>
          </cell>
          <cell r="AA53">
            <v>38514.50851054598</v>
          </cell>
          <cell r="AB53">
            <v>38765.897106021977</v>
          </cell>
          <cell r="AC53">
            <v>36751.652896097214</v>
          </cell>
          <cell r="AD53">
            <v>29684.407380997109</v>
          </cell>
          <cell r="AE53">
            <v>31122.570124542992</v>
          </cell>
        </row>
        <row r="55">
          <cell r="K55">
            <v>1990</v>
          </cell>
          <cell r="L55">
            <v>1991</v>
          </cell>
          <cell r="M55">
            <v>1992</v>
          </cell>
          <cell r="N55">
            <v>1993</v>
          </cell>
          <cell r="O55">
            <v>1994</v>
          </cell>
          <cell r="P55">
            <v>1995</v>
          </cell>
          <cell r="Q55">
            <v>1996</v>
          </cell>
          <cell r="R55">
            <v>1997</v>
          </cell>
          <cell r="S55">
            <v>1998</v>
          </cell>
          <cell r="T55">
            <v>1999</v>
          </cell>
          <cell r="U55">
            <v>2000</v>
          </cell>
          <cell r="V55">
            <v>2001</v>
          </cell>
          <cell r="W55">
            <v>2002</v>
          </cell>
          <cell r="X55">
            <v>2003</v>
          </cell>
          <cell r="Y55">
            <v>2004</v>
          </cell>
          <cell r="Z55">
            <v>2005</v>
          </cell>
          <cell r="AA55">
            <v>2006</v>
          </cell>
          <cell r="AB55">
            <v>2007</v>
          </cell>
          <cell r="AC55">
            <v>2008</v>
          </cell>
          <cell r="AD55">
            <v>2009</v>
          </cell>
          <cell r="AE55">
            <v>2010</v>
          </cell>
        </row>
        <row r="56">
          <cell r="K56">
            <v>52.55</v>
          </cell>
          <cell r="L56">
            <v>55.366999999999997</v>
          </cell>
          <cell r="M56">
            <v>57.883000000000003</v>
          </cell>
          <cell r="N56">
            <v>61.042000000000002</v>
          </cell>
          <cell r="O56">
            <v>62.982999999999997</v>
          </cell>
          <cell r="P56">
            <v>63.107999999999997</v>
          </cell>
          <cell r="Q56">
            <v>66.042000000000002</v>
          </cell>
          <cell r="R56">
            <v>68.266999999999996</v>
          </cell>
          <cell r="S56">
            <v>69.266999999999996</v>
          </cell>
          <cell r="T56">
            <v>68.957999999999998</v>
          </cell>
          <cell r="U56">
            <v>70.3</v>
          </cell>
          <cell r="V56">
            <v>69</v>
          </cell>
          <cell r="W56">
            <v>65.433000000000007</v>
          </cell>
          <cell r="X56">
            <v>62.392000000000003</v>
          </cell>
          <cell r="Y56">
            <v>62.25</v>
          </cell>
          <cell r="Z56">
            <v>63.55</v>
          </cell>
          <cell r="AA56">
            <v>66.091999999999999</v>
          </cell>
          <cell r="AB56">
            <v>66.242000000000004</v>
          </cell>
          <cell r="AC56">
            <v>62.957999999999998</v>
          </cell>
          <cell r="AD56">
            <v>54.8</v>
          </cell>
          <cell r="AE56">
            <v>53.2</v>
          </cell>
        </row>
        <row r="57">
          <cell r="K57">
            <v>19.5</v>
          </cell>
          <cell r="L57">
            <v>19.132999999999999</v>
          </cell>
          <cell r="M57">
            <v>20</v>
          </cell>
          <cell r="N57">
            <v>20.399999999999999</v>
          </cell>
          <cell r="O57">
            <v>20.707999999999998</v>
          </cell>
          <cell r="P57">
            <v>21.308</v>
          </cell>
          <cell r="Q57">
            <v>22.007999999999999</v>
          </cell>
          <cell r="R57">
            <v>22.207999999999998</v>
          </cell>
          <cell r="S57">
            <v>22.183</v>
          </cell>
          <cell r="T57">
            <v>22.6</v>
          </cell>
          <cell r="U57">
            <v>22.55</v>
          </cell>
          <cell r="V57">
            <v>21.382999999999999</v>
          </cell>
          <cell r="W57">
            <v>20.016999999999999</v>
          </cell>
          <cell r="X57">
            <v>18.975000000000001</v>
          </cell>
          <cell r="Y57">
            <v>19.167000000000002</v>
          </cell>
          <cell r="Z57">
            <v>19.574999999999999</v>
          </cell>
          <cell r="AA57">
            <v>20.2</v>
          </cell>
          <cell r="AB57">
            <v>20.442</v>
          </cell>
          <cell r="AC57">
            <v>19.917000000000002</v>
          </cell>
          <cell r="AD57">
            <v>17.417000000000002</v>
          </cell>
          <cell r="AE57">
            <v>16.542000000000002</v>
          </cell>
        </row>
        <row r="58">
          <cell r="K58">
            <v>204.15700000000001</v>
          </cell>
          <cell r="L58">
            <v>196.375</v>
          </cell>
          <cell r="M58">
            <v>193.01</v>
          </cell>
          <cell r="N58">
            <v>194.80099999999999</v>
          </cell>
          <cell r="O58">
            <v>202.876</v>
          </cell>
          <cell r="P58">
            <v>210.71700000000001</v>
          </cell>
          <cell r="Q58">
            <v>217.52500000000001</v>
          </cell>
          <cell r="R58">
            <v>226.88200000000001</v>
          </cell>
          <cell r="S58">
            <v>228.47300000000001</v>
          </cell>
          <cell r="T58">
            <v>224.44900000000001</v>
          </cell>
          <cell r="U58">
            <v>225.08199999999999</v>
          </cell>
          <cell r="V58">
            <v>215.715</v>
          </cell>
          <cell r="W58">
            <v>201.59100000000001</v>
          </cell>
          <cell r="X58">
            <v>194.80799999999999</v>
          </cell>
          <cell r="Y58">
            <v>199.892</v>
          </cell>
          <cell r="Z58">
            <v>203.98400000000001</v>
          </cell>
          <cell r="AA58">
            <v>207.45</v>
          </cell>
          <cell r="AB58">
            <v>204.02500000000001</v>
          </cell>
          <cell r="AC58">
            <v>195.083</v>
          </cell>
          <cell r="AD58">
            <v>167.04900000000001</v>
          </cell>
          <cell r="AE58">
            <v>163.9</v>
          </cell>
        </row>
        <row r="59">
          <cell r="K59">
            <v>335.97500000000002</v>
          </cell>
          <cell r="L59">
            <v>328.6</v>
          </cell>
          <cell r="M59">
            <v>325.17500000000001</v>
          </cell>
          <cell r="N59">
            <v>317.25</v>
          </cell>
          <cell r="O59">
            <v>311.733</v>
          </cell>
          <cell r="P59">
            <v>311.30799999999999</v>
          </cell>
          <cell r="Q59">
            <v>324.84199999999998</v>
          </cell>
          <cell r="R59">
            <v>350.40800000000002</v>
          </cell>
          <cell r="S59">
            <v>360.625</v>
          </cell>
          <cell r="T59">
            <v>343.56700000000001</v>
          </cell>
          <cell r="U59">
            <v>331.88299999999998</v>
          </cell>
          <cell r="V59">
            <v>316.05</v>
          </cell>
          <cell r="W59">
            <v>284.94200000000001</v>
          </cell>
          <cell r="X59">
            <v>267.19200000000001</v>
          </cell>
          <cell r="Y59">
            <v>263.72500000000002</v>
          </cell>
          <cell r="Z59">
            <v>272.58300000000003</v>
          </cell>
          <cell r="AA59">
            <v>285.82499999999999</v>
          </cell>
          <cell r="AB59">
            <v>293.21699999999998</v>
          </cell>
          <cell r="AC59">
            <v>291.04199999999997</v>
          </cell>
          <cell r="AD59">
            <v>265.483</v>
          </cell>
          <cell r="AE59">
            <v>258.11700000000002</v>
          </cell>
        </row>
        <row r="60">
          <cell r="K60">
            <v>612.18200000000002</v>
          </cell>
          <cell r="L60">
            <v>599.47500000000002</v>
          </cell>
          <cell r="M60">
            <v>596.06799999999998</v>
          </cell>
          <cell r="N60">
            <v>593.49299999999994</v>
          </cell>
          <cell r="O60">
            <v>598.29999999999995</v>
          </cell>
          <cell r="P60">
            <v>606.44100000000003</v>
          </cell>
          <cell r="Q60">
            <v>630.41699999999992</v>
          </cell>
          <cell r="R60">
            <v>667.76499999999999</v>
          </cell>
          <cell r="S60">
            <v>680.548</v>
          </cell>
          <cell r="T60">
            <v>659.57400000000007</v>
          </cell>
          <cell r="U60">
            <v>649.81500000000005</v>
          </cell>
          <cell r="V60">
            <v>622.14800000000002</v>
          </cell>
          <cell r="W60">
            <v>571.98299999999995</v>
          </cell>
          <cell r="X60">
            <v>543.36699999999996</v>
          </cell>
          <cell r="Y60">
            <v>545.03399999999999</v>
          </cell>
          <cell r="Z60">
            <v>559.69200000000001</v>
          </cell>
          <cell r="AA60">
            <v>579.56700000000001</v>
          </cell>
          <cell r="AB60">
            <v>583.92599999999993</v>
          </cell>
          <cell r="AC60">
            <v>569</v>
          </cell>
          <cell r="AD60">
            <v>504.74900000000002</v>
          </cell>
          <cell r="AE60">
            <v>491.75900000000001</v>
          </cell>
        </row>
        <row r="63">
          <cell r="R63">
            <v>5561</v>
          </cell>
          <cell r="S63">
            <v>5511</v>
          </cell>
          <cell r="T63">
            <v>5838</v>
          </cell>
          <cell r="U63">
            <v>5356</v>
          </cell>
          <cell r="V63">
            <v>5261</v>
          </cell>
          <cell r="W63">
            <v>5442</v>
          </cell>
          <cell r="X63">
            <v>5246</v>
          </cell>
          <cell r="Y63">
            <v>5046</v>
          </cell>
          <cell r="Z63">
            <v>5210</v>
          </cell>
          <cell r="AA63">
            <v>5741</v>
          </cell>
          <cell r="AB63">
            <v>5611</v>
          </cell>
          <cell r="AC63">
            <v>4441</v>
          </cell>
          <cell r="AD63">
            <v>4359</v>
          </cell>
          <cell r="AE63">
            <v>4070</v>
          </cell>
        </row>
        <row r="64">
          <cell r="R64">
            <v>471</v>
          </cell>
          <cell r="S64">
            <v>472</v>
          </cell>
          <cell r="T64">
            <v>532</v>
          </cell>
          <cell r="U64">
            <v>572</v>
          </cell>
          <cell r="V64">
            <v>511</v>
          </cell>
          <cell r="W64">
            <v>1141</v>
          </cell>
          <cell r="X64">
            <v>311</v>
          </cell>
          <cell r="Y64">
            <v>528</v>
          </cell>
          <cell r="Z64">
            <v>686</v>
          </cell>
          <cell r="AA64">
            <v>622</v>
          </cell>
          <cell r="AB64">
            <v>494</v>
          </cell>
          <cell r="AC64">
            <v>528</v>
          </cell>
          <cell r="AD64">
            <v>1</v>
          </cell>
          <cell r="AE64">
            <v>21</v>
          </cell>
        </row>
        <row r="65">
          <cell r="R65">
            <v>20517</v>
          </cell>
          <cell r="S65">
            <v>20752</v>
          </cell>
          <cell r="T65">
            <v>19820</v>
          </cell>
          <cell r="U65">
            <v>18901</v>
          </cell>
          <cell r="V65">
            <v>18107</v>
          </cell>
          <cell r="W65">
            <v>15947</v>
          </cell>
          <cell r="X65">
            <v>16534</v>
          </cell>
          <cell r="Y65">
            <v>15968</v>
          </cell>
          <cell r="Z65">
            <v>14992</v>
          </cell>
          <cell r="AA65">
            <v>14275</v>
          </cell>
          <cell r="AB65">
            <v>13733</v>
          </cell>
          <cell r="AC65">
            <v>14005</v>
          </cell>
          <cell r="AD65">
            <v>13118</v>
          </cell>
          <cell r="AE65">
            <v>11896</v>
          </cell>
        </row>
        <row r="66">
          <cell r="R66">
            <v>16784</v>
          </cell>
          <cell r="S66">
            <v>16968</v>
          </cell>
          <cell r="T66">
            <v>16248</v>
          </cell>
          <cell r="U66">
            <v>15603</v>
          </cell>
          <cell r="V66">
            <v>14433</v>
          </cell>
          <cell r="W66">
            <v>12367</v>
          </cell>
          <cell r="X66">
            <v>11875</v>
          </cell>
          <cell r="Y66">
            <v>11897</v>
          </cell>
          <cell r="Z66">
            <v>12704</v>
          </cell>
          <cell r="AA66">
            <v>13455</v>
          </cell>
          <cell r="AB66">
            <v>14273</v>
          </cell>
          <cell r="AC66">
            <v>14356</v>
          </cell>
          <cell r="AD66">
            <v>12445</v>
          </cell>
          <cell r="AE66">
            <v>12051</v>
          </cell>
        </row>
        <row r="67">
          <cell r="R67">
            <v>14657</v>
          </cell>
          <cell r="S67">
            <v>14498</v>
          </cell>
          <cell r="T67">
            <v>14353</v>
          </cell>
          <cell r="U67">
            <v>13734</v>
          </cell>
          <cell r="V67">
            <v>13209</v>
          </cell>
          <cell r="W67">
            <v>12665</v>
          </cell>
          <cell r="X67">
            <v>12555</v>
          </cell>
          <cell r="Y67">
            <v>12330</v>
          </cell>
          <cell r="Z67">
            <v>11864</v>
          </cell>
          <cell r="AA67">
            <v>12741</v>
          </cell>
          <cell r="AB67">
            <v>11430</v>
          </cell>
          <cell r="AC67">
            <v>12221</v>
          </cell>
          <cell r="AD67">
            <v>12099</v>
          </cell>
          <cell r="AE67">
            <v>11904</v>
          </cell>
        </row>
        <row r="68">
          <cell r="R68">
            <v>64864</v>
          </cell>
          <cell r="S68">
            <v>63666</v>
          </cell>
          <cell r="T68">
            <v>64446</v>
          </cell>
          <cell r="U68">
            <v>64955</v>
          </cell>
          <cell r="V68">
            <v>62868</v>
          </cell>
          <cell r="W68">
            <v>60760</v>
          </cell>
          <cell r="X68">
            <v>60488</v>
          </cell>
          <cell r="Y68">
            <v>59934</v>
          </cell>
          <cell r="Z68">
            <v>58992</v>
          </cell>
          <cell r="AA68">
            <v>59320</v>
          </cell>
          <cell r="AB68">
            <v>62434</v>
          </cell>
          <cell r="AC68">
            <v>62832</v>
          </cell>
          <cell r="AD68">
            <v>62266</v>
          </cell>
          <cell r="AE68">
            <v>62860</v>
          </cell>
        </row>
        <row r="69">
          <cell r="R69">
            <v>26496</v>
          </cell>
          <cell r="S69">
            <v>25874</v>
          </cell>
          <cell r="T69">
            <v>24842</v>
          </cell>
          <cell r="U69">
            <v>25486</v>
          </cell>
          <cell r="V69">
            <v>22660</v>
          </cell>
          <cell r="W69">
            <v>22153</v>
          </cell>
          <cell r="X69">
            <v>22029</v>
          </cell>
          <cell r="Y69">
            <v>22790</v>
          </cell>
          <cell r="Z69">
            <v>23420</v>
          </cell>
          <cell r="AA69">
            <v>23046</v>
          </cell>
          <cell r="AB69">
            <v>21291</v>
          </cell>
          <cell r="AC69">
            <v>19378</v>
          </cell>
          <cell r="AD69">
            <v>15880</v>
          </cell>
          <cell r="AE69">
            <v>15041</v>
          </cell>
        </row>
        <row r="70">
          <cell r="R70">
            <v>12252</v>
          </cell>
          <cell r="S70">
            <v>11657</v>
          </cell>
          <cell r="T70">
            <v>12130</v>
          </cell>
          <cell r="U70">
            <v>12879</v>
          </cell>
          <cell r="V70">
            <v>9662</v>
          </cell>
          <cell r="W70">
            <v>10770</v>
          </cell>
          <cell r="X70">
            <v>7440</v>
          </cell>
          <cell r="Y70">
            <v>10362</v>
          </cell>
          <cell r="Z70">
            <v>10507</v>
          </cell>
          <cell r="AA70">
            <v>9746</v>
          </cell>
          <cell r="AB70">
            <v>9142</v>
          </cell>
          <cell r="AC70">
            <v>8120</v>
          </cell>
          <cell r="AD70">
            <v>6428</v>
          </cell>
          <cell r="AE70">
            <v>6879</v>
          </cell>
        </row>
        <row r="71">
          <cell r="R71">
            <v>38812</v>
          </cell>
          <cell r="S71">
            <v>37565</v>
          </cell>
          <cell r="T71">
            <v>37205</v>
          </cell>
          <cell r="U71">
            <v>34589</v>
          </cell>
          <cell r="V71">
            <v>34285</v>
          </cell>
          <cell r="W71">
            <v>31009</v>
          </cell>
          <cell r="X71">
            <v>32445</v>
          </cell>
          <cell r="Y71">
            <v>30309</v>
          </cell>
          <cell r="Z71">
            <v>31736</v>
          </cell>
          <cell r="AA71">
            <v>33173</v>
          </cell>
          <cell r="AB71">
            <v>31198</v>
          </cell>
          <cell r="AC71">
            <v>26786</v>
          </cell>
          <cell r="AD71">
            <v>19729</v>
          </cell>
          <cell r="AE71">
            <v>18380</v>
          </cell>
        </row>
        <row r="72">
          <cell r="R72">
            <v>11310</v>
          </cell>
          <cell r="S72">
            <v>11351</v>
          </cell>
          <cell r="T72">
            <v>10908</v>
          </cell>
          <cell r="U72">
            <v>11080</v>
          </cell>
          <cell r="V72">
            <v>11527</v>
          </cell>
          <cell r="W72">
            <v>10644</v>
          </cell>
          <cell r="X72">
            <v>10047</v>
          </cell>
          <cell r="Y72">
            <v>9659</v>
          </cell>
          <cell r="Z72">
            <v>9617</v>
          </cell>
          <cell r="AA72">
            <v>9655</v>
          </cell>
          <cell r="AB72">
            <v>10137</v>
          </cell>
          <cell r="AC72">
            <v>10393</v>
          </cell>
          <cell r="AD72">
            <v>10385</v>
          </cell>
          <cell r="AE72">
            <v>10513</v>
          </cell>
        </row>
        <row r="73">
          <cell r="R73">
            <v>55429</v>
          </cell>
          <cell r="S73">
            <v>57601</v>
          </cell>
          <cell r="T73">
            <v>69099</v>
          </cell>
          <cell r="U73">
            <v>73302</v>
          </cell>
          <cell r="V73">
            <v>75464</v>
          </cell>
          <cell r="W73">
            <v>63198</v>
          </cell>
          <cell r="X73">
            <v>53968</v>
          </cell>
          <cell r="Y73">
            <v>53006</v>
          </cell>
          <cell r="Z73">
            <v>54157</v>
          </cell>
          <cell r="AA73">
            <v>56045</v>
          </cell>
          <cell r="AB73">
            <v>53965</v>
          </cell>
          <cell r="AC73">
            <v>50956</v>
          </cell>
          <cell r="AD73">
            <v>45309</v>
          </cell>
          <cell r="AE73">
            <v>44491</v>
          </cell>
        </row>
        <row r="74">
          <cell r="R74">
            <v>1969</v>
          </cell>
          <cell r="S74">
            <v>1920</v>
          </cell>
          <cell r="T74">
            <v>1820</v>
          </cell>
          <cell r="U74">
            <v>1906</v>
          </cell>
          <cell r="V74">
            <v>1506</v>
          </cell>
          <cell r="W74">
            <v>1223</v>
          </cell>
          <cell r="X74">
            <v>844</v>
          </cell>
          <cell r="Y74">
            <v>782</v>
          </cell>
          <cell r="Z74">
            <v>765</v>
          </cell>
          <cell r="AA74">
            <v>714</v>
          </cell>
          <cell r="AB74">
            <v>898</v>
          </cell>
          <cell r="AC74">
            <v>895</v>
          </cell>
          <cell r="AD74">
            <v>1130</v>
          </cell>
          <cell r="AE74">
            <v>1160</v>
          </cell>
        </row>
        <row r="75">
          <cell r="R75">
            <v>41716</v>
          </cell>
          <cell r="S75">
            <v>42787</v>
          </cell>
          <cell r="T75">
            <v>41996</v>
          </cell>
          <cell r="U75">
            <v>42475</v>
          </cell>
          <cell r="V75">
            <v>40521</v>
          </cell>
          <cell r="W75">
            <v>37406</v>
          </cell>
          <cell r="X75">
            <v>36377</v>
          </cell>
          <cell r="Y75">
            <v>38029</v>
          </cell>
          <cell r="Z75">
            <v>40003</v>
          </cell>
          <cell r="AA75">
            <v>41483</v>
          </cell>
          <cell r="AB75">
            <v>43588</v>
          </cell>
          <cell r="AC75">
            <v>44269</v>
          </cell>
          <cell r="AD75">
            <v>37338</v>
          </cell>
          <cell r="AE75">
            <v>36808</v>
          </cell>
        </row>
        <row r="76">
          <cell r="R76">
            <v>136196</v>
          </cell>
          <cell r="S76">
            <v>145117</v>
          </cell>
          <cell r="T76">
            <v>133689</v>
          </cell>
          <cell r="U76">
            <v>120895</v>
          </cell>
          <cell r="V76">
            <v>116259</v>
          </cell>
          <cell r="W76">
            <v>103705</v>
          </cell>
          <cell r="X76">
            <v>94377</v>
          </cell>
          <cell r="Y76">
            <v>92283</v>
          </cell>
          <cell r="Z76">
            <v>99083</v>
          </cell>
          <cell r="AA76">
            <v>109159</v>
          </cell>
          <cell r="AB76">
            <v>114018</v>
          </cell>
          <cell r="AC76">
            <v>113610</v>
          </cell>
          <cell r="AD76">
            <v>104792</v>
          </cell>
          <cell r="AE76">
            <v>102399</v>
          </cell>
        </row>
        <row r="77">
          <cell r="R77">
            <v>4522</v>
          </cell>
          <cell r="S77">
            <v>4417</v>
          </cell>
          <cell r="T77">
            <v>4358</v>
          </cell>
          <cell r="U77">
            <v>4131</v>
          </cell>
          <cell r="V77">
            <v>4143</v>
          </cell>
          <cell r="W77">
            <v>4491</v>
          </cell>
          <cell r="X77">
            <v>4541</v>
          </cell>
          <cell r="Y77">
            <v>3992</v>
          </cell>
          <cell r="Z77">
            <v>3894</v>
          </cell>
          <cell r="AA77">
            <v>3842</v>
          </cell>
          <cell r="AB77">
            <v>3986</v>
          </cell>
          <cell r="AC77">
            <v>4010</v>
          </cell>
          <cell r="AD77">
            <v>3788</v>
          </cell>
          <cell r="AE77">
            <v>3799</v>
          </cell>
        </row>
        <row r="78">
          <cell r="R78">
            <v>7719</v>
          </cell>
          <cell r="S78">
            <v>8266</v>
          </cell>
          <cell r="T78">
            <v>8083</v>
          </cell>
          <cell r="U78">
            <v>6149</v>
          </cell>
          <cell r="V78">
            <v>7395</v>
          </cell>
          <cell r="W78">
            <v>7256</v>
          </cell>
          <cell r="X78">
            <v>3020</v>
          </cell>
          <cell r="Y78">
            <v>2667</v>
          </cell>
          <cell r="Z78">
            <v>3108</v>
          </cell>
          <cell r="AA78">
            <v>3455</v>
          </cell>
          <cell r="AB78">
            <v>3252</v>
          </cell>
          <cell r="AC78">
            <v>2718</v>
          </cell>
          <cell r="AD78">
            <v>2714</v>
          </cell>
          <cell r="AE78">
            <v>3162</v>
          </cell>
        </row>
        <row r="79">
          <cell r="R79">
            <v>415</v>
          </cell>
          <cell r="S79">
            <v>438</v>
          </cell>
          <cell r="T79">
            <v>392</v>
          </cell>
          <cell r="U79">
            <v>289</v>
          </cell>
          <cell r="V79">
            <v>493</v>
          </cell>
          <cell r="W79">
            <v>465</v>
          </cell>
          <cell r="X79">
            <v>484</v>
          </cell>
          <cell r="Y79">
            <v>457</v>
          </cell>
          <cell r="Z79">
            <v>477</v>
          </cell>
          <cell r="AA79">
            <v>441</v>
          </cell>
          <cell r="AB79">
            <v>439</v>
          </cell>
          <cell r="AC79">
            <v>321</v>
          </cell>
          <cell r="AD79">
            <v>363</v>
          </cell>
          <cell r="AE79">
            <v>338</v>
          </cell>
        </row>
        <row r="80">
          <cell r="R80">
            <v>10704</v>
          </cell>
          <cell r="S80">
            <v>11187</v>
          </cell>
          <cell r="T80">
            <v>10829</v>
          </cell>
          <cell r="U80">
            <v>11239</v>
          </cell>
          <cell r="V80">
            <v>10120</v>
          </cell>
          <cell r="W80">
            <v>9916</v>
          </cell>
          <cell r="X80">
            <v>10325</v>
          </cell>
          <cell r="Y80">
            <v>10128</v>
          </cell>
          <cell r="Z80">
            <v>10274</v>
          </cell>
          <cell r="AA80">
            <v>11333</v>
          </cell>
          <cell r="AB80">
            <v>11574</v>
          </cell>
          <cell r="AC80">
            <v>12133</v>
          </cell>
          <cell r="AD80">
            <v>11425</v>
          </cell>
          <cell r="AE80">
            <v>11543</v>
          </cell>
        </row>
        <row r="81">
          <cell r="R81">
            <v>15915</v>
          </cell>
          <cell r="S81">
            <v>16513</v>
          </cell>
          <cell r="T81">
            <v>16722</v>
          </cell>
          <cell r="U81">
            <v>17285</v>
          </cell>
          <cell r="V81">
            <v>16260</v>
          </cell>
          <cell r="W81">
            <v>15733</v>
          </cell>
          <cell r="X81">
            <v>16244</v>
          </cell>
          <cell r="Y81">
            <v>18165</v>
          </cell>
          <cell r="Z81">
            <v>18418</v>
          </cell>
          <cell r="AA81">
            <v>19210</v>
          </cell>
          <cell r="AB81">
            <v>19936</v>
          </cell>
          <cell r="AC81">
            <v>18985</v>
          </cell>
          <cell r="AD81">
            <v>16540</v>
          </cell>
          <cell r="AE81">
            <v>15951</v>
          </cell>
        </row>
        <row r="82">
          <cell r="R82">
            <v>179937</v>
          </cell>
          <cell r="S82">
            <v>182930</v>
          </cell>
          <cell r="T82">
            <v>165785</v>
          </cell>
          <cell r="U82">
            <v>166299</v>
          </cell>
          <cell r="V82">
            <v>158635</v>
          </cell>
          <cell r="W82">
            <v>148754</v>
          </cell>
          <cell r="X82">
            <v>144987</v>
          </cell>
          <cell r="Y82">
            <v>147412</v>
          </cell>
          <cell r="Z82">
            <v>150939</v>
          </cell>
          <cell r="AA82">
            <v>153451</v>
          </cell>
          <cell r="AB82">
            <v>153455</v>
          </cell>
          <cell r="AC82">
            <v>148403</v>
          </cell>
          <cell r="AD82">
            <v>125607</v>
          </cell>
          <cell r="AE82">
            <v>119972</v>
          </cell>
        </row>
        <row r="83">
          <cell r="R83">
            <v>666246</v>
          </cell>
          <cell r="S83">
            <v>679490</v>
          </cell>
          <cell r="T83">
            <v>659095</v>
          </cell>
          <cell r="U83">
            <v>647125</v>
          </cell>
          <cell r="V83">
            <v>623319</v>
          </cell>
          <cell r="W83">
            <v>575045</v>
          </cell>
          <cell r="X83">
            <v>544137</v>
          </cell>
          <cell r="Y83">
            <v>545744</v>
          </cell>
          <cell r="Z83">
            <v>560846</v>
          </cell>
          <cell r="AA83">
            <v>580907</v>
          </cell>
          <cell r="AB83">
            <v>584854</v>
          </cell>
          <cell r="AC83">
            <v>569360</v>
          </cell>
          <cell r="AD83">
            <v>505716</v>
          </cell>
          <cell r="AE83">
            <v>493238</v>
          </cell>
        </row>
        <row r="84">
          <cell r="R84">
            <v>0.99772524765448922</v>
          </cell>
          <cell r="S84">
            <v>0.99844537049554183</v>
          </cell>
          <cell r="T84">
            <v>0.99927377367816184</v>
          </cell>
          <cell r="U84">
            <v>0.99586036025638069</v>
          </cell>
          <cell r="V84">
            <v>1.0018821888039502</v>
          </cell>
          <cell r="W84">
            <v>1.0053533059548974</v>
          </cell>
          <cell r="X84">
            <v>1.0014170901066866</v>
          </cell>
          <cell r="Y84">
            <v>1.0013026710260278</v>
          </cell>
          <cell r="Z84">
            <v>1.0020618483022805</v>
          </cell>
          <cell r="AA84">
            <v>1.002312070908109</v>
          </cell>
          <cell r="AB84">
            <v>1.0015892424725052</v>
          </cell>
          <cell r="AC84">
            <v>1.0006326889279438</v>
          </cell>
          <cell r="AD84">
            <v>1.0019158036964908</v>
          </cell>
          <cell r="AE84">
            <v>1.0030075707816226</v>
          </cell>
        </row>
      </sheetData>
      <sheetData sheetId="10">
        <row r="20">
          <cell r="H20">
            <v>420.90410493345433</v>
          </cell>
          <cell r="I20">
            <v>423.13679518832237</v>
          </cell>
          <cell r="J20">
            <v>394.67431530947567</v>
          </cell>
          <cell r="K20">
            <v>468.25061854804272</v>
          </cell>
          <cell r="L20">
            <v>344.52373444721451</v>
          </cell>
          <cell r="M20">
            <v>445.49503488725964</v>
          </cell>
          <cell r="N20">
            <v>348.28403706589631</v>
          </cell>
          <cell r="O20">
            <v>362.3397594571631</v>
          </cell>
          <cell r="P20">
            <v>371.606224056516</v>
          </cell>
          <cell r="Q20">
            <v>312.50970489313931</v>
          </cell>
          <cell r="R20">
            <v>335.2975740310236</v>
          </cell>
          <cell r="S20">
            <v>342.2055640259951</v>
          </cell>
          <cell r="T20">
            <v>402.99180686349803</v>
          </cell>
          <cell r="U20">
            <v>414.03797570414213</v>
          </cell>
          <cell r="V20">
            <v>389.97709928167609</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25.562876348592489</v>
          </cell>
          <cell r="I21">
            <v>25.698333253680506</v>
          </cell>
          <cell r="J21">
            <v>13.848576325371898</v>
          </cell>
          <cell r="K21">
            <v>28.066991307719697</v>
          </cell>
          <cell r="L21">
            <v>16.117144199118059</v>
          </cell>
          <cell r="M21">
            <v>37.124640142297991</v>
          </cell>
          <cell r="N21">
            <v>24.163570975730682</v>
          </cell>
          <cell r="O21">
            <v>20.725655611245173</v>
          </cell>
          <cell r="P21">
            <v>16.890770559431886</v>
          </cell>
          <cell r="Q21">
            <v>14.204568678363051</v>
          </cell>
          <cell r="R21">
            <v>15.240536736838072</v>
          </cell>
          <cell r="S21">
            <v>43.601175474442854</v>
          </cell>
          <cell r="T21">
            <v>51.34627945462649</v>
          </cell>
          <cell r="U21">
            <v>52.753693876351583</v>
          </cell>
          <cell r="V21">
            <v>49.688014634735822</v>
          </cell>
          <cell r="W21">
            <v>47.389006316911576</v>
          </cell>
          <cell r="X21">
            <v>39.719600078948531</v>
          </cell>
          <cell r="Y21">
            <v>42.946811008193642</v>
          </cell>
          <cell r="Z21">
            <v>42.912847331836325</v>
          </cell>
          <cell r="AA21">
            <v>45.360843253028662</v>
          </cell>
          <cell r="AB21">
            <v>43.780346509804978</v>
          </cell>
          <cell r="AC21">
            <v>37.521853433522573</v>
          </cell>
          <cell r="AD21">
            <v>21.874406648760488</v>
          </cell>
          <cell r="AE21">
            <v>28.568841979826072</v>
          </cell>
        </row>
        <row r="22">
          <cell r="G22">
            <v>148.09067407337858</v>
          </cell>
          <cell r="H22">
            <v>147.57241187782651</v>
          </cell>
          <cell r="I22">
            <v>148.35520903287315</v>
          </cell>
          <cell r="J22">
            <v>165.79860767185517</v>
          </cell>
          <cell r="K22">
            <v>173.03383335582868</v>
          </cell>
          <cell r="L22">
            <v>144.04017279599154</v>
          </cell>
          <cell r="M22">
            <v>167.02077778073459</v>
          </cell>
          <cell r="N22">
            <v>156.95175264438686</v>
          </cell>
          <cell r="O22">
            <v>159.76203940526821</v>
          </cell>
          <cell r="P22">
            <v>160.37081910472003</v>
          </cell>
          <cell r="Q22">
            <v>134.84041862377427</v>
          </cell>
          <cell r="R22">
            <v>144.66695632902375</v>
          </cell>
          <cell r="S22">
            <v>123.14160260115491</v>
          </cell>
          <cell r="T22">
            <v>145.02256658050578</v>
          </cell>
          <cell r="U22">
            <v>148.98487297542223</v>
          </cell>
          <cell r="V22">
            <v>140.3064744760587</v>
          </cell>
          <cell r="W22">
            <v>145.5638815883764</v>
          </cell>
          <cell r="X22">
            <v>115.86372571929033</v>
          </cell>
          <cell r="Y22">
            <v>125.98853086440919</v>
          </cell>
          <cell r="Z22">
            <v>141.5697676064546</v>
          </cell>
          <cell r="AA22">
            <v>139.73676861475923</v>
          </cell>
          <cell r="AB22">
            <v>137.37429289745472</v>
          </cell>
          <cell r="AC22">
            <v>118.55546948593621</v>
          </cell>
          <cell r="AD22">
            <v>121.9097195623316</v>
          </cell>
          <cell r="AE22">
            <v>123.60453687075486</v>
          </cell>
        </row>
        <row r="23">
          <cell r="G23">
            <v>285.87082646496032</v>
          </cell>
          <cell r="H23">
            <v>284.87051536995608</v>
          </cell>
          <cell r="I23">
            <v>286.38156346652335</v>
          </cell>
          <cell r="J23">
            <v>292.12065892251803</v>
          </cell>
          <cell r="K23">
            <v>295.25657380571096</v>
          </cell>
          <cell r="L23">
            <v>273.72255952617945</v>
          </cell>
          <cell r="M23">
            <v>296.99142911960104</v>
          </cell>
          <cell r="N23">
            <v>303.2728886913564</v>
          </cell>
          <cell r="O23">
            <v>305.80805486181697</v>
          </cell>
          <cell r="P23">
            <v>304.02727286374443</v>
          </cell>
          <cell r="Q23">
            <v>255.67266336902762</v>
          </cell>
          <cell r="R23">
            <v>274.31306879249058</v>
          </cell>
          <cell r="S23">
            <v>295.74791991806399</v>
          </cell>
          <cell r="T23">
            <v>348.28133891832391</v>
          </cell>
          <cell r="U23">
            <v>357.82579254635169</v>
          </cell>
          <cell r="V23">
            <v>337.03000536087393</v>
          </cell>
          <cell r="W23">
            <v>341.86317827135667</v>
          </cell>
          <cell r="X23">
            <v>297.0016363582576</v>
          </cell>
          <cell r="Y23">
            <v>256.94850517252331</v>
          </cell>
          <cell r="Z23">
            <v>276.85700974362169</v>
          </cell>
          <cell r="AA23">
            <v>297.90433494381182</v>
          </cell>
          <cell r="AB23">
            <v>295.22513781900727</v>
          </cell>
          <cell r="AC23">
            <v>265.07383573829964</v>
          </cell>
          <cell r="AD23">
            <v>267.25903800414943</v>
          </cell>
          <cell r="AE23">
            <v>299.10375236482099</v>
          </cell>
        </row>
        <row r="24">
          <cell r="G24">
            <v>881.99616063500446</v>
          </cell>
          <cell r="H24">
            <v>878.90990852982929</v>
          </cell>
          <cell r="I24">
            <v>883.57190094139946</v>
          </cell>
          <cell r="J24">
            <v>866.44215822922081</v>
          </cell>
          <cell r="K24">
            <v>964.60788783349199</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947.64197928500766</v>
          </cell>
          <cell r="U24">
            <v>973.60245291650426</v>
          </cell>
          <cell r="V24">
            <v>917.00158079266578</v>
          </cell>
          <cell r="W24">
            <v>926.19414624671435</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842.12418774695084</v>
          </cell>
        </row>
      </sheetData>
      <sheetData sheetId="11">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50">
          <cell r="G50">
            <v>1988</v>
          </cell>
          <cell r="H50">
            <v>1989</v>
          </cell>
          <cell r="I50">
            <v>1990</v>
          </cell>
          <cell r="J50">
            <v>1991</v>
          </cell>
          <cell r="K50">
            <v>1992</v>
          </cell>
          <cell r="L50">
            <v>1993</v>
          </cell>
          <cell r="M50">
            <v>1994</v>
          </cell>
          <cell r="N50">
            <v>1995</v>
          </cell>
          <cell r="O50">
            <v>1996</v>
          </cell>
          <cell r="P50">
            <v>1997</v>
          </cell>
          <cell r="Q50">
            <v>1998</v>
          </cell>
          <cell r="R50">
            <v>1999</v>
          </cell>
          <cell r="S50">
            <v>2000</v>
          </cell>
          <cell r="T50">
            <v>2001</v>
          </cell>
          <cell r="U50">
            <v>2002</v>
          </cell>
          <cell r="V50">
            <v>2003</v>
          </cell>
          <cell r="W50">
            <v>2004</v>
          </cell>
          <cell r="X50">
            <v>2005</v>
          </cell>
          <cell r="Y50">
            <v>2006</v>
          </cell>
          <cell r="Z50">
            <v>2007</v>
          </cell>
          <cell r="AA50">
            <v>2008</v>
          </cell>
          <cell r="AB50">
            <v>2009</v>
          </cell>
          <cell r="AC50">
            <v>2010</v>
          </cell>
          <cell r="AD50">
            <v>2011</v>
          </cell>
          <cell r="AE50">
            <v>2012</v>
          </cell>
        </row>
        <row r="51">
          <cell r="G51">
            <v>422.38208634660771</v>
          </cell>
          <cell r="H51">
            <v>420.90410493345433</v>
          </cell>
          <cell r="I51">
            <v>423.13679518832231</v>
          </cell>
          <cell r="J51">
            <v>394.67431530947567</v>
          </cell>
          <cell r="K51">
            <v>468.25061854804272</v>
          </cell>
          <cell r="L51">
            <v>344.52373444721451</v>
          </cell>
          <cell r="M51">
            <v>445.49503488725958</v>
          </cell>
          <cell r="N51">
            <v>348.28403706589631</v>
          </cell>
          <cell r="O51">
            <v>362.3397594571631</v>
          </cell>
          <cell r="P51">
            <v>371.60622405651606</v>
          </cell>
          <cell r="Q51">
            <v>312.50970489313931</v>
          </cell>
          <cell r="R51">
            <v>335.29757403102366</v>
          </cell>
          <cell r="S51">
            <v>342.2055640259951</v>
          </cell>
          <cell r="T51">
            <v>402.99180686349797</v>
          </cell>
          <cell r="U51">
            <v>414.03797570414213</v>
          </cell>
          <cell r="V51">
            <v>389.97709928167603</v>
          </cell>
          <cell r="W51">
            <v>391.37822136142915</v>
          </cell>
          <cell r="X51">
            <v>293.2540267496567</v>
          </cell>
          <cell r="Y51">
            <v>312.26727082893217</v>
          </cell>
          <cell r="Z51">
            <v>358.48883909919152</v>
          </cell>
          <cell r="AA51">
            <v>360.66110448832524</v>
          </cell>
          <cell r="AB51">
            <v>326.86508800620044</v>
          </cell>
          <cell r="AC51">
            <v>307.34855388727095</v>
          </cell>
          <cell r="AD51">
            <v>315.74630914426245</v>
          </cell>
          <cell r="AE51">
            <v>390.84711724540011</v>
          </cell>
        </row>
        <row r="52">
          <cell r="G52">
            <v>25.652573750057851</v>
          </cell>
          <cell r="H52">
            <v>25.562876348592493</v>
          </cell>
          <cell r="I52">
            <v>25.698333253680506</v>
          </cell>
          <cell r="J52">
            <v>13.848576325371896</v>
          </cell>
          <cell r="K52">
            <v>28.066991307719693</v>
          </cell>
          <cell r="L52">
            <v>16.117144199118062</v>
          </cell>
          <cell r="M52">
            <v>37.124640142297984</v>
          </cell>
          <cell r="N52">
            <v>24.163570975730682</v>
          </cell>
          <cell r="O52">
            <v>20.725655611245173</v>
          </cell>
          <cell r="P52">
            <v>16.890770559431886</v>
          </cell>
          <cell r="Q52">
            <v>14.204568678363051</v>
          </cell>
          <cell r="R52">
            <v>15.240536736838074</v>
          </cell>
          <cell r="S52">
            <v>43.601175474442854</v>
          </cell>
          <cell r="T52">
            <v>51.34627945462649</v>
          </cell>
          <cell r="U52">
            <v>52.753693876351583</v>
          </cell>
          <cell r="V52">
            <v>49.688014634735815</v>
          </cell>
          <cell r="W52">
            <v>47.389006316911583</v>
          </cell>
          <cell r="X52">
            <v>39.719600078948538</v>
          </cell>
          <cell r="Y52">
            <v>42.946811008193649</v>
          </cell>
          <cell r="Z52">
            <v>42.912847331836332</v>
          </cell>
          <cell r="AA52">
            <v>45.360843253028669</v>
          </cell>
          <cell r="AB52">
            <v>43.780346509804978</v>
          </cell>
          <cell r="AC52">
            <v>37.521853433522573</v>
          </cell>
          <cell r="AD52">
            <v>21.874406648760488</v>
          </cell>
          <cell r="AE52">
            <v>28.568841979826072</v>
          </cell>
        </row>
        <row r="53">
          <cell r="G53">
            <v>148.09067407337858</v>
          </cell>
          <cell r="H53">
            <v>147.57241187782651</v>
          </cell>
          <cell r="I53">
            <v>148.35520903287318</v>
          </cell>
          <cell r="J53">
            <v>165.79860767185514</v>
          </cell>
          <cell r="K53">
            <v>173.03383335582868</v>
          </cell>
          <cell r="L53">
            <v>144.04017279599154</v>
          </cell>
          <cell r="M53">
            <v>167.02077778073456</v>
          </cell>
          <cell r="N53">
            <v>156.95175264438686</v>
          </cell>
          <cell r="O53">
            <v>159.76203940526821</v>
          </cell>
          <cell r="P53">
            <v>160.37081910472</v>
          </cell>
          <cell r="Q53">
            <v>134.84041862377427</v>
          </cell>
          <cell r="R53">
            <v>144.66695632902378</v>
          </cell>
          <cell r="S53">
            <v>123.14160260115491</v>
          </cell>
          <cell r="T53">
            <v>145.02256658050578</v>
          </cell>
          <cell r="U53">
            <v>148.98487297542223</v>
          </cell>
          <cell r="V53">
            <v>140.30647447605867</v>
          </cell>
          <cell r="W53">
            <v>145.56388158837643</v>
          </cell>
          <cell r="X53">
            <v>115.86372571929033</v>
          </cell>
          <cell r="Y53">
            <v>125.98853086440919</v>
          </cell>
          <cell r="Z53">
            <v>141.5697676064546</v>
          </cell>
          <cell r="AA53">
            <v>139.7367686147592</v>
          </cell>
          <cell r="AB53">
            <v>137.37429289745472</v>
          </cell>
          <cell r="AC53">
            <v>118.55546948593621</v>
          </cell>
          <cell r="AD53">
            <v>121.90971956233162</v>
          </cell>
          <cell r="AE53">
            <v>123.60453687075486</v>
          </cell>
        </row>
        <row r="54">
          <cell r="G54">
            <v>285.87082646496026</v>
          </cell>
          <cell r="H54">
            <v>284.87051536995608</v>
          </cell>
          <cell r="I54">
            <v>286.38156346652335</v>
          </cell>
          <cell r="J54">
            <v>292.12065892251798</v>
          </cell>
          <cell r="K54">
            <v>295.2565738057109</v>
          </cell>
          <cell r="L54">
            <v>273.72255952617945</v>
          </cell>
          <cell r="M54">
            <v>296.99142911960104</v>
          </cell>
          <cell r="N54">
            <v>303.27288869135646</v>
          </cell>
          <cell r="O54">
            <v>305.80805486181691</v>
          </cell>
          <cell r="P54">
            <v>304.02727286374443</v>
          </cell>
          <cell r="Q54">
            <v>255.67266336902762</v>
          </cell>
          <cell r="R54">
            <v>274.31306879249058</v>
          </cell>
          <cell r="S54">
            <v>295.74791991806393</v>
          </cell>
          <cell r="T54">
            <v>348.28133891832385</v>
          </cell>
          <cell r="U54">
            <v>357.82579254635169</v>
          </cell>
          <cell r="V54">
            <v>337.03000536087387</v>
          </cell>
          <cell r="W54">
            <v>341.86317827135667</v>
          </cell>
          <cell r="X54">
            <v>297.0016363582576</v>
          </cell>
          <cell r="Y54">
            <v>256.94850517252331</v>
          </cell>
          <cell r="Z54">
            <v>276.85700974362169</v>
          </cell>
          <cell r="AA54">
            <v>297.90433494381182</v>
          </cell>
          <cell r="AB54">
            <v>295.22513781900722</v>
          </cell>
          <cell r="AC54">
            <v>265.07383573829964</v>
          </cell>
          <cell r="AD54">
            <v>267.25903800414949</v>
          </cell>
          <cell r="AE54">
            <v>299.10375236482099</v>
          </cell>
        </row>
        <row r="55">
          <cell r="G55">
            <v>881.99616063500446</v>
          </cell>
          <cell r="H55">
            <v>878.90990852982941</v>
          </cell>
          <cell r="I55">
            <v>883.57190094139935</v>
          </cell>
          <cell r="J55">
            <v>866.44215822922069</v>
          </cell>
          <cell r="K55">
            <v>964.60788783349187</v>
          </cell>
          <cell r="L55">
            <v>778.40348106905492</v>
          </cell>
          <cell r="M55">
            <v>946.6318819298931</v>
          </cell>
          <cell r="N55">
            <v>832.67224937737035</v>
          </cell>
          <cell r="O55">
            <v>848.63549634990864</v>
          </cell>
          <cell r="P55">
            <v>852.89507384849344</v>
          </cell>
          <cell r="Q55">
            <v>717.22734293522569</v>
          </cell>
          <cell r="R55">
            <v>769.51812330024813</v>
          </cell>
          <cell r="S55">
            <v>804.69619959655552</v>
          </cell>
          <cell r="T55">
            <v>947.64197928500778</v>
          </cell>
          <cell r="U55">
            <v>973.60245291650426</v>
          </cell>
          <cell r="V55">
            <v>917.00158079266578</v>
          </cell>
          <cell r="W55">
            <v>926.19414624671447</v>
          </cell>
          <cell r="X55">
            <v>745.8391027960281</v>
          </cell>
          <cell r="Y55">
            <v>738.15110558736103</v>
          </cell>
          <cell r="Z55">
            <v>819.82857199685373</v>
          </cell>
          <cell r="AA55">
            <v>843.66301387825172</v>
          </cell>
          <cell r="AB55">
            <v>803.24492655162635</v>
          </cell>
          <cell r="AC55">
            <v>728.49965144856913</v>
          </cell>
          <cell r="AD55">
            <v>726.78953384067529</v>
          </cell>
          <cell r="AE55">
            <v>842.12418774695072</v>
          </cell>
        </row>
      </sheetData>
      <sheetData sheetId="12">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sheetData>
      <sheetData sheetId="13"/>
      <sheetData sheetId="14"/>
      <sheetData sheetId="15"/>
      <sheetData sheetId="16">
        <row r="21">
          <cell r="G21" t="str">
            <v>Number_of_Circuits</v>
          </cell>
          <cell r="H21" t="str">
            <v>Pos_Rel</v>
          </cell>
          <cell r="I21" t="str">
            <v>ID</v>
          </cell>
        </row>
        <row r="22">
          <cell r="G22">
            <v>2</v>
          </cell>
          <cell r="H22" t="str">
            <v>Within 1 mile</v>
          </cell>
          <cell r="I22">
            <v>3337427414</v>
          </cell>
        </row>
        <row r="23">
          <cell r="G23">
            <v>1</v>
          </cell>
          <cell r="H23" t="str">
            <v>Within 1 mile</v>
          </cell>
          <cell r="I23">
            <v>3342618410</v>
          </cell>
        </row>
        <row r="24">
          <cell r="G24">
            <v>2</v>
          </cell>
          <cell r="H24" t="str">
            <v>Within 1 mile</v>
          </cell>
          <cell r="I24">
            <v>3352749805</v>
          </cell>
        </row>
        <row r="25">
          <cell r="G25">
            <v>2</v>
          </cell>
          <cell r="H25" t="str">
            <v>Not verified to be within 1 mile</v>
          </cell>
          <cell r="I25">
            <v>3349560210</v>
          </cell>
        </row>
        <row r="26">
          <cell r="G26">
            <v>1</v>
          </cell>
          <cell r="H26" t="str">
            <v>Not verified to be within 1 mile</v>
          </cell>
          <cell r="I26">
            <v>3349560228</v>
          </cell>
        </row>
        <row r="27">
          <cell r="G27">
            <v>2</v>
          </cell>
          <cell r="H27" t="str">
            <v>Not verified to be within 1 mile</v>
          </cell>
          <cell r="I27">
            <v>3349560223</v>
          </cell>
        </row>
        <row r="28">
          <cell r="G28">
            <v>1</v>
          </cell>
          <cell r="H28" t="str">
            <v>Within 165 feet</v>
          </cell>
          <cell r="I28">
            <v>3342618062</v>
          </cell>
        </row>
        <row r="29">
          <cell r="G29">
            <v>5</v>
          </cell>
          <cell r="H29" t="str">
            <v>Within 165 feet</v>
          </cell>
          <cell r="I29">
            <v>3349559673</v>
          </cell>
        </row>
        <row r="30">
          <cell r="G30">
            <v>7</v>
          </cell>
          <cell r="H30" t="str">
            <v>Within 165 feet</v>
          </cell>
          <cell r="I30">
            <v>3337405809</v>
          </cell>
        </row>
        <row r="31">
          <cell r="G31">
            <v>4</v>
          </cell>
          <cell r="H31" t="str">
            <v>Within 40 feet</v>
          </cell>
          <cell r="I31">
            <v>3337405811</v>
          </cell>
        </row>
        <row r="32">
          <cell r="G32">
            <v>4</v>
          </cell>
          <cell r="H32" t="str">
            <v>Within 1 mile</v>
          </cell>
          <cell r="I32">
            <v>3337405841</v>
          </cell>
        </row>
        <row r="33">
          <cell r="G33">
            <v>3</v>
          </cell>
          <cell r="H33" t="str">
            <v>Within 165 feet</v>
          </cell>
          <cell r="I33">
            <v>3337405851</v>
          </cell>
        </row>
        <row r="34">
          <cell r="G34">
            <v>1</v>
          </cell>
          <cell r="H34" t="str">
            <v>Within 1 mile</v>
          </cell>
          <cell r="I34">
            <v>3352750258</v>
          </cell>
        </row>
        <row r="35">
          <cell r="G35">
            <v>8</v>
          </cell>
          <cell r="H35" t="str">
            <v>Within 165 feet</v>
          </cell>
          <cell r="I35">
            <v>3337405875</v>
          </cell>
        </row>
        <row r="36">
          <cell r="G36">
            <v>6</v>
          </cell>
          <cell r="H36" t="str">
            <v>Within 165 feet</v>
          </cell>
          <cell r="I36">
            <v>3337405876</v>
          </cell>
        </row>
        <row r="37">
          <cell r="G37">
            <v>2</v>
          </cell>
          <cell r="H37" t="str">
            <v>Within 165 feet</v>
          </cell>
          <cell r="I37">
            <v>3342618042</v>
          </cell>
        </row>
        <row r="38">
          <cell r="G38">
            <v>4</v>
          </cell>
          <cell r="H38" t="str">
            <v>Within 1 mile</v>
          </cell>
          <cell r="I38">
            <v>3365669816</v>
          </cell>
        </row>
        <row r="39">
          <cell r="G39">
            <v>3</v>
          </cell>
          <cell r="H39" t="str">
            <v>Within 40 feet</v>
          </cell>
          <cell r="I39">
            <v>3337405945</v>
          </cell>
        </row>
        <row r="40">
          <cell r="G40">
            <v>2</v>
          </cell>
          <cell r="H40" t="str">
            <v>Within 1 mile</v>
          </cell>
          <cell r="I40">
            <v>3337428205</v>
          </cell>
        </row>
        <row r="41">
          <cell r="G41">
            <v>2</v>
          </cell>
          <cell r="H41" t="str">
            <v>Not Verified to be within 1 mile</v>
          </cell>
          <cell r="I41">
            <v>3342618238</v>
          </cell>
        </row>
        <row r="42">
          <cell r="G42">
            <v>2</v>
          </cell>
          <cell r="H42" t="str">
            <v>Not Verified to be within 1 mile</v>
          </cell>
          <cell r="I42">
            <v>3342618215</v>
          </cell>
        </row>
        <row r="43">
          <cell r="G43">
            <v>3</v>
          </cell>
          <cell r="H43" t="str">
            <v>Within 1 mile</v>
          </cell>
          <cell r="I43">
            <v>3337405994</v>
          </cell>
        </row>
        <row r="44">
          <cell r="G44">
            <v>1</v>
          </cell>
          <cell r="H44" t="str">
            <v>Within 40 feet</v>
          </cell>
          <cell r="I44">
            <v>3349559578</v>
          </cell>
        </row>
        <row r="45">
          <cell r="G45">
            <v>3</v>
          </cell>
          <cell r="H45" t="str">
            <v>Not Verified to be within 1 mile</v>
          </cell>
          <cell r="I45">
            <v>3342618203</v>
          </cell>
        </row>
        <row r="46">
          <cell r="G46">
            <v>8</v>
          </cell>
          <cell r="H46" t="str">
            <v>Within 165 feet</v>
          </cell>
          <cell r="I46">
            <v>3337406029</v>
          </cell>
        </row>
        <row r="47">
          <cell r="G47">
            <v>6</v>
          </cell>
          <cell r="H47" t="str">
            <v>Within 40 feet</v>
          </cell>
          <cell r="I47">
            <v>3337406039</v>
          </cell>
        </row>
        <row r="48">
          <cell r="G48">
            <v>5</v>
          </cell>
          <cell r="H48" t="str">
            <v>Within 40 feet</v>
          </cell>
          <cell r="I48">
            <v>3337427457</v>
          </cell>
        </row>
        <row r="49">
          <cell r="G49">
            <v>3</v>
          </cell>
          <cell r="H49" t="str">
            <v>Within 40 feet</v>
          </cell>
          <cell r="I49">
            <v>3352750139</v>
          </cell>
        </row>
        <row r="50">
          <cell r="G50">
            <v>1</v>
          </cell>
          <cell r="H50" t="str">
            <v>Within 40 feet</v>
          </cell>
          <cell r="I50">
            <v>3352750138</v>
          </cell>
        </row>
        <row r="51">
          <cell r="G51">
            <v>1</v>
          </cell>
          <cell r="H51" t="str">
            <v>Not Verified to be within 1 mile</v>
          </cell>
          <cell r="I51">
            <v>3342618050</v>
          </cell>
        </row>
        <row r="52">
          <cell r="G52">
            <v>5</v>
          </cell>
          <cell r="H52" t="str">
            <v>Within 165 feet</v>
          </cell>
          <cell r="I52">
            <v>3337406065</v>
          </cell>
        </row>
        <row r="53">
          <cell r="G53">
            <v>1</v>
          </cell>
          <cell r="H53" t="str">
            <v>Within 1 mile</v>
          </cell>
          <cell r="I53">
            <v>3337406075</v>
          </cell>
        </row>
        <row r="54">
          <cell r="G54">
            <v>4</v>
          </cell>
          <cell r="H54" t="str">
            <v>Within 40 feet</v>
          </cell>
          <cell r="I54">
            <v>3353097876</v>
          </cell>
        </row>
        <row r="55">
          <cell r="G55">
            <v>2</v>
          </cell>
          <cell r="H55" t="str">
            <v>Not Verified to be within 1 mile</v>
          </cell>
          <cell r="I55">
            <v>3342618108</v>
          </cell>
        </row>
        <row r="56">
          <cell r="G56">
            <v>5</v>
          </cell>
          <cell r="H56" t="str">
            <v>Within 1 mile</v>
          </cell>
          <cell r="I56">
            <v>3337406092</v>
          </cell>
        </row>
        <row r="57">
          <cell r="G57">
            <v>4</v>
          </cell>
          <cell r="H57" t="str">
            <v>Within 40 feet</v>
          </cell>
          <cell r="I57">
            <v>3349559515</v>
          </cell>
        </row>
        <row r="58">
          <cell r="G58">
            <v>3</v>
          </cell>
          <cell r="H58" t="str">
            <v>Within 40 feet</v>
          </cell>
          <cell r="I58">
            <v>3337406222</v>
          </cell>
        </row>
        <row r="59">
          <cell r="G59">
            <v>1</v>
          </cell>
          <cell r="H59" t="str">
            <v>Within 40 feet</v>
          </cell>
          <cell r="I59">
            <v>3349559567</v>
          </cell>
        </row>
        <row r="60">
          <cell r="G60">
            <v>3</v>
          </cell>
          <cell r="H60" t="str">
            <v>Not verified to be within 1 mile</v>
          </cell>
          <cell r="I60">
            <v>3337406235</v>
          </cell>
        </row>
        <row r="61">
          <cell r="G61">
            <v>3</v>
          </cell>
          <cell r="H61" t="str">
            <v>Not Verified to be within 1 mile</v>
          </cell>
          <cell r="I61">
            <v>3337406236</v>
          </cell>
        </row>
        <row r="62">
          <cell r="G62">
            <v>1</v>
          </cell>
          <cell r="H62" t="str">
            <v>Within 1 mile</v>
          </cell>
          <cell r="I62">
            <v>3337427508</v>
          </cell>
        </row>
        <row r="63">
          <cell r="G63">
            <v>9</v>
          </cell>
          <cell r="H63" t="str">
            <v>Within 40 feet</v>
          </cell>
          <cell r="I63">
            <v>3337406253</v>
          </cell>
        </row>
        <row r="64">
          <cell r="G64">
            <v>1</v>
          </cell>
          <cell r="H64" t="str">
            <v>Not Verified to be within 1 mile</v>
          </cell>
          <cell r="I64">
            <v>3342618167</v>
          </cell>
        </row>
        <row r="65">
          <cell r="G65">
            <v>1</v>
          </cell>
          <cell r="H65" t="str">
            <v>Not Verified to be within 1 mile</v>
          </cell>
          <cell r="I65">
            <v>3342618232</v>
          </cell>
        </row>
        <row r="66">
          <cell r="G66">
            <v>2</v>
          </cell>
          <cell r="H66" t="str">
            <v>Within 40 feet</v>
          </cell>
          <cell r="I66">
            <v>3349559646</v>
          </cell>
        </row>
        <row r="67">
          <cell r="G67">
            <v>2</v>
          </cell>
          <cell r="H67" t="str">
            <v>Within 1 mile</v>
          </cell>
          <cell r="I67">
            <v>3342618182</v>
          </cell>
        </row>
        <row r="68">
          <cell r="G68">
            <v>2</v>
          </cell>
          <cell r="H68" t="str">
            <v>Not Verified to be within 1 mile</v>
          </cell>
          <cell r="I68">
            <v>3337406279</v>
          </cell>
        </row>
        <row r="69">
          <cell r="G69">
            <v>1</v>
          </cell>
          <cell r="H69" t="str">
            <v>Within 40 feet</v>
          </cell>
          <cell r="I69">
            <v>3349559565</v>
          </cell>
        </row>
        <row r="70">
          <cell r="G70">
            <v>3</v>
          </cell>
          <cell r="H70" t="str">
            <v>Within 165 feet</v>
          </cell>
          <cell r="I70">
            <v>3337406291</v>
          </cell>
        </row>
        <row r="71">
          <cell r="G71">
            <v>1</v>
          </cell>
          <cell r="H71" t="str">
            <v>Not Verified to be within 1 mile</v>
          </cell>
          <cell r="I71">
            <v>3342618333</v>
          </cell>
        </row>
        <row r="72">
          <cell r="G72">
            <v>1</v>
          </cell>
          <cell r="H72" t="str">
            <v>Not verified to be within 1 mile</v>
          </cell>
          <cell r="I72">
            <v>3349560041</v>
          </cell>
        </row>
        <row r="73">
          <cell r="G73">
            <v>1</v>
          </cell>
          <cell r="H73" t="str">
            <v>Not verified to be within 1 mile</v>
          </cell>
          <cell r="I73">
            <v>3349560331</v>
          </cell>
        </row>
        <row r="74">
          <cell r="G74">
            <v>2</v>
          </cell>
          <cell r="H74" t="str">
            <v>Within 1 mile</v>
          </cell>
          <cell r="I74">
            <v>3342618130</v>
          </cell>
        </row>
        <row r="75">
          <cell r="G75">
            <v>4</v>
          </cell>
          <cell r="H75" t="str">
            <v>Within 165 feet</v>
          </cell>
          <cell r="I75">
            <v>3353098108</v>
          </cell>
        </row>
        <row r="76">
          <cell r="G76">
            <v>2</v>
          </cell>
          <cell r="H76" t="str">
            <v>Within 40 feet</v>
          </cell>
          <cell r="I76">
            <v>3337406325</v>
          </cell>
        </row>
        <row r="77">
          <cell r="G77">
            <v>2</v>
          </cell>
          <cell r="H77" t="str">
            <v>Within 165 feet</v>
          </cell>
          <cell r="I77">
            <v>3337406328</v>
          </cell>
        </row>
        <row r="78">
          <cell r="G78">
            <v>4</v>
          </cell>
          <cell r="H78" t="str">
            <v>Within 165 feet</v>
          </cell>
          <cell r="I78">
            <v>3349559676</v>
          </cell>
        </row>
        <row r="79">
          <cell r="G79">
            <v>5</v>
          </cell>
          <cell r="H79" t="str">
            <v>Not verified to be within 1 mile</v>
          </cell>
          <cell r="I79">
            <v>3349560178</v>
          </cell>
        </row>
        <row r="80">
          <cell r="G80">
            <v>6</v>
          </cell>
          <cell r="H80" t="str">
            <v>Within 165 feet</v>
          </cell>
          <cell r="I80">
            <v>3337406371</v>
          </cell>
        </row>
        <row r="81">
          <cell r="G81">
            <v>2</v>
          </cell>
          <cell r="H81" t="str">
            <v>Within 1 mile</v>
          </cell>
          <cell r="I81">
            <v>3342617827</v>
          </cell>
        </row>
        <row r="82">
          <cell r="G82">
            <v>2</v>
          </cell>
          <cell r="H82" t="str">
            <v>Within 1 mile</v>
          </cell>
          <cell r="I82">
            <v>3337406374</v>
          </cell>
        </row>
        <row r="83">
          <cell r="G83">
            <v>3</v>
          </cell>
          <cell r="H83" t="str">
            <v>Within 1 mile</v>
          </cell>
          <cell r="I83">
            <v>3337428236</v>
          </cell>
        </row>
        <row r="84">
          <cell r="G84">
            <v>2</v>
          </cell>
          <cell r="H84" t="str">
            <v>Within 165 feet</v>
          </cell>
          <cell r="I84">
            <v>3337406412</v>
          </cell>
        </row>
        <row r="85">
          <cell r="G85">
            <v>1</v>
          </cell>
          <cell r="H85" t="str">
            <v>Not verified to be within 1 mile</v>
          </cell>
          <cell r="I85">
            <v>3349560076</v>
          </cell>
        </row>
        <row r="86">
          <cell r="G86">
            <v>2</v>
          </cell>
          <cell r="H86" t="str">
            <v>Not Verified to be within 1 mile</v>
          </cell>
          <cell r="I86">
            <v>3342618126</v>
          </cell>
        </row>
        <row r="87">
          <cell r="G87">
            <v>1</v>
          </cell>
          <cell r="H87" t="str">
            <v>Not Verified to be within 1 mile</v>
          </cell>
          <cell r="I87">
            <v>3342618089</v>
          </cell>
        </row>
        <row r="88">
          <cell r="G88">
            <v>2</v>
          </cell>
          <cell r="H88" t="str">
            <v>Within 165 feet</v>
          </cell>
          <cell r="I88">
            <v>3352749992</v>
          </cell>
        </row>
        <row r="89">
          <cell r="G89">
            <v>1</v>
          </cell>
          <cell r="H89" t="str">
            <v>Within 165 feet</v>
          </cell>
          <cell r="I89">
            <v>3338290484</v>
          </cell>
        </row>
        <row r="90">
          <cell r="G90">
            <v>1</v>
          </cell>
          <cell r="H90" t="str">
            <v>Not Verified to be within 1 mile</v>
          </cell>
          <cell r="I90">
            <v>3342618281</v>
          </cell>
        </row>
        <row r="91">
          <cell r="G91">
            <v>3</v>
          </cell>
          <cell r="H91" t="str">
            <v>Within 40 feet</v>
          </cell>
          <cell r="I91">
            <v>3337406568</v>
          </cell>
        </row>
        <row r="92">
          <cell r="G92">
            <v>2</v>
          </cell>
          <cell r="H92" t="str">
            <v>Within 1 mile</v>
          </cell>
          <cell r="I92">
            <v>3352749896</v>
          </cell>
        </row>
        <row r="93">
          <cell r="G93">
            <v>4</v>
          </cell>
          <cell r="H93" t="str">
            <v>Within 165 feet</v>
          </cell>
          <cell r="I93">
            <v>3337406590</v>
          </cell>
        </row>
        <row r="94">
          <cell r="G94">
            <v>4</v>
          </cell>
          <cell r="H94" t="str">
            <v>Within 40 feet</v>
          </cell>
          <cell r="I94">
            <v>3337406602</v>
          </cell>
        </row>
        <row r="95">
          <cell r="G95">
            <v>2</v>
          </cell>
          <cell r="H95" t="str">
            <v>Within 1 mile</v>
          </cell>
          <cell r="I95">
            <v>3352749982</v>
          </cell>
        </row>
        <row r="96">
          <cell r="G96">
            <v>1</v>
          </cell>
          <cell r="H96" t="str">
            <v>Not Verified to be within 1 mile</v>
          </cell>
          <cell r="I96">
            <v>3337406632</v>
          </cell>
        </row>
        <row r="97">
          <cell r="G97">
            <v>3</v>
          </cell>
          <cell r="H97" t="str">
            <v>Within 165 feet</v>
          </cell>
          <cell r="I97">
            <v>3337406649</v>
          </cell>
        </row>
        <row r="98">
          <cell r="G98">
            <v>2</v>
          </cell>
          <cell r="H98" t="str">
            <v>Not verified to be within 1 mile</v>
          </cell>
          <cell r="I98">
            <v>3349559693</v>
          </cell>
        </row>
        <row r="99">
          <cell r="G99">
            <v>2</v>
          </cell>
          <cell r="H99" t="str">
            <v>Within 1 mile</v>
          </cell>
          <cell r="I99">
            <v>3353097619</v>
          </cell>
        </row>
        <row r="100">
          <cell r="G100">
            <v>2</v>
          </cell>
          <cell r="H100" t="str">
            <v>Not verified to be within 1 mile</v>
          </cell>
          <cell r="I100">
            <v>3349559868</v>
          </cell>
        </row>
        <row r="101">
          <cell r="G101">
            <v>1</v>
          </cell>
          <cell r="H101" t="str">
            <v>Within 1 mile</v>
          </cell>
          <cell r="I101">
            <v>3342618366</v>
          </cell>
        </row>
        <row r="102">
          <cell r="G102">
            <v>3</v>
          </cell>
          <cell r="H102" t="str">
            <v>Not verified to be within 1 mile</v>
          </cell>
          <cell r="I102">
            <v>3349560078</v>
          </cell>
        </row>
        <row r="103">
          <cell r="G103">
            <v>4</v>
          </cell>
          <cell r="H103" t="str">
            <v>Within 1 mile</v>
          </cell>
          <cell r="I103">
            <v>3337406789</v>
          </cell>
        </row>
        <row r="104">
          <cell r="G104">
            <v>3</v>
          </cell>
          <cell r="H104" t="str">
            <v>Within 1 mile</v>
          </cell>
          <cell r="I104">
            <v>3337406795</v>
          </cell>
        </row>
        <row r="105">
          <cell r="G105">
            <v>2</v>
          </cell>
          <cell r="H105" t="str">
            <v>Within 1 mile</v>
          </cell>
          <cell r="I105">
            <v>3337406808</v>
          </cell>
        </row>
        <row r="106">
          <cell r="G106">
            <v>4</v>
          </cell>
          <cell r="H106" t="str">
            <v>Within 1 mile</v>
          </cell>
          <cell r="I106">
            <v>3337406818</v>
          </cell>
        </row>
        <row r="107">
          <cell r="G107">
            <v>0</v>
          </cell>
          <cell r="H107" t="str">
            <v>Within 165 feet</v>
          </cell>
          <cell r="I107">
            <v>3337406821</v>
          </cell>
        </row>
        <row r="108">
          <cell r="G108">
            <v>0</v>
          </cell>
          <cell r="H108" t="str">
            <v>Within 1 mile</v>
          </cell>
          <cell r="I108">
            <v>3337406822</v>
          </cell>
        </row>
        <row r="109">
          <cell r="G109">
            <v>2</v>
          </cell>
          <cell r="H109" t="str">
            <v>Within 1 mile</v>
          </cell>
          <cell r="I109">
            <v>3352749976</v>
          </cell>
        </row>
        <row r="110">
          <cell r="G110">
            <v>7</v>
          </cell>
          <cell r="H110" t="str">
            <v>Within 40 feet</v>
          </cell>
          <cell r="I110">
            <v>3337406824</v>
          </cell>
        </row>
        <row r="111">
          <cell r="G111">
            <v>5</v>
          </cell>
          <cell r="H111" t="str">
            <v>Within 1 mile</v>
          </cell>
          <cell r="I111">
            <v>3337406842</v>
          </cell>
        </row>
        <row r="112">
          <cell r="G112">
            <v>3</v>
          </cell>
          <cell r="H112" t="str">
            <v>Within 1 mile</v>
          </cell>
          <cell r="I112">
            <v>3341136911</v>
          </cell>
        </row>
        <row r="113">
          <cell r="G113">
            <v>1</v>
          </cell>
          <cell r="H113" t="str">
            <v>Not Verified to be within 1 mile</v>
          </cell>
          <cell r="I113">
            <v>3342618111</v>
          </cell>
        </row>
        <row r="114">
          <cell r="G114">
            <v>3</v>
          </cell>
          <cell r="H114" t="str">
            <v>Not Verified to be within 1 mile</v>
          </cell>
          <cell r="I114">
            <v>3342618095</v>
          </cell>
        </row>
        <row r="115">
          <cell r="G115">
            <v>5</v>
          </cell>
          <cell r="H115" t="str">
            <v>Within 1 mile</v>
          </cell>
          <cell r="I115">
            <v>3337406867</v>
          </cell>
        </row>
        <row r="116">
          <cell r="G116">
            <v>2</v>
          </cell>
          <cell r="H116" t="str">
            <v>Within 1 mile</v>
          </cell>
          <cell r="I116">
            <v>3337406868</v>
          </cell>
        </row>
        <row r="117">
          <cell r="G117">
            <v>2</v>
          </cell>
          <cell r="H117" t="str">
            <v>Not Verified to be within 1 mile</v>
          </cell>
          <cell r="I117">
            <v>3342618197</v>
          </cell>
        </row>
        <row r="118">
          <cell r="G118">
            <v>2</v>
          </cell>
          <cell r="H118" t="str">
            <v>Within 165 feet</v>
          </cell>
          <cell r="I118">
            <v>3337406880</v>
          </cell>
        </row>
        <row r="119">
          <cell r="G119">
            <v>2</v>
          </cell>
          <cell r="H119" t="str">
            <v>Within 165 feet</v>
          </cell>
          <cell r="I119">
            <v>3349560088</v>
          </cell>
        </row>
        <row r="120">
          <cell r="G120">
            <v>2</v>
          </cell>
          <cell r="H120" t="str">
            <v>Within 1 mile</v>
          </cell>
          <cell r="I120">
            <v>3352750254</v>
          </cell>
        </row>
        <row r="121">
          <cell r="G121">
            <v>2</v>
          </cell>
          <cell r="H121" t="str">
            <v>Within 165 feet</v>
          </cell>
          <cell r="I121">
            <v>3337406994</v>
          </cell>
        </row>
        <row r="122">
          <cell r="G122">
            <v>2</v>
          </cell>
          <cell r="H122" t="str">
            <v>Within 165 feet</v>
          </cell>
          <cell r="I122">
            <v>3337406995</v>
          </cell>
        </row>
        <row r="123">
          <cell r="G123">
            <v>2</v>
          </cell>
          <cell r="H123" t="str">
            <v>Within 165 feet</v>
          </cell>
          <cell r="I123">
            <v>3337407000</v>
          </cell>
        </row>
        <row r="124">
          <cell r="G124">
            <v>1</v>
          </cell>
          <cell r="H124" t="str">
            <v>Within 165 feet</v>
          </cell>
          <cell r="I124">
            <v>3337407041</v>
          </cell>
        </row>
        <row r="125">
          <cell r="G125">
            <v>1</v>
          </cell>
          <cell r="H125" t="str">
            <v>Within 165 feet</v>
          </cell>
          <cell r="I125">
            <v>3349560137</v>
          </cell>
        </row>
        <row r="126">
          <cell r="G126">
            <v>1</v>
          </cell>
          <cell r="H126" t="str">
            <v>Within 1 mile</v>
          </cell>
          <cell r="I126">
            <v>3337428131</v>
          </cell>
        </row>
        <row r="127">
          <cell r="G127">
            <v>15</v>
          </cell>
          <cell r="H127" t="str">
            <v>Within 165 feet</v>
          </cell>
          <cell r="I127">
            <v>3337407067</v>
          </cell>
        </row>
        <row r="128">
          <cell r="G128">
            <v>3</v>
          </cell>
          <cell r="H128" t="str">
            <v>Not verified to be within 1 mile</v>
          </cell>
          <cell r="I128">
            <v>3349559961</v>
          </cell>
        </row>
        <row r="129">
          <cell r="G129">
            <v>2</v>
          </cell>
          <cell r="H129" t="str">
            <v>Within 1 mile</v>
          </cell>
          <cell r="I129">
            <v>3352749859</v>
          </cell>
        </row>
        <row r="130">
          <cell r="G130">
            <v>2</v>
          </cell>
          <cell r="H130" t="str">
            <v>Not verified to be within 1 mile</v>
          </cell>
          <cell r="I130">
            <v>3337407118</v>
          </cell>
        </row>
        <row r="131">
          <cell r="G131">
            <v>1</v>
          </cell>
          <cell r="H131" t="str">
            <v>Within 1 mile</v>
          </cell>
          <cell r="I131">
            <v>3337407116</v>
          </cell>
        </row>
        <row r="132">
          <cell r="G132">
            <v>2</v>
          </cell>
          <cell r="H132" t="str">
            <v>Within 1 mile</v>
          </cell>
          <cell r="I132">
            <v>3352750273</v>
          </cell>
        </row>
        <row r="133">
          <cell r="G133">
            <v>1</v>
          </cell>
          <cell r="H133" t="str">
            <v>Not verified to be within 1 mile</v>
          </cell>
          <cell r="I133">
            <v>3349560072</v>
          </cell>
        </row>
        <row r="134">
          <cell r="G134">
            <v>2</v>
          </cell>
          <cell r="H134" t="str">
            <v>Not verified to be within 1 mile</v>
          </cell>
          <cell r="I134">
            <v>3349559794</v>
          </cell>
        </row>
        <row r="135">
          <cell r="G135">
            <v>4</v>
          </cell>
          <cell r="H135" t="str">
            <v>Within 40 feet</v>
          </cell>
          <cell r="I135">
            <v>3337407138</v>
          </cell>
        </row>
        <row r="136">
          <cell r="G136">
            <v>0</v>
          </cell>
          <cell r="H136" t="str">
            <v>Within 1 mile</v>
          </cell>
          <cell r="I136">
            <v>3352750212</v>
          </cell>
        </row>
        <row r="137">
          <cell r="G137">
            <v>1</v>
          </cell>
          <cell r="H137" t="str">
            <v>Not Verified to be within 1 mile</v>
          </cell>
          <cell r="I137">
            <v>3342618103</v>
          </cell>
        </row>
        <row r="138">
          <cell r="G138">
            <v>6</v>
          </cell>
          <cell r="H138" t="str">
            <v>Within 1 mile</v>
          </cell>
          <cell r="I138">
            <v>3337407183</v>
          </cell>
        </row>
        <row r="139">
          <cell r="G139">
            <v>1</v>
          </cell>
          <cell r="H139" t="str">
            <v>Within 1 mile</v>
          </cell>
          <cell r="I139">
            <v>3337428299</v>
          </cell>
        </row>
        <row r="140">
          <cell r="G140">
            <v>1</v>
          </cell>
          <cell r="H140" t="str">
            <v>Within 165 feet</v>
          </cell>
          <cell r="I140">
            <v>3337407204</v>
          </cell>
        </row>
        <row r="141">
          <cell r="G141">
            <v>4</v>
          </cell>
          <cell r="H141" t="str">
            <v>Within 40 feet</v>
          </cell>
          <cell r="I141">
            <v>3337407237</v>
          </cell>
        </row>
        <row r="142">
          <cell r="G142">
            <v>2</v>
          </cell>
          <cell r="H142" t="str">
            <v>Within 1 mile</v>
          </cell>
          <cell r="I142">
            <v>3337407254</v>
          </cell>
        </row>
        <row r="143">
          <cell r="G143">
            <v>1</v>
          </cell>
          <cell r="H143" t="str">
            <v>Not Verified to be within 1 mile</v>
          </cell>
          <cell r="I143">
            <v>3342618135</v>
          </cell>
        </row>
        <row r="144">
          <cell r="G144">
            <v>17</v>
          </cell>
          <cell r="H144" t="str">
            <v>Within 165 feet</v>
          </cell>
          <cell r="I144">
            <v>3337407277</v>
          </cell>
        </row>
        <row r="145">
          <cell r="G145">
            <v>3</v>
          </cell>
          <cell r="H145" t="str">
            <v>Within 1 mile</v>
          </cell>
          <cell r="I145">
            <v>3337428017</v>
          </cell>
        </row>
        <row r="146">
          <cell r="G146">
            <v>6</v>
          </cell>
          <cell r="H146" t="str">
            <v>Within 165 feet</v>
          </cell>
          <cell r="I146">
            <v>3337407283</v>
          </cell>
        </row>
        <row r="147">
          <cell r="G147">
            <v>2</v>
          </cell>
          <cell r="H147" t="str">
            <v>Not verified to be within 1 mile</v>
          </cell>
          <cell r="I147">
            <v>3349560031</v>
          </cell>
        </row>
        <row r="148">
          <cell r="G148">
            <v>1</v>
          </cell>
          <cell r="H148" t="str">
            <v>Within 1 mile</v>
          </cell>
          <cell r="I148">
            <v>3342617843</v>
          </cell>
        </row>
        <row r="149">
          <cell r="G149">
            <v>8</v>
          </cell>
          <cell r="H149" t="str">
            <v>Within 165 feet</v>
          </cell>
          <cell r="I149">
            <v>3337407300</v>
          </cell>
        </row>
        <row r="150">
          <cell r="G150">
            <v>2</v>
          </cell>
          <cell r="H150" t="str">
            <v>Within 165 feet</v>
          </cell>
          <cell r="I150">
            <v>3337407303</v>
          </cell>
        </row>
        <row r="151">
          <cell r="G151">
            <v>1</v>
          </cell>
          <cell r="H151" t="str">
            <v>Within 165 feet</v>
          </cell>
          <cell r="I151">
            <v>3342618041</v>
          </cell>
        </row>
        <row r="152">
          <cell r="G152">
            <v>1</v>
          </cell>
          <cell r="H152" t="str">
            <v>Within 1 mile</v>
          </cell>
          <cell r="I152">
            <v>3353098092</v>
          </cell>
        </row>
        <row r="153">
          <cell r="G153">
            <v>5</v>
          </cell>
          <cell r="H153" t="str">
            <v>Within 40 feet</v>
          </cell>
          <cell r="I153">
            <v>3353097805</v>
          </cell>
        </row>
        <row r="154">
          <cell r="G154">
            <v>8</v>
          </cell>
          <cell r="H154" t="str">
            <v>Within 40 feet</v>
          </cell>
          <cell r="I154">
            <v>3337430122</v>
          </cell>
        </row>
        <row r="155">
          <cell r="G155">
            <v>2</v>
          </cell>
          <cell r="H155" t="str">
            <v>Within 1 mile</v>
          </cell>
          <cell r="I155">
            <v>3342618390</v>
          </cell>
        </row>
        <row r="156">
          <cell r="G156">
            <v>2</v>
          </cell>
          <cell r="H156" t="str">
            <v>Within 165 feet</v>
          </cell>
          <cell r="I156">
            <v>3342618358</v>
          </cell>
        </row>
        <row r="157">
          <cell r="G157">
            <v>2</v>
          </cell>
          <cell r="H157" t="str">
            <v>Within 165 feet</v>
          </cell>
          <cell r="I157">
            <v>3342618316</v>
          </cell>
        </row>
        <row r="158">
          <cell r="G158">
            <v>1</v>
          </cell>
          <cell r="H158" t="str">
            <v>Within 165 feet</v>
          </cell>
          <cell r="I158">
            <v>3337407432</v>
          </cell>
        </row>
        <row r="159">
          <cell r="G159">
            <v>2</v>
          </cell>
          <cell r="H159" t="str">
            <v>Within 165 feet</v>
          </cell>
          <cell r="I159">
            <v>3342617461</v>
          </cell>
        </row>
        <row r="160">
          <cell r="G160">
            <v>1</v>
          </cell>
          <cell r="H160" t="str">
            <v>Not Verified to be within 1 mile</v>
          </cell>
          <cell r="I160">
            <v>3342618150</v>
          </cell>
        </row>
        <row r="161">
          <cell r="G161">
            <v>3</v>
          </cell>
          <cell r="H161" t="str">
            <v>Not Verified to be within 1 mile</v>
          </cell>
          <cell r="I161">
            <v>3342617892</v>
          </cell>
        </row>
        <row r="162">
          <cell r="G162">
            <v>2</v>
          </cell>
          <cell r="H162" t="str">
            <v>Within 165 feet</v>
          </cell>
          <cell r="I162">
            <v>3337407446</v>
          </cell>
        </row>
        <row r="163">
          <cell r="G163">
            <v>1</v>
          </cell>
          <cell r="H163" t="str">
            <v>Within 1 mile</v>
          </cell>
          <cell r="I163">
            <v>3337407462</v>
          </cell>
        </row>
        <row r="164">
          <cell r="G164">
            <v>10</v>
          </cell>
          <cell r="H164" t="str">
            <v>Within 165 feet</v>
          </cell>
          <cell r="I164">
            <v>3337407478</v>
          </cell>
        </row>
        <row r="165">
          <cell r="G165">
            <v>15</v>
          </cell>
          <cell r="H165" t="str">
            <v>Within 40 feet</v>
          </cell>
          <cell r="I165">
            <v>3337407492</v>
          </cell>
        </row>
        <row r="166">
          <cell r="G166">
            <v>2</v>
          </cell>
          <cell r="H166" t="str">
            <v>Within 1 mile</v>
          </cell>
          <cell r="I166">
            <v>3337407495</v>
          </cell>
        </row>
        <row r="167">
          <cell r="G167">
            <v>4</v>
          </cell>
          <cell r="H167" t="str">
            <v>Within 40 feet</v>
          </cell>
          <cell r="I167">
            <v>3349559549</v>
          </cell>
        </row>
        <row r="168">
          <cell r="G168">
            <v>5</v>
          </cell>
          <cell r="H168" t="str">
            <v>Within 165 feet</v>
          </cell>
          <cell r="I168">
            <v>3337407512</v>
          </cell>
        </row>
        <row r="169">
          <cell r="G169">
            <v>2</v>
          </cell>
          <cell r="H169" t="str">
            <v>Not Verified to be within 1 mile</v>
          </cell>
          <cell r="I169">
            <v>3342618415</v>
          </cell>
        </row>
        <row r="170">
          <cell r="G170">
            <v>3</v>
          </cell>
          <cell r="H170" t="str">
            <v>Within 40 feet</v>
          </cell>
          <cell r="I170">
            <v>3337407551</v>
          </cell>
        </row>
        <row r="171">
          <cell r="G171">
            <v>2</v>
          </cell>
          <cell r="H171" t="str">
            <v>Within 40 feet</v>
          </cell>
          <cell r="I171">
            <v>3353097803</v>
          </cell>
        </row>
        <row r="172">
          <cell r="G172">
            <v>1</v>
          </cell>
          <cell r="H172" t="str">
            <v>Within 165 feet</v>
          </cell>
          <cell r="I172">
            <v>3342618045</v>
          </cell>
        </row>
        <row r="173">
          <cell r="G173">
            <v>3</v>
          </cell>
          <cell r="H173" t="str">
            <v>Within 1 mile</v>
          </cell>
          <cell r="I173">
            <v>3342618189</v>
          </cell>
        </row>
        <row r="174">
          <cell r="G174">
            <v>3</v>
          </cell>
          <cell r="H174" t="str">
            <v>Within 165 feet</v>
          </cell>
          <cell r="I174">
            <v>3349559930</v>
          </cell>
        </row>
        <row r="175">
          <cell r="G175">
            <v>6</v>
          </cell>
          <cell r="H175" t="str">
            <v>Within 1 mile</v>
          </cell>
          <cell r="I175">
            <v>3337407591</v>
          </cell>
        </row>
        <row r="176">
          <cell r="G176">
            <v>2</v>
          </cell>
          <cell r="H176" t="str">
            <v>Within 165 feet</v>
          </cell>
          <cell r="I176">
            <v>3337407592</v>
          </cell>
        </row>
        <row r="177">
          <cell r="G177">
            <v>2</v>
          </cell>
          <cell r="H177" t="str">
            <v>Not Verified to be within 1 mile</v>
          </cell>
          <cell r="I177">
            <v>3342618257</v>
          </cell>
        </row>
        <row r="178">
          <cell r="G178">
            <v>1</v>
          </cell>
          <cell r="H178" t="str">
            <v>Within 1 mile</v>
          </cell>
          <cell r="I178">
            <v>3353097518</v>
          </cell>
        </row>
        <row r="179">
          <cell r="G179">
            <v>2</v>
          </cell>
          <cell r="H179" t="str">
            <v>Within 165 feet</v>
          </cell>
          <cell r="I179">
            <v>3352750017</v>
          </cell>
        </row>
        <row r="180">
          <cell r="G180">
            <v>1</v>
          </cell>
          <cell r="H180" t="str">
            <v>Within 1 mile</v>
          </cell>
          <cell r="I180">
            <v>3337407624</v>
          </cell>
        </row>
        <row r="181">
          <cell r="G181">
            <v>2</v>
          </cell>
          <cell r="H181" t="str">
            <v>Within 165 feet</v>
          </cell>
          <cell r="I181">
            <v>3349559689</v>
          </cell>
        </row>
        <row r="182">
          <cell r="G182">
            <v>1</v>
          </cell>
          <cell r="H182" t="str">
            <v>Not Verified to be within 1 mile</v>
          </cell>
          <cell r="I182">
            <v>3337407636</v>
          </cell>
        </row>
        <row r="183">
          <cell r="G183">
            <v>2</v>
          </cell>
          <cell r="H183" t="str">
            <v>Within 40 feet</v>
          </cell>
          <cell r="I183">
            <v>3352750117</v>
          </cell>
        </row>
        <row r="184">
          <cell r="G184">
            <v>1</v>
          </cell>
          <cell r="H184" t="str">
            <v>Not verified to be within 1 mile</v>
          </cell>
          <cell r="I184">
            <v>3349559951</v>
          </cell>
        </row>
        <row r="185">
          <cell r="G185">
            <v>2</v>
          </cell>
          <cell r="H185" t="str">
            <v>Within 165 feet</v>
          </cell>
          <cell r="I185">
            <v>3337407673</v>
          </cell>
        </row>
        <row r="186">
          <cell r="G186">
            <v>2</v>
          </cell>
          <cell r="H186" t="str">
            <v>Within 165 feet</v>
          </cell>
          <cell r="I186">
            <v>3342618421</v>
          </cell>
        </row>
        <row r="187">
          <cell r="G187">
            <v>3</v>
          </cell>
          <cell r="H187" t="str">
            <v>Within 1 mile</v>
          </cell>
          <cell r="I187">
            <v>3337407696</v>
          </cell>
        </row>
        <row r="188">
          <cell r="G188">
            <v>1</v>
          </cell>
          <cell r="H188" t="str">
            <v>Within 1 mile</v>
          </cell>
          <cell r="I188">
            <v>3337407698</v>
          </cell>
        </row>
        <row r="189">
          <cell r="G189">
            <v>2</v>
          </cell>
          <cell r="H189" t="str">
            <v>Within 165 feet</v>
          </cell>
          <cell r="I189">
            <v>3349559674</v>
          </cell>
        </row>
        <row r="190">
          <cell r="G190">
            <v>1</v>
          </cell>
          <cell r="H190" t="str">
            <v>Within 40 feet</v>
          </cell>
          <cell r="I190">
            <v>3349559551</v>
          </cell>
        </row>
        <row r="191">
          <cell r="G191">
            <v>2</v>
          </cell>
          <cell r="H191" t="str">
            <v>Not verified to be within 1 mile</v>
          </cell>
          <cell r="I191">
            <v>3337407717</v>
          </cell>
        </row>
        <row r="192">
          <cell r="G192">
            <v>2</v>
          </cell>
          <cell r="H192" t="str">
            <v>Within 1 mile</v>
          </cell>
          <cell r="I192">
            <v>3352749858</v>
          </cell>
        </row>
        <row r="193">
          <cell r="G193">
            <v>1</v>
          </cell>
          <cell r="H193" t="str">
            <v>Within 1 mile</v>
          </cell>
          <cell r="I193">
            <v>3337428694</v>
          </cell>
        </row>
        <row r="194">
          <cell r="G194">
            <v>34</v>
          </cell>
          <cell r="H194" t="str">
            <v>Within 40 feet</v>
          </cell>
          <cell r="I194">
            <v>3337407745</v>
          </cell>
        </row>
        <row r="195">
          <cell r="G195">
            <v>8</v>
          </cell>
          <cell r="H195" t="str">
            <v>Within 40 feet</v>
          </cell>
          <cell r="I195">
            <v>3352750349</v>
          </cell>
        </row>
        <row r="196">
          <cell r="G196">
            <v>2</v>
          </cell>
          <cell r="H196" t="str">
            <v>Within 165 feet</v>
          </cell>
          <cell r="I196">
            <v>3337428160</v>
          </cell>
        </row>
        <row r="197">
          <cell r="G197">
            <v>1</v>
          </cell>
          <cell r="H197" t="str">
            <v>Not Verified to be within 1 mile</v>
          </cell>
          <cell r="I197">
            <v>3337407749</v>
          </cell>
        </row>
        <row r="198">
          <cell r="G198">
            <v>2</v>
          </cell>
          <cell r="H198" t="str">
            <v>Not Verified to be within 1 mile</v>
          </cell>
          <cell r="I198">
            <v>3337407750</v>
          </cell>
        </row>
        <row r="199">
          <cell r="G199">
            <v>1</v>
          </cell>
          <cell r="H199" t="str">
            <v>Not Verified to be within 1 mile</v>
          </cell>
          <cell r="I199">
            <v>3342618313</v>
          </cell>
        </row>
        <row r="200">
          <cell r="G200">
            <v>1</v>
          </cell>
          <cell r="H200" t="str">
            <v>Within 1 mile</v>
          </cell>
          <cell r="I200">
            <v>3337428335</v>
          </cell>
        </row>
        <row r="201">
          <cell r="G201">
            <v>1</v>
          </cell>
          <cell r="H201" t="str">
            <v>Within 1 mile</v>
          </cell>
          <cell r="I201">
            <v>3342618000</v>
          </cell>
        </row>
        <row r="202">
          <cell r="G202">
            <v>4</v>
          </cell>
          <cell r="H202" t="str">
            <v>Within 165 feet</v>
          </cell>
          <cell r="I202">
            <v>3337407783</v>
          </cell>
        </row>
        <row r="203">
          <cell r="G203">
            <v>3</v>
          </cell>
          <cell r="H203" t="str">
            <v>Within 165 feet</v>
          </cell>
          <cell r="I203">
            <v>3337407785</v>
          </cell>
        </row>
        <row r="204">
          <cell r="G204">
            <v>4</v>
          </cell>
          <cell r="H204" t="str">
            <v>Not Verified to be within 1 mile</v>
          </cell>
          <cell r="I204">
            <v>3342618139</v>
          </cell>
        </row>
        <row r="205">
          <cell r="G205">
            <v>2</v>
          </cell>
          <cell r="H205" t="str">
            <v>Within 1 mile</v>
          </cell>
          <cell r="I205">
            <v>3342618180</v>
          </cell>
        </row>
        <row r="206">
          <cell r="G206">
            <v>4</v>
          </cell>
          <cell r="H206" t="str">
            <v>Not verified to be within 1 mile</v>
          </cell>
          <cell r="I206">
            <v>3349559718</v>
          </cell>
        </row>
        <row r="207">
          <cell r="G207">
            <v>2</v>
          </cell>
          <cell r="H207" t="str">
            <v>Within 1 mile</v>
          </cell>
          <cell r="I207">
            <v>3352750215</v>
          </cell>
        </row>
        <row r="208">
          <cell r="G208">
            <v>1</v>
          </cell>
          <cell r="H208" t="str">
            <v>Within 165 feet</v>
          </cell>
          <cell r="I208">
            <v>3342618263</v>
          </cell>
        </row>
        <row r="209">
          <cell r="G209">
            <v>23</v>
          </cell>
          <cell r="H209" t="str">
            <v>Within 40 feet</v>
          </cell>
          <cell r="I209">
            <v>3337407825</v>
          </cell>
        </row>
        <row r="210">
          <cell r="G210">
            <v>1</v>
          </cell>
          <cell r="H210" t="str">
            <v>Not verified to be within 1 mile</v>
          </cell>
          <cell r="I210">
            <v>3349559962</v>
          </cell>
        </row>
        <row r="211">
          <cell r="G211">
            <v>1</v>
          </cell>
          <cell r="H211" t="str">
            <v>Within 1 mile</v>
          </cell>
          <cell r="I211">
            <v>3337407830</v>
          </cell>
        </row>
        <row r="212">
          <cell r="G212">
            <v>5</v>
          </cell>
          <cell r="H212" t="str">
            <v>Within 40 feet</v>
          </cell>
          <cell r="I212">
            <v>3337407839</v>
          </cell>
        </row>
        <row r="213">
          <cell r="G213">
            <v>1</v>
          </cell>
          <cell r="H213" t="str">
            <v>Not verified to be within 1 mile</v>
          </cell>
          <cell r="I213">
            <v>3349560338</v>
          </cell>
        </row>
        <row r="214">
          <cell r="G214">
            <v>2</v>
          </cell>
          <cell r="H214" t="str">
            <v>Within 165 feet</v>
          </cell>
          <cell r="I214">
            <v>3337407856</v>
          </cell>
        </row>
        <row r="215">
          <cell r="G215">
            <v>3</v>
          </cell>
          <cell r="H215" t="str">
            <v>Within 1 mile</v>
          </cell>
          <cell r="I215">
            <v>3337407871</v>
          </cell>
        </row>
        <row r="216">
          <cell r="G216">
            <v>4</v>
          </cell>
          <cell r="H216" t="str">
            <v>Within 1 mile</v>
          </cell>
          <cell r="I216">
            <v>3337427710</v>
          </cell>
        </row>
        <row r="217">
          <cell r="G217">
            <v>3</v>
          </cell>
          <cell r="H217" t="str">
            <v>Within 165 feet</v>
          </cell>
          <cell r="I217">
            <v>3337407876</v>
          </cell>
        </row>
        <row r="218">
          <cell r="G218">
            <v>2</v>
          </cell>
          <cell r="H218" t="str">
            <v>Within 40 feet</v>
          </cell>
          <cell r="I218">
            <v>3337407878</v>
          </cell>
        </row>
        <row r="219">
          <cell r="G219">
            <v>2</v>
          </cell>
          <cell r="H219" t="str">
            <v>Within 165 feet</v>
          </cell>
          <cell r="I219">
            <v>3349560168</v>
          </cell>
        </row>
        <row r="220">
          <cell r="G220">
            <v>4</v>
          </cell>
          <cell r="H220" t="str">
            <v>Within 165 feet</v>
          </cell>
          <cell r="I220">
            <v>3352750222</v>
          </cell>
        </row>
        <row r="221">
          <cell r="G221">
            <v>3</v>
          </cell>
          <cell r="H221" t="str">
            <v>Within 40 feet</v>
          </cell>
          <cell r="I221">
            <v>3337407899</v>
          </cell>
        </row>
        <row r="222">
          <cell r="G222">
            <v>2</v>
          </cell>
          <cell r="H222" t="str">
            <v>Within 165 feet</v>
          </cell>
          <cell r="I222">
            <v>3338290448</v>
          </cell>
        </row>
        <row r="223">
          <cell r="G223">
            <v>0</v>
          </cell>
          <cell r="H223" t="str">
            <v>Within 40 feet</v>
          </cell>
          <cell r="I223">
            <v>3337407919</v>
          </cell>
        </row>
        <row r="224">
          <cell r="G224">
            <v>2</v>
          </cell>
          <cell r="H224" t="str">
            <v>Within 165 feet</v>
          </cell>
          <cell r="I224">
            <v>3342617952</v>
          </cell>
        </row>
        <row r="225">
          <cell r="G225">
            <v>3</v>
          </cell>
          <cell r="H225" t="str">
            <v>Within 1 mile</v>
          </cell>
          <cell r="I225">
            <v>3337407968</v>
          </cell>
        </row>
        <row r="226">
          <cell r="G226">
            <v>2</v>
          </cell>
          <cell r="H226" t="str">
            <v>Within 165 feet</v>
          </cell>
          <cell r="I226">
            <v>3337407977</v>
          </cell>
        </row>
        <row r="227">
          <cell r="G227">
            <v>1</v>
          </cell>
          <cell r="H227" t="str">
            <v>Not verified to be within 1 mile</v>
          </cell>
          <cell r="I227">
            <v>3349560205</v>
          </cell>
        </row>
        <row r="228">
          <cell r="G228">
            <v>3</v>
          </cell>
          <cell r="H228" t="str">
            <v>Within 165 feet</v>
          </cell>
          <cell r="I228">
            <v>3337407984</v>
          </cell>
        </row>
        <row r="229">
          <cell r="G229">
            <v>11</v>
          </cell>
          <cell r="H229" t="str">
            <v>Within 40 feet</v>
          </cell>
          <cell r="I229">
            <v>3337408001</v>
          </cell>
        </row>
        <row r="230">
          <cell r="G230">
            <v>1</v>
          </cell>
          <cell r="H230" t="str">
            <v>Within 1 mile</v>
          </cell>
          <cell r="I230">
            <v>3337408003</v>
          </cell>
        </row>
        <row r="231">
          <cell r="G231">
            <v>2</v>
          </cell>
          <cell r="H231" t="str">
            <v>Within 40 feet</v>
          </cell>
          <cell r="I231">
            <v>3353097874</v>
          </cell>
        </row>
        <row r="232">
          <cell r="G232">
            <v>6</v>
          </cell>
          <cell r="H232" t="str">
            <v>Within 165 feet</v>
          </cell>
          <cell r="I232">
            <v>3349559970</v>
          </cell>
        </row>
        <row r="233">
          <cell r="G233">
            <v>1</v>
          </cell>
          <cell r="H233" t="str">
            <v>Not verified to be within 1 mile</v>
          </cell>
          <cell r="I233">
            <v>3349559998</v>
          </cell>
        </row>
        <row r="234">
          <cell r="G234">
            <v>2</v>
          </cell>
          <cell r="H234" t="str">
            <v>Within 1 mile</v>
          </cell>
          <cell r="I234">
            <v>3337408026</v>
          </cell>
        </row>
        <row r="235">
          <cell r="G235">
            <v>4</v>
          </cell>
          <cell r="H235" t="str">
            <v>Within 40 feet</v>
          </cell>
          <cell r="I235">
            <v>3337408044</v>
          </cell>
        </row>
        <row r="236">
          <cell r="G236">
            <v>2</v>
          </cell>
          <cell r="H236" t="str">
            <v>Within 165 feet</v>
          </cell>
          <cell r="I236">
            <v>3338155032</v>
          </cell>
        </row>
        <row r="237">
          <cell r="G237">
            <v>2</v>
          </cell>
          <cell r="H237" t="str">
            <v>Within 1 mile</v>
          </cell>
          <cell r="I237">
            <v>3342617832</v>
          </cell>
        </row>
        <row r="238">
          <cell r="G238">
            <v>2</v>
          </cell>
          <cell r="H238" t="str">
            <v>Within 1 mile</v>
          </cell>
          <cell r="I238">
            <v>3352749888</v>
          </cell>
        </row>
        <row r="239">
          <cell r="G239">
            <v>1</v>
          </cell>
          <cell r="H239" t="str">
            <v>Within 1 mile</v>
          </cell>
          <cell r="I239">
            <v>3337428031</v>
          </cell>
        </row>
        <row r="240">
          <cell r="G240">
            <v>12</v>
          </cell>
          <cell r="H240" t="str">
            <v>Within 40 feet</v>
          </cell>
          <cell r="I240">
            <v>3337408135</v>
          </cell>
        </row>
        <row r="241">
          <cell r="G241">
            <v>3</v>
          </cell>
          <cell r="H241" t="str">
            <v>Within 1 mile</v>
          </cell>
          <cell r="I241">
            <v>3337427407</v>
          </cell>
        </row>
        <row r="242">
          <cell r="G242">
            <v>1</v>
          </cell>
          <cell r="H242" t="str">
            <v>Within 165 feet</v>
          </cell>
          <cell r="I242">
            <v>3337408146</v>
          </cell>
        </row>
        <row r="243">
          <cell r="G243">
            <v>1</v>
          </cell>
          <cell r="H243" t="str">
            <v>Within 40 feet</v>
          </cell>
          <cell r="I243">
            <v>3349559641</v>
          </cell>
        </row>
        <row r="244">
          <cell r="G244">
            <v>1</v>
          </cell>
          <cell r="H244" t="str">
            <v>Within 40 feet</v>
          </cell>
          <cell r="I244">
            <v>3337408167</v>
          </cell>
        </row>
        <row r="245">
          <cell r="G245">
            <v>1</v>
          </cell>
          <cell r="H245" t="str">
            <v>Not verified to be within 1 mile</v>
          </cell>
          <cell r="I245">
            <v>3349559856</v>
          </cell>
        </row>
        <row r="246">
          <cell r="G246">
            <v>2</v>
          </cell>
          <cell r="H246" t="str">
            <v>Within 1 mile</v>
          </cell>
          <cell r="I246">
            <v>3342617895</v>
          </cell>
        </row>
        <row r="247">
          <cell r="G247">
            <v>3</v>
          </cell>
          <cell r="H247" t="str">
            <v>Within 1 mile</v>
          </cell>
          <cell r="I247">
            <v>3337428310</v>
          </cell>
        </row>
        <row r="248">
          <cell r="G248">
            <v>1</v>
          </cell>
          <cell r="H248" t="str">
            <v>Not Verified to be within 1 mile</v>
          </cell>
          <cell r="I248">
            <v>3342618279</v>
          </cell>
        </row>
        <row r="249">
          <cell r="G249">
            <v>3</v>
          </cell>
          <cell r="H249" t="str">
            <v>Not Verified to be within 1 mile</v>
          </cell>
          <cell r="I249">
            <v>3342618204</v>
          </cell>
        </row>
        <row r="250">
          <cell r="G250">
            <v>4</v>
          </cell>
          <cell r="H250" t="str">
            <v>Within 165 feet</v>
          </cell>
          <cell r="I250">
            <v>3337408230</v>
          </cell>
        </row>
        <row r="251">
          <cell r="G251">
            <v>2</v>
          </cell>
          <cell r="H251" t="str">
            <v>Within 1 mile</v>
          </cell>
          <cell r="I251">
            <v>3337428233</v>
          </cell>
        </row>
        <row r="252">
          <cell r="G252">
            <v>1</v>
          </cell>
          <cell r="H252" t="str">
            <v>Within 1 mile</v>
          </cell>
          <cell r="I252">
            <v>3337408235</v>
          </cell>
        </row>
        <row r="253">
          <cell r="G253">
            <v>2</v>
          </cell>
          <cell r="H253" t="str">
            <v>Within 1 mile</v>
          </cell>
          <cell r="I253">
            <v>3342617817</v>
          </cell>
        </row>
        <row r="254">
          <cell r="G254">
            <v>2</v>
          </cell>
          <cell r="H254" t="str">
            <v>Not Verified to be within 1 mile</v>
          </cell>
          <cell r="I254">
            <v>3342618337</v>
          </cell>
        </row>
        <row r="255">
          <cell r="G255">
            <v>1</v>
          </cell>
          <cell r="H255" t="str">
            <v>Within 1 mile</v>
          </cell>
          <cell r="I255">
            <v>3353097795</v>
          </cell>
        </row>
        <row r="256">
          <cell r="G256">
            <v>1</v>
          </cell>
          <cell r="H256" t="str">
            <v>Within 1 mile</v>
          </cell>
          <cell r="I256">
            <v>3337408270</v>
          </cell>
        </row>
        <row r="257">
          <cell r="G257">
            <v>1</v>
          </cell>
          <cell r="H257" t="str">
            <v>Within 1 mile</v>
          </cell>
          <cell r="I257">
            <v>3337408281</v>
          </cell>
        </row>
        <row r="258">
          <cell r="G258">
            <v>1</v>
          </cell>
          <cell r="H258" t="str">
            <v>Not verified to be within 1 mile</v>
          </cell>
          <cell r="I258">
            <v>3349560015</v>
          </cell>
        </row>
        <row r="259">
          <cell r="G259">
            <v>8</v>
          </cell>
          <cell r="H259" t="str">
            <v>Not Verified to be within 1 mile</v>
          </cell>
          <cell r="I259">
            <v>3337408287</v>
          </cell>
        </row>
        <row r="260">
          <cell r="G260">
            <v>2</v>
          </cell>
          <cell r="H260" t="str">
            <v>Not Verified to be within 1 mile</v>
          </cell>
          <cell r="I260">
            <v>3337408295</v>
          </cell>
        </row>
        <row r="261">
          <cell r="G261">
            <v>4</v>
          </cell>
          <cell r="H261" t="str">
            <v>Within 1 mile</v>
          </cell>
          <cell r="I261">
            <v>3337408315</v>
          </cell>
        </row>
        <row r="262">
          <cell r="G262">
            <v>2</v>
          </cell>
          <cell r="H262" t="str">
            <v>Within 1 mile</v>
          </cell>
          <cell r="I262">
            <v>3337408321</v>
          </cell>
        </row>
        <row r="263">
          <cell r="G263">
            <v>2</v>
          </cell>
          <cell r="H263" t="str">
            <v>Within 165 feet</v>
          </cell>
          <cell r="I263">
            <v>3349559761</v>
          </cell>
        </row>
        <row r="264">
          <cell r="G264">
            <v>1</v>
          </cell>
          <cell r="H264" t="str">
            <v>Not verified to be within 1 mile</v>
          </cell>
          <cell r="I264">
            <v>3349559960</v>
          </cell>
        </row>
        <row r="265">
          <cell r="G265">
            <v>2</v>
          </cell>
          <cell r="H265" t="str">
            <v>Not Verified to be within 1 mile</v>
          </cell>
          <cell r="I265">
            <v>3342618283</v>
          </cell>
        </row>
        <row r="266">
          <cell r="G266">
            <v>5</v>
          </cell>
          <cell r="H266" t="str">
            <v>Within 40 feet</v>
          </cell>
          <cell r="I266">
            <v>3349559511</v>
          </cell>
        </row>
        <row r="267">
          <cell r="G267">
            <v>1</v>
          </cell>
          <cell r="H267" t="str">
            <v>Within 1 mile</v>
          </cell>
          <cell r="I267">
            <v>3352749990</v>
          </cell>
        </row>
        <row r="268">
          <cell r="G268">
            <v>3</v>
          </cell>
          <cell r="H268" t="str">
            <v>Not verified to be within 1 mile</v>
          </cell>
          <cell r="I268">
            <v>3337408409</v>
          </cell>
        </row>
        <row r="269">
          <cell r="G269">
            <v>3</v>
          </cell>
          <cell r="H269" t="str">
            <v>Within 1 mile</v>
          </cell>
          <cell r="I269">
            <v>3337408420</v>
          </cell>
        </row>
        <row r="270">
          <cell r="G270">
            <v>4</v>
          </cell>
          <cell r="H270" t="str">
            <v>Within 40 feet</v>
          </cell>
          <cell r="I270">
            <v>3337408422</v>
          </cell>
        </row>
        <row r="271">
          <cell r="G271">
            <v>3</v>
          </cell>
          <cell r="H271" t="str">
            <v>Within 1 mile</v>
          </cell>
          <cell r="I271">
            <v>3337408462</v>
          </cell>
        </row>
        <row r="272">
          <cell r="G272">
            <v>2</v>
          </cell>
          <cell r="H272" t="str">
            <v>Within 1 mile</v>
          </cell>
          <cell r="I272">
            <v>3342618365</v>
          </cell>
        </row>
        <row r="273">
          <cell r="G273">
            <v>11</v>
          </cell>
          <cell r="H273" t="str">
            <v>Within 165 feet</v>
          </cell>
          <cell r="I273">
            <v>3337408470</v>
          </cell>
        </row>
        <row r="274">
          <cell r="G274">
            <v>2</v>
          </cell>
          <cell r="H274" t="str">
            <v>Not Verified to be within 1 mile</v>
          </cell>
          <cell r="I274">
            <v>3342618146</v>
          </cell>
        </row>
        <row r="275">
          <cell r="G275">
            <v>2</v>
          </cell>
          <cell r="H275" t="str">
            <v>Within 1 mile</v>
          </cell>
          <cell r="I275">
            <v>3342618380</v>
          </cell>
        </row>
        <row r="276">
          <cell r="G276">
            <v>4</v>
          </cell>
          <cell r="H276" t="str">
            <v>Within 165 feet</v>
          </cell>
          <cell r="I276">
            <v>3349559763</v>
          </cell>
        </row>
        <row r="277">
          <cell r="G277">
            <v>10</v>
          </cell>
          <cell r="H277" t="str">
            <v>Within 165 feet</v>
          </cell>
          <cell r="I277">
            <v>3337408558</v>
          </cell>
        </row>
        <row r="278">
          <cell r="G278">
            <v>1</v>
          </cell>
          <cell r="H278" t="str">
            <v>Within 1 mile</v>
          </cell>
          <cell r="I278">
            <v>3337428281</v>
          </cell>
        </row>
        <row r="279">
          <cell r="G279">
            <v>2</v>
          </cell>
          <cell r="H279" t="str">
            <v>Within 1 mile</v>
          </cell>
          <cell r="I279">
            <v>3337408594</v>
          </cell>
        </row>
        <row r="280">
          <cell r="G280">
            <v>4</v>
          </cell>
          <cell r="H280" t="str">
            <v>Within 40 feet</v>
          </cell>
          <cell r="I280">
            <v>3337408593</v>
          </cell>
        </row>
        <row r="281">
          <cell r="G281">
            <v>4</v>
          </cell>
          <cell r="H281" t="str">
            <v>Within 40 feet</v>
          </cell>
          <cell r="I281">
            <v>3337408606</v>
          </cell>
        </row>
        <row r="282">
          <cell r="G282">
            <v>2</v>
          </cell>
          <cell r="H282" t="str">
            <v>Not verified to be within 1 mile</v>
          </cell>
          <cell r="I282">
            <v>3349560085</v>
          </cell>
        </row>
        <row r="283">
          <cell r="G283">
            <v>1</v>
          </cell>
          <cell r="H283" t="str">
            <v>Within 1 mile</v>
          </cell>
          <cell r="I283">
            <v>3337428291</v>
          </cell>
        </row>
        <row r="284">
          <cell r="G284">
            <v>1</v>
          </cell>
          <cell r="H284" t="str">
            <v>Not Verified to be within 1 mile</v>
          </cell>
          <cell r="I284">
            <v>3342618164</v>
          </cell>
        </row>
        <row r="285">
          <cell r="G285">
            <v>3</v>
          </cell>
          <cell r="H285" t="str">
            <v>Within 165 feet</v>
          </cell>
          <cell r="I285">
            <v>3342618217</v>
          </cell>
        </row>
        <row r="286">
          <cell r="G286">
            <v>1</v>
          </cell>
          <cell r="H286" t="str">
            <v>Not verified to be within 1 mile</v>
          </cell>
          <cell r="I286">
            <v>3349559717</v>
          </cell>
        </row>
        <row r="287">
          <cell r="G287">
            <v>2</v>
          </cell>
          <cell r="H287" t="str">
            <v>Within 40 feet</v>
          </cell>
          <cell r="I287">
            <v>3353097902</v>
          </cell>
        </row>
        <row r="288">
          <cell r="G288">
            <v>2</v>
          </cell>
          <cell r="H288" t="str">
            <v>Within 40 feet</v>
          </cell>
          <cell r="I288">
            <v>3349559561</v>
          </cell>
        </row>
        <row r="289">
          <cell r="G289">
            <v>2</v>
          </cell>
          <cell r="H289" t="str">
            <v>Within 165 feet</v>
          </cell>
          <cell r="I289">
            <v>3349559712</v>
          </cell>
        </row>
        <row r="290">
          <cell r="G290">
            <v>7</v>
          </cell>
          <cell r="H290" t="str">
            <v>Within 165 feet</v>
          </cell>
          <cell r="I290">
            <v>3337408698</v>
          </cell>
        </row>
        <row r="291">
          <cell r="G291">
            <v>1</v>
          </cell>
          <cell r="H291" t="str">
            <v>Not verified to be within 1 mile</v>
          </cell>
          <cell r="I291">
            <v>3349559934</v>
          </cell>
        </row>
        <row r="292">
          <cell r="G292">
            <v>1</v>
          </cell>
          <cell r="H292" t="str">
            <v>Within 1 mile</v>
          </cell>
          <cell r="I292">
            <v>3337408707</v>
          </cell>
        </row>
        <row r="293">
          <cell r="G293">
            <v>1</v>
          </cell>
          <cell r="H293" t="str">
            <v>Not verified to be within 1 mile</v>
          </cell>
          <cell r="I293">
            <v>3349560238</v>
          </cell>
        </row>
        <row r="294">
          <cell r="G294">
            <v>4</v>
          </cell>
          <cell r="H294" t="str">
            <v>Within 165 feet</v>
          </cell>
          <cell r="I294">
            <v>3342618104</v>
          </cell>
        </row>
        <row r="295">
          <cell r="G295">
            <v>4</v>
          </cell>
          <cell r="H295" t="str">
            <v>Within 1 mile</v>
          </cell>
          <cell r="I295">
            <v>3337408757</v>
          </cell>
        </row>
        <row r="296">
          <cell r="G296">
            <v>3</v>
          </cell>
          <cell r="H296" t="str">
            <v>Within 1 mile</v>
          </cell>
          <cell r="I296">
            <v>3337428082</v>
          </cell>
        </row>
        <row r="297">
          <cell r="G297">
            <v>1</v>
          </cell>
          <cell r="H297" t="str">
            <v>Within 1 mile</v>
          </cell>
          <cell r="I297">
            <v>3337408809</v>
          </cell>
        </row>
        <row r="298">
          <cell r="G298">
            <v>1</v>
          </cell>
          <cell r="H298" t="str">
            <v>Not Verified to be within 1 mile</v>
          </cell>
          <cell r="I298">
            <v>3342618220</v>
          </cell>
        </row>
        <row r="299">
          <cell r="G299">
            <v>2</v>
          </cell>
          <cell r="H299" t="str">
            <v>Not Verified to be within 1 mile</v>
          </cell>
          <cell r="I299">
            <v>3337408817</v>
          </cell>
        </row>
        <row r="300">
          <cell r="G300">
            <v>6</v>
          </cell>
          <cell r="H300" t="str">
            <v>Within 40 feet</v>
          </cell>
          <cell r="I300">
            <v>3337408830</v>
          </cell>
        </row>
        <row r="301">
          <cell r="G301">
            <v>1</v>
          </cell>
          <cell r="H301" t="str">
            <v>Within 1 mile</v>
          </cell>
          <cell r="I301">
            <v>3342618377</v>
          </cell>
        </row>
        <row r="302">
          <cell r="G302">
            <v>2</v>
          </cell>
          <cell r="H302" t="str">
            <v>Within 1 mile</v>
          </cell>
          <cell r="I302">
            <v>3353098144</v>
          </cell>
        </row>
        <row r="303">
          <cell r="G303">
            <v>1</v>
          </cell>
          <cell r="H303" t="str">
            <v>Within 1 mile</v>
          </cell>
          <cell r="I303">
            <v>3337408846</v>
          </cell>
        </row>
        <row r="304">
          <cell r="G304">
            <v>2</v>
          </cell>
          <cell r="H304" t="str">
            <v>Within 165 feet</v>
          </cell>
          <cell r="I304">
            <v>3337408852</v>
          </cell>
        </row>
        <row r="305">
          <cell r="G305">
            <v>1</v>
          </cell>
          <cell r="H305" t="str">
            <v>Within 1 mile</v>
          </cell>
          <cell r="I305">
            <v>3352749880</v>
          </cell>
        </row>
        <row r="306">
          <cell r="G306">
            <v>11</v>
          </cell>
          <cell r="H306" t="str">
            <v>Within 165 feet</v>
          </cell>
          <cell r="I306">
            <v>3337408861</v>
          </cell>
        </row>
        <row r="307">
          <cell r="G307">
            <v>5</v>
          </cell>
          <cell r="H307" t="str">
            <v>Within 165 feet</v>
          </cell>
          <cell r="I307">
            <v>3342617938</v>
          </cell>
        </row>
        <row r="308">
          <cell r="G308">
            <v>1</v>
          </cell>
          <cell r="H308" t="str">
            <v>Within 165 feet</v>
          </cell>
          <cell r="I308">
            <v>3342617899</v>
          </cell>
        </row>
        <row r="309">
          <cell r="G309">
            <v>2</v>
          </cell>
          <cell r="H309" t="str">
            <v>Within 40 feet</v>
          </cell>
          <cell r="I309">
            <v>3337408868</v>
          </cell>
        </row>
        <row r="310">
          <cell r="G310">
            <v>3</v>
          </cell>
          <cell r="H310" t="str">
            <v>Within 1 mile</v>
          </cell>
          <cell r="I310">
            <v>3353097787</v>
          </cell>
        </row>
        <row r="311">
          <cell r="G311">
            <v>2</v>
          </cell>
          <cell r="H311" t="str">
            <v>Within 40 feet</v>
          </cell>
          <cell r="I311">
            <v>3349559512</v>
          </cell>
        </row>
        <row r="312">
          <cell r="G312">
            <v>3</v>
          </cell>
          <cell r="H312" t="str">
            <v>Within 165 feet</v>
          </cell>
          <cell r="I312">
            <v>3337408897</v>
          </cell>
        </row>
        <row r="313">
          <cell r="G313">
            <v>6</v>
          </cell>
          <cell r="H313" t="str">
            <v>Within 1 mile</v>
          </cell>
          <cell r="I313">
            <v>3337408908</v>
          </cell>
        </row>
        <row r="314">
          <cell r="G314">
            <v>2</v>
          </cell>
          <cell r="H314" t="str">
            <v>Within 1 mile</v>
          </cell>
          <cell r="I314">
            <v>3337428278</v>
          </cell>
        </row>
        <row r="315">
          <cell r="G315">
            <v>3</v>
          </cell>
          <cell r="H315" t="str">
            <v>Within 165 feet</v>
          </cell>
          <cell r="I315">
            <v>3337408917</v>
          </cell>
        </row>
        <row r="316">
          <cell r="G316">
            <v>3</v>
          </cell>
          <cell r="H316" t="str">
            <v>Within 165 feet</v>
          </cell>
          <cell r="I316">
            <v>3349559758</v>
          </cell>
        </row>
        <row r="317">
          <cell r="G317">
            <v>3</v>
          </cell>
          <cell r="H317" t="str">
            <v>Not verified to be within 1 mile</v>
          </cell>
          <cell r="I317">
            <v>3365669814</v>
          </cell>
        </row>
        <row r="318">
          <cell r="G318">
            <v>5</v>
          </cell>
          <cell r="H318" t="str">
            <v>Within 165 feet</v>
          </cell>
          <cell r="I318">
            <v>3337408977</v>
          </cell>
        </row>
        <row r="319">
          <cell r="G319">
            <v>2</v>
          </cell>
          <cell r="H319" t="str">
            <v>Within 1 mile</v>
          </cell>
          <cell r="I319">
            <v>3342617894</v>
          </cell>
        </row>
        <row r="320">
          <cell r="G320">
            <v>1</v>
          </cell>
          <cell r="H320" t="str">
            <v>Not verified to be within 1 mile</v>
          </cell>
          <cell r="I320">
            <v>3349560119</v>
          </cell>
        </row>
        <row r="321">
          <cell r="G321">
            <v>2</v>
          </cell>
          <cell r="H321" t="str">
            <v>Within 1 mile</v>
          </cell>
          <cell r="I321">
            <v>3337427747</v>
          </cell>
        </row>
        <row r="322">
          <cell r="G322">
            <v>2</v>
          </cell>
          <cell r="H322" t="str">
            <v>Within 1 mile</v>
          </cell>
          <cell r="I322">
            <v>3353097799</v>
          </cell>
        </row>
        <row r="323">
          <cell r="G323">
            <v>4</v>
          </cell>
          <cell r="H323" t="str">
            <v>Within 165 feet</v>
          </cell>
          <cell r="I323">
            <v>3337409045</v>
          </cell>
        </row>
        <row r="324">
          <cell r="G324">
            <v>8</v>
          </cell>
          <cell r="H324" t="str">
            <v>Within 1 mile</v>
          </cell>
          <cell r="I324">
            <v>3337409051</v>
          </cell>
        </row>
        <row r="325">
          <cell r="G325">
            <v>1</v>
          </cell>
          <cell r="H325" t="str">
            <v>Not verified to be within 1 mile</v>
          </cell>
          <cell r="I325">
            <v>3349560236</v>
          </cell>
        </row>
        <row r="326">
          <cell r="G326">
            <v>1</v>
          </cell>
          <cell r="H326" t="str">
            <v>Not verified to be within 1 mile</v>
          </cell>
          <cell r="I326">
            <v>3349559830</v>
          </cell>
        </row>
        <row r="327">
          <cell r="G327">
            <v>1</v>
          </cell>
          <cell r="H327" t="str">
            <v>Within 165 feet</v>
          </cell>
          <cell r="I327">
            <v>3337409095</v>
          </cell>
        </row>
        <row r="328">
          <cell r="G328">
            <v>2</v>
          </cell>
          <cell r="H328" t="str">
            <v>Not verified to be within 1 mile</v>
          </cell>
          <cell r="I328">
            <v>3342617948</v>
          </cell>
        </row>
        <row r="329">
          <cell r="G329">
            <v>4</v>
          </cell>
          <cell r="H329" t="str">
            <v>Not Verified to be within 1 mile</v>
          </cell>
          <cell r="I329">
            <v>3337409131</v>
          </cell>
        </row>
        <row r="330">
          <cell r="G330">
            <v>15</v>
          </cell>
          <cell r="H330" t="str">
            <v>Within 40 feet</v>
          </cell>
          <cell r="I330">
            <v>3337409201</v>
          </cell>
        </row>
        <row r="331">
          <cell r="G331">
            <v>1</v>
          </cell>
          <cell r="H331" t="str">
            <v>Not Verified to be within 1 mile</v>
          </cell>
          <cell r="I331">
            <v>3342618096</v>
          </cell>
        </row>
        <row r="332">
          <cell r="G332">
            <v>1</v>
          </cell>
          <cell r="H332" t="str">
            <v>Within 165 feet</v>
          </cell>
          <cell r="I332">
            <v>3337409218</v>
          </cell>
        </row>
        <row r="333">
          <cell r="G333">
            <v>6</v>
          </cell>
          <cell r="H333" t="str">
            <v>Within 165 feet</v>
          </cell>
          <cell r="I333">
            <v>3337409220</v>
          </cell>
        </row>
        <row r="334">
          <cell r="G334">
            <v>2</v>
          </cell>
          <cell r="H334" t="str">
            <v>Within 1 mile</v>
          </cell>
          <cell r="I334">
            <v>3342617951</v>
          </cell>
        </row>
        <row r="335">
          <cell r="G335">
            <v>1</v>
          </cell>
          <cell r="H335" t="str">
            <v>Not Verified to be within 1 mile</v>
          </cell>
          <cell r="I335">
            <v>3342618097</v>
          </cell>
        </row>
        <row r="336">
          <cell r="G336">
            <v>3</v>
          </cell>
          <cell r="H336" t="str">
            <v>Within 1 mile</v>
          </cell>
          <cell r="I336">
            <v>3337409263</v>
          </cell>
        </row>
        <row r="337">
          <cell r="G337">
            <v>1</v>
          </cell>
          <cell r="H337" t="str">
            <v>Not verified to be within 1 mile</v>
          </cell>
          <cell r="I337">
            <v>3349560084</v>
          </cell>
        </row>
        <row r="338">
          <cell r="G338">
            <v>12</v>
          </cell>
          <cell r="H338" t="str">
            <v>Within 165 feet</v>
          </cell>
          <cell r="I338">
            <v>3337409315</v>
          </cell>
        </row>
        <row r="339">
          <cell r="G339">
            <v>3</v>
          </cell>
          <cell r="H339" t="str">
            <v>Within 1 mile</v>
          </cell>
          <cell r="I339">
            <v>3337428172</v>
          </cell>
        </row>
        <row r="340">
          <cell r="G340">
            <v>1</v>
          </cell>
          <cell r="H340" t="str">
            <v>Within 1 mile</v>
          </cell>
          <cell r="I340">
            <v>3337428000</v>
          </cell>
        </row>
        <row r="341">
          <cell r="G341">
            <v>2</v>
          </cell>
          <cell r="H341" t="str">
            <v>Within 1 mile</v>
          </cell>
          <cell r="I341">
            <v>3337428232</v>
          </cell>
        </row>
        <row r="342">
          <cell r="G342">
            <v>1</v>
          </cell>
          <cell r="H342" t="str">
            <v>Not Verified to be within 1 mile</v>
          </cell>
          <cell r="I342">
            <v>3342618235</v>
          </cell>
        </row>
        <row r="343">
          <cell r="G343">
            <v>2</v>
          </cell>
          <cell r="H343" t="str">
            <v>Within 1 mile</v>
          </cell>
          <cell r="I343">
            <v>3352750159</v>
          </cell>
        </row>
        <row r="344">
          <cell r="G344">
            <v>1</v>
          </cell>
          <cell r="H344" t="str">
            <v>Not verified to be within 1 mile</v>
          </cell>
          <cell r="I344">
            <v>3349559787</v>
          </cell>
        </row>
        <row r="345">
          <cell r="G345">
            <v>2</v>
          </cell>
          <cell r="H345" t="str">
            <v>Within 1 mile</v>
          </cell>
          <cell r="I345">
            <v>3342618251</v>
          </cell>
        </row>
        <row r="346">
          <cell r="G346">
            <v>3</v>
          </cell>
          <cell r="H346" t="str">
            <v>Within 165 feet</v>
          </cell>
          <cell r="I346">
            <v>3337409531</v>
          </cell>
        </row>
        <row r="347">
          <cell r="G347">
            <v>7</v>
          </cell>
          <cell r="H347" t="str">
            <v>Within 1 mile</v>
          </cell>
          <cell r="I347">
            <v>3337409538</v>
          </cell>
        </row>
        <row r="348">
          <cell r="G348">
            <v>1</v>
          </cell>
          <cell r="H348" t="str">
            <v>Within 165 feet</v>
          </cell>
          <cell r="I348">
            <v>3337409542</v>
          </cell>
        </row>
        <row r="349">
          <cell r="G349">
            <v>3</v>
          </cell>
          <cell r="H349" t="str">
            <v>Within 1 mile</v>
          </cell>
          <cell r="I349">
            <v>3353098145</v>
          </cell>
        </row>
        <row r="350">
          <cell r="G350">
            <v>2</v>
          </cell>
          <cell r="H350" t="str">
            <v>Not verified to be within 1 mile</v>
          </cell>
          <cell r="I350">
            <v>3349559913</v>
          </cell>
        </row>
        <row r="351">
          <cell r="G351">
            <v>1</v>
          </cell>
          <cell r="H351" t="str">
            <v>Not verified to be within 1 mile</v>
          </cell>
          <cell r="I351">
            <v>3349559823</v>
          </cell>
        </row>
        <row r="352">
          <cell r="G352">
            <v>2</v>
          </cell>
          <cell r="H352" t="str">
            <v>Not Verified to be within 1 mile</v>
          </cell>
          <cell r="I352">
            <v>3337409573</v>
          </cell>
        </row>
        <row r="353">
          <cell r="G353">
            <v>2</v>
          </cell>
          <cell r="H353" t="str">
            <v>Not verified to be within 1 mile</v>
          </cell>
          <cell r="I353">
            <v>3349560177</v>
          </cell>
        </row>
        <row r="354">
          <cell r="G354">
            <v>2</v>
          </cell>
          <cell r="H354" t="str">
            <v>Not verified to be within 1 mile</v>
          </cell>
          <cell r="I354">
            <v>3349560192</v>
          </cell>
        </row>
        <row r="355">
          <cell r="G355">
            <v>1</v>
          </cell>
          <cell r="H355" t="str">
            <v>Not verified to be within 1 mile</v>
          </cell>
          <cell r="I355">
            <v>3349560188</v>
          </cell>
        </row>
        <row r="356">
          <cell r="G356">
            <v>1</v>
          </cell>
          <cell r="H356" t="str">
            <v>Not verified to be within 1 mile</v>
          </cell>
          <cell r="I356">
            <v>3349560173</v>
          </cell>
        </row>
        <row r="357">
          <cell r="G357">
            <v>2</v>
          </cell>
          <cell r="H357" t="str">
            <v>Within 40 feet</v>
          </cell>
          <cell r="I357">
            <v>3337409576</v>
          </cell>
        </row>
        <row r="358">
          <cell r="G358">
            <v>1</v>
          </cell>
          <cell r="H358" t="str">
            <v>Not Verified to be within 1 mile</v>
          </cell>
          <cell r="I358">
            <v>3337431214</v>
          </cell>
        </row>
        <row r="359">
          <cell r="G359">
            <v>4</v>
          </cell>
          <cell r="H359" t="str">
            <v>Within 1 mile</v>
          </cell>
          <cell r="I359">
            <v>3337428273</v>
          </cell>
        </row>
        <row r="360">
          <cell r="G360">
            <v>1</v>
          </cell>
          <cell r="H360" t="str">
            <v>Within 1 mile</v>
          </cell>
          <cell r="I360">
            <v>3337428276</v>
          </cell>
        </row>
        <row r="361">
          <cell r="G361">
            <v>1</v>
          </cell>
          <cell r="H361" t="str">
            <v>Not Verified to be within 1 mile</v>
          </cell>
          <cell r="I361">
            <v>3342618143</v>
          </cell>
        </row>
        <row r="362">
          <cell r="G362">
            <v>4</v>
          </cell>
          <cell r="H362" t="str">
            <v>Within 1 mile</v>
          </cell>
          <cell r="I362">
            <v>3337428023</v>
          </cell>
        </row>
        <row r="363">
          <cell r="G363">
            <v>1</v>
          </cell>
          <cell r="H363" t="str">
            <v>Within 1 mile</v>
          </cell>
          <cell r="I363">
            <v>3342618087</v>
          </cell>
        </row>
        <row r="364">
          <cell r="G364">
            <v>1</v>
          </cell>
          <cell r="H364" t="str">
            <v>Not verified to be within 1 mile</v>
          </cell>
          <cell r="I364">
            <v>3349560325</v>
          </cell>
        </row>
        <row r="365">
          <cell r="G365">
            <v>4</v>
          </cell>
          <cell r="H365" t="str">
            <v>Within 165 feet</v>
          </cell>
          <cell r="I365">
            <v>3349559862</v>
          </cell>
        </row>
        <row r="366">
          <cell r="G366">
            <v>2</v>
          </cell>
          <cell r="H366" t="str">
            <v>Within 1 mile</v>
          </cell>
          <cell r="I366">
            <v>3352749837</v>
          </cell>
        </row>
        <row r="367">
          <cell r="G367">
            <v>2</v>
          </cell>
          <cell r="H367" t="str">
            <v>Not Verified to be within 1 mile</v>
          </cell>
          <cell r="I367">
            <v>3342618334</v>
          </cell>
        </row>
        <row r="368">
          <cell r="G368">
            <v>12</v>
          </cell>
          <cell r="H368" t="str">
            <v>Within 40 feet</v>
          </cell>
          <cell r="I368">
            <v>3337409645</v>
          </cell>
        </row>
        <row r="369">
          <cell r="G369">
            <v>4</v>
          </cell>
          <cell r="H369" t="str">
            <v>Within 40 feet</v>
          </cell>
          <cell r="I369">
            <v>3340396311</v>
          </cell>
        </row>
        <row r="370">
          <cell r="G370">
            <v>6</v>
          </cell>
          <cell r="H370" t="str">
            <v>Within 40 feet</v>
          </cell>
          <cell r="I370">
            <v>3337426904</v>
          </cell>
        </row>
        <row r="371">
          <cell r="G371">
            <v>4</v>
          </cell>
          <cell r="H371" t="str">
            <v>Within 1 mile</v>
          </cell>
          <cell r="I371">
            <v>3337409656</v>
          </cell>
        </row>
        <row r="372">
          <cell r="G372">
            <v>6</v>
          </cell>
          <cell r="H372" t="str">
            <v>Within 165 feet</v>
          </cell>
          <cell r="I372">
            <v>3349559838</v>
          </cell>
        </row>
        <row r="373">
          <cell r="G373">
            <v>2</v>
          </cell>
          <cell r="H373" t="str">
            <v>Within 1 mile</v>
          </cell>
          <cell r="I373">
            <v>3342617828</v>
          </cell>
        </row>
        <row r="374">
          <cell r="G374">
            <v>2</v>
          </cell>
          <cell r="H374" t="str">
            <v>Within 165 feet</v>
          </cell>
          <cell r="I374">
            <v>3349560011</v>
          </cell>
        </row>
        <row r="375">
          <cell r="G375">
            <v>1</v>
          </cell>
          <cell r="H375" t="str">
            <v>Not verified to be within 1 mile</v>
          </cell>
          <cell r="I375">
            <v>3349559914</v>
          </cell>
        </row>
        <row r="376">
          <cell r="G376">
            <v>1</v>
          </cell>
          <cell r="H376" t="str">
            <v>Not verified to be within 1 mile</v>
          </cell>
          <cell r="I376">
            <v>3349559874</v>
          </cell>
        </row>
        <row r="377">
          <cell r="G377">
            <v>12</v>
          </cell>
          <cell r="H377" t="str">
            <v>Within 165 feet</v>
          </cell>
          <cell r="I377">
            <v>3341136828</v>
          </cell>
        </row>
        <row r="378">
          <cell r="G378">
            <v>2</v>
          </cell>
          <cell r="H378" t="str">
            <v>Within 1 mile</v>
          </cell>
          <cell r="I378">
            <v>3352749925</v>
          </cell>
        </row>
        <row r="379">
          <cell r="G379">
            <v>1</v>
          </cell>
          <cell r="H379" t="str">
            <v>Not Verified to be within 1 mile</v>
          </cell>
          <cell r="I379">
            <v>3337409743</v>
          </cell>
        </row>
        <row r="380">
          <cell r="G380">
            <v>1</v>
          </cell>
          <cell r="H380" t="str">
            <v>Within 1 mile</v>
          </cell>
          <cell r="I380">
            <v>3337409748</v>
          </cell>
        </row>
        <row r="381">
          <cell r="G381">
            <v>3</v>
          </cell>
          <cell r="H381" t="str">
            <v>Within 165 feet</v>
          </cell>
          <cell r="I381">
            <v>3337409756</v>
          </cell>
        </row>
        <row r="382">
          <cell r="G382">
            <v>2</v>
          </cell>
          <cell r="H382" t="str">
            <v>Within 1 mile</v>
          </cell>
          <cell r="I382">
            <v>3353097640</v>
          </cell>
        </row>
        <row r="383">
          <cell r="G383">
            <v>1</v>
          </cell>
          <cell r="H383" t="str">
            <v>Within 1 mile</v>
          </cell>
          <cell r="I383">
            <v>3353098104</v>
          </cell>
        </row>
        <row r="384">
          <cell r="G384">
            <v>4</v>
          </cell>
          <cell r="H384" t="str">
            <v>Not verified to be within 1 mile</v>
          </cell>
          <cell r="I384">
            <v>3349560217</v>
          </cell>
        </row>
        <row r="385">
          <cell r="G385">
            <v>1</v>
          </cell>
          <cell r="H385" t="str">
            <v>Not verified to be within 1 mile</v>
          </cell>
          <cell r="I385">
            <v>3349559919</v>
          </cell>
        </row>
        <row r="386">
          <cell r="G386">
            <v>5</v>
          </cell>
          <cell r="H386" t="str">
            <v>Within 165 feet</v>
          </cell>
          <cell r="I386">
            <v>3349559832</v>
          </cell>
        </row>
        <row r="387">
          <cell r="G387">
            <v>9</v>
          </cell>
          <cell r="H387" t="str">
            <v>Within 165 feet</v>
          </cell>
          <cell r="I387">
            <v>3337409874</v>
          </cell>
        </row>
        <row r="388">
          <cell r="G388">
            <v>1</v>
          </cell>
          <cell r="H388" t="str">
            <v>Within 1 mile</v>
          </cell>
          <cell r="I388">
            <v>3342617990</v>
          </cell>
        </row>
        <row r="389">
          <cell r="G389">
            <v>1</v>
          </cell>
          <cell r="H389" t="str">
            <v>Not verified to be within 1 mile</v>
          </cell>
          <cell r="I389">
            <v>3349560278</v>
          </cell>
        </row>
        <row r="390">
          <cell r="G390">
            <v>1</v>
          </cell>
          <cell r="H390" t="str">
            <v>Not verified to be within 1 mile</v>
          </cell>
          <cell r="I390">
            <v>3349560387</v>
          </cell>
        </row>
        <row r="391">
          <cell r="G391">
            <v>2</v>
          </cell>
          <cell r="H391" t="str">
            <v>Not Verified to be within 1 mile</v>
          </cell>
          <cell r="I391">
            <v>3342617929</v>
          </cell>
        </row>
        <row r="392">
          <cell r="G392">
            <v>3</v>
          </cell>
          <cell r="H392" t="str">
            <v>Within 165 feet</v>
          </cell>
          <cell r="I392">
            <v>3337409954</v>
          </cell>
        </row>
        <row r="393">
          <cell r="G393">
            <v>2</v>
          </cell>
          <cell r="H393" t="str">
            <v>Within 1 mile</v>
          </cell>
          <cell r="I393">
            <v>3342618113</v>
          </cell>
        </row>
        <row r="394">
          <cell r="G394">
            <v>1</v>
          </cell>
          <cell r="H394" t="str">
            <v>Within 165 feet</v>
          </cell>
          <cell r="I394">
            <v>3337409983</v>
          </cell>
        </row>
        <row r="395">
          <cell r="G395">
            <v>1</v>
          </cell>
          <cell r="H395" t="str">
            <v>Not verified to be within 1 mile</v>
          </cell>
          <cell r="I395">
            <v>3349559805</v>
          </cell>
        </row>
        <row r="396">
          <cell r="G396">
            <v>1</v>
          </cell>
          <cell r="H396" t="str">
            <v>Not verified to be within 1 mile</v>
          </cell>
          <cell r="I396">
            <v>3349559825</v>
          </cell>
        </row>
        <row r="397">
          <cell r="G397">
            <v>2</v>
          </cell>
          <cell r="H397" t="str">
            <v>Within 165 feet</v>
          </cell>
          <cell r="I397">
            <v>3337410057</v>
          </cell>
        </row>
        <row r="398">
          <cell r="G398">
            <v>12</v>
          </cell>
          <cell r="H398" t="str">
            <v>Within 165 feet</v>
          </cell>
          <cell r="I398">
            <v>3337410062</v>
          </cell>
        </row>
        <row r="399">
          <cell r="G399">
            <v>3</v>
          </cell>
          <cell r="H399" t="str">
            <v>Within 40 feet</v>
          </cell>
          <cell r="I399">
            <v>3341136831</v>
          </cell>
        </row>
        <row r="400">
          <cell r="G400">
            <v>3</v>
          </cell>
          <cell r="H400" t="str">
            <v>Within 165 feet</v>
          </cell>
          <cell r="I400">
            <v>3337428277</v>
          </cell>
        </row>
        <row r="401">
          <cell r="G401">
            <v>1</v>
          </cell>
          <cell r="H401" t="str">
            <v>Not verified to be within 1 mile</v>
          </cell>
          <cell r="I401">
            <v>3349559963</v>
          </cell>
        </row>
        <row r="402">
          <cell r="G402">
            <v>2</v>
          </cell>
          <cell r="H402" t="str">
            <v>Within 1 mile</v>
          </cell>
          <cell r="I402">
            <v>3353097790</v>
          </cell>
        </row>
        <row r="403">
          <cell r="G403">
            <v>1</v>
          </cell>
          <cell r="H403" t="str">
            <v>Not Verified to be within 1 mile</v>
          </cell>
          <cell r="I403">
            <v>3342618228</v>
          </cell>
        </row>
        <row r="404">
          <cell r="G404">
            <v>5</v>
          </cell>
          <cell r="H404" t="str">
            <v>Within 1 mile</v>
          </cell>
          <cell r="I404">
            <v>3337428285</v>
          </cell>
        </row>
        <row r="405">
          <cell r="G405">
            <v>4</v>
          </cell>
          <cell r="H405" t="str">
            <v>Within 40 feet</v>
          </cell>
          <cell r="I405">
            <v>3337410138</v>
          </cell>
        </row>
        <row r="406">
          <cell r="G406">
            <v>4</v>
          </cell>
          <cell r="H406" t="str">
            <v>Within 40 feet</v>
          </cell>
          <cell r="I406">
            <v>3337410151</v>
          </cell>
        </row>
        <row r="407">
          <cell r="G407">
            <v>1</v>
          </cell>
          <cell r="H407" t="str">
            <v>Within 1 mile</v>
          </cell>
          <cell r="I407">
            <v>3337410164</v>
          </cell>
        </row>
        <row r="408">
          <cell r="G408">
            <v>8</v>
          </cell>
          <cell r="H408" t="str">
            <v>Within 40 feet</v>
          </cell>
          <cell r="I408">
            <v>3349559508</v>
          </cell>
        </row>
        <row r="409">
          <cell r="G409">
            <v>1</v>
          </cell>
          <cell r="H409" t="str">
            <v>Within 1 mile</v>
          </cell>
          <cell r="I409">
            <v>3337410170</v>
          </cell>
        </row>
        <row r="410">
          <cell r="G410">
            <v>2</v>
          </cell>
          <cell r="H410" t="str">
            <v>Within 1 mile</v>
          </cell>
          <cell r="I410">
            <v>3342618381</v>
          </cell>
        </row>
        <row r="411">
          <cell r="G411">
            <v>2</v>
          </cell>
          <cell r="H411" t="str">
            <v>Within 1 mile</v>
          </cell>
          <cell r="I411">
            <v>3352749867</v>
          </cell>
        </row>
        <row r="412">
          <cell r="G412">
            <v>1</v>
          </cell>
          <cell r="H412" t="str">
            <v>Not Verified to be within 1 mile</v>
          </cell>
          <cell r="I412">
            <v>3337410194</v>
          </cell>
        </row>
        <row r="413">
          <cell r="G413">
            <v>2</v>
          </cell>
          <cell r="H413" t="str">
            <v>Not verified to be within 1 mile</v>
          </cell>
          <cell r="I413">
            <v>3349559800</v>
          </cell>
        </row>
        <row r="414">
          <cell r="G414">
            <v>23</v>
          </cell>
          <cell r="H414" t="str">
            <v>Within 40 feet</v>
          </cell>
          <cell r="I414">
            <v>3337410205</v>
          </cell>
        </row>
        <row r="415">
          <cell r="G415">
            <v>2</v>
          </cell>
          <cell r="H415" t="str">
            <v>Within 1 mile</v>
          </cell>
          <cell r="I415">
            <v>3352750256</v>
          </cell>
        </row>
        <row r="416">
          <cell r="G416">
            <v>2</v>
          </cell>
          <cell r="H416" t="str">
            <v>Within 1 mile</v>
          </cell>
          <cell r="I416">
            <v>3337410218</v>
          </cell>
        </row>
        <row r="417">
          <cell r="G417">
            <v>3</v>
          </cell>
          <cell r="H417" t="str">
            <v>Not verified to be within 1 mile</v>
          </cell>
          <cell r="I417">
            <v>3337410227</v>
          </cell>
        </row>
        <row r="418">
          <cell r="G418">
            <v>5</v>
          </cell>
          <cell r="H418" t="str">
            <v>Within 40 feet</v>
          </cell>
          <cell r="I418">
            <v>3337410261</v>
          </cell>
        </row>
        <row r="419">
          <cell r="G419">
            <v>3</v>
          </cell>
          <cell r="H419" t="str">
            <v>Within 1 mile</v>
          </cell>
          <cell r="I419">
            <v>3337410263</v>
          </cell>
        </row>
        <row r="420">
          <cell r="G420">
            <v>2</v>
          </cell>
          <cell r="H420" t="str">
            <v>Within 1 mile</v>
          </cell>
          <cell r="I420">
            <v>3342617812</v>
          </cell>
        </row>
        <row r="421">
          <cell r="G421">
            <v>1</v>
          </cell>
          <cell r="H421" t="str">
            <v>Within 1 mile</v>
          </cell>
          <cell r="I421">
            <v>3352749879</v>
          </cell>
        </row>
        <row r="422">
          <cell r="G422">
            <v>2</v>
          </cell>
          <cell r="H422" t="str">
            <v>Within 165 feet</v>
          </cell>
          <cell r="I422">
            <v>3342618338</v>
          </cell>
        </row>
        <row r="423">
          <cell r="G423">
            <v>1</v>
          </cell>
          <cell r="H423" t="str">
            <v>Not verified to be within 1 mile</v>
          </cell>
          <cell r="I423">
            <v>3349559719</v>
          </cell>
        </row>
        <row r="424">
          <cell r="G424">
            <v>6</v>
          </cell>
          <cell r="H424" t="str">
            <v>Within 1 mile</v>
          </cell>
          <cell r="I424">
            <v>3337410310</v>
          </cell>
        </row>
        <row r="425">
          <cell r="G425">
            <v>11</v>
          </cell>
          <cell r="H425" t="str">
            <v>Within 40 feet</v>
          </cell>
          <cell r="I425">
            <v>3337410309</v>
          </cell>
        </row>
        <row r="426">
          <cell r="G426">
            <v>4</v>
          </cell>
          <cell r="H426" t="str">
            <v>Within 1 mile</v>
          </cell>
          <cell r="I426">
            <v>3365669817</v>
          </cell>
        </row>
        <row r="427">
          <cell r="G427">
            <v>2</v>
          </cell>
          <cell r="H427" t="str">
            <v>Within 165 feet</v>
          </cell>
          <cell r="I427">
            <v>3349559822</v>
          </cell>
        </row>
        <row r="428">
          <cell r="G428">
            <v>2</v>
          </cell>
          <cell r="H428" t="str">
            <v>Within 1 mile</v>
          </cell>
          <cell r="I428">
            <v>3352749869</v>
          </cell>
        </row>
        <row r="429">
          <cell r="G429">
            <v>4</v>
          </cell>
          <cell r="H429" t="str">
            <v>Within 165 feet</v>
          </cell>
          <cell r="I429">
            <v>3337410366</v>
          </cell>
        </row>
        <row r="430">
          <cell r="G430">
            <v>1</v>
          </cell>
          <cell r="H430" t="str">
            <v>Not Verified to be within 1 mile</v>
          </cell>
          <cell r="I430">
            <v>3342617610</v>
          </cell>
        </row>
        <row r="431">
          <cell r="G431">
            <v>2</v>
          </cell>
          <cell r="H431" t="str">
            <v>Within 1 mile</v>
          </cell>
          <cell r="I431">
            <v>3352750163</v>
          </cell>
        </row>
        <row r="432">
          <cell r="G432">
            <v>1</v>
          </cell>
          <cell r="H432" t="str">
            <v>Not verified to be within 1 mile</v>
          </cell>
          <cell r="I432">
            <v>3349560300</v>
          </cell>
        </row>
        <row r="433">
          <cell r="G433">
            <v>1</v>
          </cell>
          <cell r="H433" t="str">
            <v>Not Verified to be within 1 mile</v>
          </cell>
          <cell r="I433">
            <v>3342618083</v>
          </cell>
        </row>
        <row r="434">
          <cell r="G434">
            <v>2</v>
          </cell>
          <cell r="H434" t="str">
            <v>Not verified to be within 1 mile</v>
          </cell>
          <cell r="I434">
            <v>3349560319</v>
          </cell>
        </row>
        <row r="435">
          <cell r="G435">
            <v>3</v>
          </cell>
          <cell r="H435" t="str">
            <v>Within 1 mile</v>
          </cell>
          <cell r="I435">
            <v>3342617815</v>
          </cell>
        </row>
        <row r="436">
          <cell r="G436">
            <v>3</v>
          </cell>
          <cell r="H436" t="str">
            <v>Within 40 feet</v>
          </cell>
          <cell r="I436">
            <v>3337427840</v>
          </cell>
        </row>
        <row r="437">
          <cell r="G437">
            <v>2</v>
          </cell>
          <cell r="H437" t="str">
            <v>Within 1 mile</v>
          </cell>
          <cell r="I437">
            <v>3352749868</v>
          </cell>
        </row>
        <row r="438">
          <cell r="G438">
            <v>2</v>
          </cell>
          <cell r="H438" t="str">
            <v>Within 1 mile</v>
          </cell>
          <cell r="I438">
            <v>3342617926</v>
          </cell>
        </row>
        <row r="439">
          <cell r="G439">
            <v>1</v>
          </cell>
          <cell r="H439" t="str">
            <v>Not verified to be within 1 mile</v>
          </cell>
          <cell r="I439">
            <v>3337410454</v>
          </cell>
        </row>
        <row r="440">
          <cell r="G440">
            <v>0</v>
          </cell>
          <cell r="H440" t="str">
            <v>Not Verified to be within 1 mile</v>
          </cell>
          <cell r="I440">
            <v>3342618404</v>
          </cell>
        </row>
        <row r="441">
          <cell r="G441">
            <v>4</v>
          </cell>
          <cell r="H441" t="str">
            <v>Within 40 feet</v>
          </cell>
          <cell r="I441">
            <v>3353097802</v>
          </cell>
        </row>
        <row r="442">
          <cell r="G442">
            <v>7</v>
          </cell>
          <cell r="H442" t="str">
            <v>Within 1 mile</v>
          </cell>
          <cell r="I442">
            <v>3337410466</v>
          </cell>
        </row>
        <row r="443">
          <cell r="G443">
            <v>2</v>
          </cell>
          <cell r="H443" t="str">
            <v>Within 1 mile</v>
          </cell>
          <cell r="I443">
            <v>3337410469</v>
          </cell>
        </row>
        <row r="444">
          <cell r="G444">
            <v>12</v>
          </cell>
          <cell r="H444" t="str">
            <v>Within 165 feet</v>
          </cell>
          <cell r="I444">
            <v>3337410472</v>
          </cell>
        </row>
        <row r="445">
          <cell r="G445">
            <v>1</v>
          </cell>
          <cell r="H445" t="str">
            <v>Not verified to be within 1 mile</v>
          </cell>
          <cell r="I445">
            <v>3349560209</v>
          </cell>
        </row>
        <row r="446">
          <cell r="G446">
            <v>2</v>
          </cell>
          <cell r="H446" t="str">
            <v>Within 1 mile</v>
          </cell>
          <cell r="I446">
            <v>3337410499</v>
          </cell>
        </row>
        <row r="447">
          <cell r="G447">
            <v>1</v>
          </cell>
          <cell r="H447" t="str">
            <v>Within 1 mile</v>
          </cell>
          <cell r="I447">
            <v>3342617830</v>
          </cell>
        </row>
        <row r="448">
          <cell r="G448">
            <v>2</v>
          </cell>
          <cell r="H448" t="str">
            <v>Within 1 mile</v>
          </cell>
          <cell r="I448">
            <v>3352749882</v>
          </cell>
        </row>
        <row r="449">
          <cell r="G449">
            <v>1</v>
          </cell>
          <cell r="H449" t="str">
            <v>Not verified to be within 1 mile</v>
          </cell>
          <cell r="I449">
            <v>3349559921</v>
          </cell>
        </row>
        <row r="450">
          <cell r="G450">
            <v>5</v>
          </cell>
          <cell r="H450" t="str">
            <v>Not Verified to be within 1 mile</v>
          </cell>
          <cell r="I450">
            <v>3342618330</v>
          </cell>
        </row>
        <row r="451">
          <cell r="G451">
            <v>8</v>
          </cell>
          <cell r="H451" t="str">
            <v>Within 40 feet</v>
          </cell>
          <cell r="I451">
            <v>3337410535</v>
          </cell>
        </row>
        <row r="452">
          <cell r="G452">
            <v>2</v>
          </cell>
          <cell r="H452" t="str">
            <v>Within 1 mile</v>
          </cell>
          <cell r="I452">
            <v>3337410539</v>
          </cell>
        </row>
        <row r="453">
          <cell r="G453">
            <v>2</v>
          </cell>
          <cell r="H453" t="str">
            <v>Not verified to be within 1 mile</v>
          </cell>
          <cell r="I453">
            <v>3349559748</v>
          </cell>
        </row>
        <row r="454">
          <cell r="G454">
            <v>1</v>
          </cell>
          <cell r="H454" t="str">
            <v>Within 1 mile</v>
          </cell>
          <cell r="I454">
            <v>3337410598</v>
          </cell>
        </row>
        <row r="455">
          <cell r="G455">
            <v>3</v>
          </cell>
          <cell r="H455" t="str">
            <v>Within 1 mile</v>
          </cell>
          <cell r="I455">
            <v>3337427581</v>
          </cell>
        </row>
        <row r="456">
          <cell r="G456">
            <v>1</v>
          </cell>
          <cell r="H456" t="str">
            <v>Within 1 mile</v>
          </cell>
          <cell r="I456">
            <v>3337410635</v>
          </cell>
        </row>
        <row r="457">
          <cell r="G457">
            <v>4</v>
          </cell>
          <cell r="H457" t="str">
            <v>Within 165 feet</v>
          </cell>
          <cell r="I457">
            <v>3337410647</v>
          </cell>
        </row>
        <row r="458">
          <cell r="G458">
            <v>1</v>
          </cell>
          <cell r="H458" t="str">
            <v>Not verified to be within 1 mile</v>
          </cell>
          <cell r="I458">
            <v>3349559767</v>
          </cell>
        </row>
        <row r="459">
          <cell r="G459">
            <v>1</v>
          </cell>
          <cell r="H459" t="str">
            <v>Within 1 mile</v>
          </cell>
          <cell r="I459">
            <v>3337410672</v>
          </cell>
        </row>
        <row r="460">
          <cell r="G460">
            <v>2</v>
          </cell>
          <cell r="H460" t="str">
            <v>Within 1 mile</v>
          </cell>
          <cell r="I460">
            <v>3342617609</v>
          </cell>
        </row>
        <row r="461">
          <cell r="G461">
            <v>2</v>
          </cell>
          <cell r="H461" t="str">
            <v>Within 40 feet</v>
          </cell>
          <cell r="I461">
            <v>3349559632</v>
          </cell>
        </row>
        <row r="462">
          <cell r="G462">
            <v>1</v>
          </cell>
          <cell r="H462" t="str">
            <v>Within 1 mile</v>
          </cell>
          <cell r="I462">
            <v>3352750020</v>
          </cell>
        </row>
        <row r="463">
          <cell r="G463">
            <v>1</v>
          </cell>
          <cell r="H463" t="str">
            <v>Not Verified to be within 1 mile</v>
          </cell>
          <cell r="I463">
            <v>3337410691</v>
          </cell>
        </row>
        <row r="464">
          <cell r="G464">
            <v>2</v>
          </cell>
          <cell r="H464" t="str">
            <v>Not Verified to be within 1 mile</v>
          </cell>
          <cell r="I464">
            <v>3342617891</v>
          </cell>
        </row>
        <row r="465">
          <cell r="G465">
            <v>1</v>
          </cell>
          <cell r="H465" t="str">
            <v>Within 1 mile</v>
          </cell>
          <cell r="I465">
            <v>3337410713</v>
          </cell>
        </row>
        <row r="466">
          <cell r="G466">
            <v>5</v>
          </cell>
          <cell r="H466" t="str">
            <v>Within 40 feet</v>
          </cell>
          <cell r="I466">
            <v>3337410744</v>
          </cell>
        </row>
        <row r="467">
          <cell r="G467">
            <v>1</v>
          </cell>
          <cell r="H467" t="str">
            <v>Within 1 mile</v>
          </cell>
          <cell r="I467">
            <v>3342618304</v>
          </cell>
        </row>
        <row r="468">
          <cell r="G468">
            <v>2</v>
          </cell>
          <cell r="H468" t="str">
            <v>Within 165 feet</v>
          </cell>
          <cell r="I468">
            <v>3353097786</v>
          </cell>
        </row>
        <row r="469">
          <cell r="G469">
            <v>2</v>
          </cell>
          <cell r="H469" t="str">
            <v>Within 1 mile</v>
          </cell>
          <cell r="I469">
            <v>3337430102</v>
          </cell>
        </row>
        <row r="470">
          <cell r="G470">
            <v>4</v>
          </cell>
          <cell r="H470" t="str">
            <v>Within 165 feet</v>
          </cell>
          <cell r="I470">
            <v>3349560046</v>
          </cell>
        </row>
        <row r="471">
          <cell r="G471">
            <v>4</v>
          </cell>
          <cell r="H471" t="str">
            <v>Within 40 feet</v>
          </cell>
          <cell r="I471">
            <v>3337410784</v>
          </cell>
        </row>
        <row r="472">
          <cell r="G472">
            <v>5</v>
          </cell>
          <cell r="H472" t="str">
            <v>Not verified to be within 1 mile</v>
          </cell>
          <cell r="I472">
            <v>3349560357</v>
          </cell>
        </row>
        <row r="473">
          <cell r="G473">
            <v>1</v>
          </cell>
          <cell r="H473" t="str">
            <v>Not verified to be within 1 mile</v>
          </cell>
          <cell r="I473">
            <v>3349559847</v>
          </cell>
        </row>
        <row r="474">
          <cell r="G474">
            <v>2</v>
          </cell>
          <cell r="H474" t="str">
            <v>Within 1 mile</v>
          </cell>
          <cell r="I474">
            <v>3353097532</v>
          </cell>
        </row>
        <row r="475">
          <cell r="G475">
            <v>2</v>
          </cell>
          <cell r="H475" t="str">
            <v>Within 1 mile</v>
          </cell>
          <cell r="I475">
            <v>3352749877</v>
          </cell>
        </row>
        <row r="476">
          <cell r="G476">
            <v>1</v>
          </cell>
          <cell r="H476" t="str">
            <v>Not verified to be within 1 mile</v>
          </cell>
          <cell r="I476">
            <v>3349559949</v>
          </cell>
        </row>
        <row r="477">
          <cell r="G477">
            <v>1</v>
          </cell>
          <cell r="H477" t="str">
            <v>Not verified to be within 1 mile</v>
          </cell>
          <cell r="I477">
            <v>3349559926</v>
          </cell>
        </row>
        <row r="478">
          <cell r="G478">
            <v>3</v>
          </cell>
          <cell r="H478" t="str">
            <v>Within 1 mile</v>
          </cell>
          <cell r="I478">
            <v>3337410875</v>
          </cell>
        </row>
        <row r="479">
          <cell r="G479">
            <v>5</v>
          </cell>
          <cell r="H479" t="str">
            <v>Within 1 mile</v>
          </cell>
          <cell r="I479">
            <v>3337410884</v>
          </cell>
        </row>
        <row r="480">
          <cell r="G480">
            <v>2</v>
          </cell>
          <cell r="H480" t="str">
            <v>Within 1 mile</v>
          </cell>
          <cell r="I480">
            <v>3337427325</v>
          </cell>
        </row>
        <row r="481">
          <cell r="G481">
            <v>5</v>
          </cell>
          <cell r="H481" t="str">
            <v>Not verified to be within 1 mile</v>
          </cell>
          <cell r="I481">
            <v>3349559940</v>
          </cell>
        </row>
        <row r="482">
          <cell r="G482">
            <v>2</v>
          </cell>
          <cell r="H482" t="str">
            <v>Not verified to be within 1 mile</v>
          </cell>
          <cell r="I482">
            <v>3337410893</v>
          </cell>
        </row>
        <row r="483">
          <cell r="G483">
            <v>1</v>
          </cell>
          <cell r="H483" t="str">
            <v>Within 1 mile</v>
          </cell>
          <cell r="I483">
            <v>3337410898</v>
          </cell>
        </row>
        <row r="484">
          <cell r="G484">
            <v>2</v>
          </cell>
          <cell r="H484" t="str">
            <v>Within 1 mile</v>
          </cell>
          <cell r="I484">
            <v>3337410924</v>
          </cell>
        </row>
        <row r="485">
          <cell r="G485">
            <v>4</v>
          </cell>
          <cell r="H485" t="str">
            <v>Within 1 mile</v>
          </cell>
          <cell r="I485">
            <v>3337427366</v>
          </cell>
        </row>
        <row r="486">
          <cell r="G486">
            <v>2</v>
          </cell>
          <cell r="H486" t="str">
            <v>Within 1 mile</v>
          </cell>
          <cell r="I486">
            <v>3337410952</v>
          </cell>
        </row>
        <row r="487">
          <cell r="G487">
            <v>3</v>
          </cell>
          <cell r="H487" t="str">
            <v>Within 165 feet</v>
          </cell>
          <cell r="I487">
            <v>3342617491</v>
          </cell>
        </row>
        <row r="488">
          <cell r="G488">
            <v>13</v>
          </cell>
          <cell r="H488" t="str">
            <v>Within 1 mile</v>
          </cell>
          <cell r="I488">
            <v>3337411001</v>
          </cell>
        </row>
        <row r="489">
          <cell r="G489">
            <v>2</v>
          </cell>
          <cell r="H489" t="str">
            <v>Within 1 mile</v>
          </cell>
          <cell r="I489">
            <v>3352749885</v>
          </cell>
        </row>
        <row r="490">
          <cell r="G490">
            <v>2</v>
          </cell>
          <cell r="H490" t="str">
            <v>Within 165 feet</v>
          </cell>
          <cell r="I490">
            <v>3337411020</v>
          </cell>
        </row>
        <row r="491">
          <cell r="G491">
            <v>1</v>
          </cell>
          <cell r="H491" t="str">
            <v>Within 1 mile</v>
          </cell>
          <cell r="I491">
            <v>3337411021</v>
          </cell>
        </row>
        <row r="492">
          <cell r="G492">
            <v>2</v>
          </cell>
          <cell r="H492" t="str">
            <v>Within 40 feet</v>
          </cell>
          <cell r="I492">
            <v>3337411027</v>
          </cell>
        </row>
        <row r="493">
          <cell r="G493">
            <v>5</v>
          </cell>
          <cell r="H493" t="str">
            <v>Within 1 mile</v>
          </cell>
          <cell r="I493">
            <v>3337411049</v>
          </cell>
        </row>
        <row r="494">
          <cell r="G494">
            <v>2</v>
          </cell>
          <cell r="H494" t="str">
            <v>Within 1 mile</v>
          </cell>
          <cell r="I494">
            <v>3342618370</v>
          </cell>
        </row>
        <row r="495">
          <cell r="G495">
            <v>1</v>
          </cell>
          <cell r="H495" t="str">
            <v>Within 1 mile</v>
          </cell>
          <cell r="I495">
            <v>3337411078</v>
          </cell>
        </row>
        <row r="496">
          <cell r="G496">
            <v>2</v>
          </cell>
          <cell r="H496" t="str">
            <v>Within 1 mile</v>
          </cell>
          <cell r="I496">
            <v>3341136760</v>
          </cell>
        </row>
        <row r="497">
          <cell r="G497">
            <v>3</v>
          </cell>
          <cell r="H497" t="str">
            <v>Within 1 mile</v>
          </cell>
          <cell r="I497">
            <v>3337411105</v>
          </cell>
        </row>
        <row r="498">
          <cell r="G498">
            <v>4</v>
          </cell>
          <cell r="H498" t="str">
            <v>Within 1 mile</v>
          </cell>
          <cell r="I498">
            <v>3337411112</v>
          </cell>
        </row>
        <row r="499">
          <cell r="G499">
            <v>2</v>
          </cell>
          <cell r="H499" t="str">
            <v>Within 1 mile</v>
          </cell>
          <cell r="I499">
            <v>3352749835</v>
          </cell>
        </row>
        <row r="500">
          <cell r="G500">
            <v>2</v>
          </cell>
          <cell r="H500" t="str">
            <v>Not verified to be within 1 mile</v>
          </cell>
          <cell r="I500">
            <v>3349560032</v>
          </cell>
        </row>
        <row r="501">
          <cell r="G501">
            <v>2</v>
          </cell>
          <cell r="H501" t="str">
            <v>Within 1 mile</v>
          </cell>
          <cell r="I501">
            <v>3342618088</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Bldgs"/>
      <sheetName val="Vars"/>
      <sheetName val="taxonomy"/>
      <sheetName val="Lookup"/>
      <sheetName val="UEC"/>
      <sheetName val="Tracking Status"/>
      <sheetName val="Res_Master"/>
    </sheetNames>
    <definedNames>
      <definedName name="ExistingSat" refersTo="='SATS'!$B$10:$F$84"/>
      <definedName name="NewSat" refersTo="='SATS'!$B$87:$F$152"/>
      <definedName name="ResApplic" refersTo="='APPLIC'!$B$8:$F$119"/>
    </definedNames>
    <sheetDataSet>
      <sheetData sheetId="0"/>
      <sheetData sheetId="1"/>
      <sheetData sheetId="2">
        <row r="12">
          <cell r="B12" t="str">
            <v>Dishwasher</v>
          </cell>
        </row>
        <row r="13">
          <cell r="B13" t="str">
            <v>Dishwasher</v>
          </cell>
        </row>
        <row r="77">
          <cell r="B77" t="str">
            <v>ResWx</v>
          </cell>
        </row>
      </sheetData>
      <sheetData sheetId="3">
        <row r="4">
          <cell r="H4">
            <v>2035</v>
          </cell>
        </row>
      </sheetData>
      <sheetData sheetId="4">
        <row r="8">
          <cell r="B8" t="str">
            <v>Measure Index Name</v>
          </cell>
          <cell r="C8" t="str">
            <v>Single Family</v>
          </cell>
          <cell r="D8" t="str">
            <v>Multifamily - Low Rise</v>
          </cell>
          <cell r="E8" t="str">
            <v>Multifamily - High Rise</v>
          </cell>
          <cell r="F8" t="str">
            <v>Manufactured</v>
          </cell>
        </row>
        <row r="9">
          <cell r="B9" t="str">
            <v>Lighting - New</v>
          </cell>
          <cell r="C9">
            <v>0.76500000000000001</v>
          </cell>
          <cell r="D9">
            <v>0.76500000000000001</v>
          </cell>
          <cell r="E9">
            <v>0.76500000000000001</v>
          </cell>
          <cell r="F9">
            <v>0.76500000000000001</v>
          </cell>
        </row>
        <row r="10">
          <cell r="B10" t="str">
            <v>Lighting - NR</v>
          </cell>
          <cell r="C10">
            <v>0.9</v>
          </cell>
          <cell r="D10">
            <v>0.9</v>
          </cell>
          <cell r="E10">
            <v>0.9</v>
          </cell>
          <cell r="F10">
            <v>0.9</v>
          </cell>
        </row>
        <row r="11">
          <cell r="B11" t="str">
            <v>Lighting - PPA</v>
          </cell>
          <cell r="C11">
            <v>0.9</v>
          </cell>
          <cell r="D11">
            <v>0.9</v>
          </cell>
          <cell r="E11">
            <v>0.9</v>
          </cell>
          <cell r="F11">
            <v>0.9</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0.51600000000000001</v>
          </cell>
          <cell r="D17">
            <v>0.58000000000000007</v>
          </cell>
          <cell r="E17">
            <v>0.58000000000000007</v>
          </cell>
          <cell r="F17">
            <v>0.33999999999999997</v>
          </cell>
        </row>
        <row r="18">
          <cell r="B18" t="str">
            <v>Showerheads - Retro</v>
          </cell>
          <cell r="C18">
            <v>0.44247428657992416</v>
          </cell>
          <cell r="D18">
            <v>0.58000000000000007</v>
          </cell>
          <cell r="E18">
            <v>0.58000000000000007</v>
          </cell>
          <cell r="F18">
            <v>0.33999999999999997</v>
          </cell>
        </row>
        <row r="19">
          <cell r="B19" t="str">
            <v>HPWH - New</v>
          </cell>
          <cell r="C19">
            <v>0.94904999999999995</v>
          </cell>
          <cell r="D19">
            <v>0</v>
          </cell>
          <cell r="E19">
            <v>0</v>
          </cell>
          <cell r="F19">
            <v>0.95</v>
          </cell>
        </row>
        <row r="20">
          <cell r="B20" t="str">
            <v>HPWH - NR</v>
          </cell>
          <cell r="C20">
            <v>0.94904999999999995</v>
          </cell>
          <cell r="D20">
            <v>0</v>
          </cell>
          <cell r="E20">
            <v>0</v>
          </cell>
          <cell r="F20">
            <v>0.95</v>
          </cell>
        </row>
        <row r="21">
          <cell r="B21" t="str">
            <v>EV Supply Equip - NR</v>
          </cell>
          <cell r="C21">
            <v>0.89100000000000001</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0.2475</v>
          </cell>
          <cell r="D28">
            <v>0.25</v>
          </cell>
          <cell r="E28">
            <v>0</v>
          </cell>
          <cell r="F28">
            <v>0</v>
          </cell>
        </row>
        <row r="29">
          <cell r="B29" t="str">
            <v>Solar Water Heater - NR</v>
          </cell>
          <cell r="C29">
            <v>0.2475</v>
          </cell>
          <cell r="D29">
            <v>0.25</v>
          </cell>
          <cell r="E29">
            <v>0</v>
          </cell>
          <cell r="F29">
            <v>0</v>
          </cell>
        </row>
        <row r="30">
          <cell r="B30" t="str">
            <v>Solar Water Heater - Retro</v>
          </cell>
          <cell r="C30">
            <v>0.2475</v>
          </cell>
          <cell r="D30">
            <v>0.25</v>
          </cell>
          <cell r="E30">
            <v>0</v>
          </cell>
          <cell r="F30">
            <v>0</v>
          </cell>
        </row>
        <row r="31">
          <cell r="B31">
            <v>0</v>
          </cell>
          <cell r="C31">
            <v>0</v>
          </cell>
          <cell r="D31">
            <v>0</v>
          </cell>
          <cell r="E31">
            <v>0</v>
          </cell>
          <cell r="F31">
            <v>0</v>
          </cell>
        </row>
        <row r="32">
          <cell r="B32">
            <v>0</v>
          </cell>
          <cell r="C32">
            <v>0</v>
          </cell>
          <cell r="D32">
            <v>0</v>
          </cell>
          <cell r="E32">
            <v>0</v>
          </cell>
          <cell r="F32">
            <v>0</v>
          </cell>
        </row>
        <row r="33">
          <cell r="B33" t="str">
            <v>Electric Oven - New</v>
          </cell>
          <cell r="C33">
            <v>0.9</v>
          </cell>
          <cell r="D33">
            <v>0.9</v>
          </cell>
          <cell r="E33">
            <v>0.9</v>
          </cell>
          <cell r="F33">
            <v>0.9</v>
          </cell>
        </row>
        <row r="34">
          <cell r="B34" t="str">
            <v>Electric Oven - NR</v>
          </cell>
          <cell r="C34">
            <v>0.9</v>
          </cell>
          <cell r="D34">
            <v>0.9</v>
          </cell>
          <cell r="E34">
            <v>0.9</v>
          </cell>
          <cell r="F34">
            <v>0.9</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0.44999999999999996</v>
          </cell>
          <cell r="D37">
            <v>0.44999999999999996</v>
          </cell>
          <cell r="E37">
            <v>0.44999999999999996</v>
          </cell>
          <cell r="F37">
            <v>0.44999999999999996</v>
          </cell>
        </row>
        <row r="38">
          <cell r="B38" t="str">
            <v>Monitor - NR</v>
          </cell>
          <cell r="C38">
            <v>0.44999999999999996</v>
          </cell>
          <cell r="D38">
            <v>0.44999999999999996</v>
          </cell>
          <cell r="E38">
            <v>0.44999999999999996</v>
          </cell>
          <cell r="F38">
            <v>0.44999999999999996</v>
          </cell>
        </row>
        <row r="39">
          <cell r="B39" t="str">
            <v>Desktop - New</v>
          </cell>
          <cell r="C39">
            <v>0.75</v>
          </cell>
          <cell r="D39">
            <v>0.75</v>
          </cell>
          <cell r="E39">
            <v>0.75</v>
          </cell>
          <cell r="F39">
            <v>0.75</v>
          </cell>
        </row>
        <row r="40">
          <cell r="B40" t="str">
            <v>Desktop - NR</v>
          </cell>
          <cell r="C40">
            <v>0.75</v>
          </cell>
          <cell r="D40">
            <v>0.75</v>
          </cell>
          <cell r="E40">
            <v>0.75</v>
          </cell>
          <cell r="F40">
            <v>0.75</v>
          </cell>
        </row>
        <row r="41">
          <cell r="B41" t="str">
            <v>Laptop - New</v>
          </cell>
          <cell r="C41">
            <v>0.26</v>
          </cell>
          <cell r="D41">
            <v>0.26</v>
          </cell>
          <cell r="E41">
            <v>0.26</v>
          </cell>
          <cell r="F41">
            <v>0.26</v>
          </cell>
        </row>
        <row r="42">
          <cell r="B42" t="str">
            <v>Laptop - NR</v>
          </cell>
          <cell r="C42">
            <v>0.26</v>
          </cell>
          <cell r="D42">
            <v>0.26</v>
          </cell>
          <cell r="E42">
            <v>0.26</v>
          </cell>
          <cell r="F42">
            <v>0.26</v>
          </cell>
        </row>
        <row r="43">
          <cell r="B43" t="str">
            <v>Computer - New</v>
          </cell>
          <cell r="C43"/>
          <cell r="D43"/>
          <cell r="E43"/>
          <cell r="F43"/>
        </row>
        <row r="44">
          <cell r="B44" t="str">
            <v>Computer - NR</v>
          </cell>
          <cell r="C44"/>
          <cell r="D44"/>
          <cell r="E44"/>
          <cell r="F44"/>
        </row>
        <row r="45">
          <cell r="B45" t="str">
            <v>ASHP - New</v>
          </cell>
          <cell r="C45">
            <v>0.88200000000000001</v>
          </cell>
          <cell r="D45">
            <v>0.5</v>
          </cell>
          <cell r="E45">
            <v>0</v>
          </cell>
          <cell r="F45">
            <v>0.9</v>
          </cell>
        </row>
        <row r="46">
          <cell r="B46" t="str">
            <v>ASHP - NR</v>
          </cell>
          <cell r="C46">
            <v>0.73499999999999999</v>
          </cell>
          <cell r="D46">
            <v>0.5</v>
          </cell>
          <cell r="E46">
            <v>0</v>
          </cell>
          <cell r="F46">
            <v>0.25</v>
          </cell>
        </row>
        <row r="47">
          <cell r="B47" t="str">
            <v>HP - Retro</v>
          </cell>
          <cell r="C47">
            <v>0</v>
          </cell>
          <cell r="D47">
            <v>0</v>
          </cell>
          <cell r="E47">
            <v>0</v>
          </cell>
          <cell r="F47">
            <v>0</v>
          </cell>
        </row>
        <row r="48">
          <cell r="B48" t="str">
            <v>DHP - New</v>
          </cell>
          <cell r="C48">
            <v>0.97019999999999995</v>
          </cell>
          <cell r="D48">
            <v>0.99</v>
          </cell>
          <cell r="E48">
            <v>0</v>
          </cell>
          <cell r="F48">
            <v>0.99</v>
          </cell>
        </row>
        <row r="49">
          <cell r="B49" t="str">
            <v>DHP - NR</v>
          </cell>
          <cell r="C49">
            <v>0.97019999999999995</v>
          </cell>
          <cell r="D49">
            <v>0.99</v>
          </cell>
          <cell r="E49">
            <v>0</v>
          </cell>
          <cell r="F49">
            <v>0.99</v>
          </cell>
        </row>
        <row r="50">
          <cell r="B50" t="str">
            <v>DHP - Retro</v>
          </cell>
          <cell r="C50">
            <v>0</v>
          </cell>
          <cell r="D50">
            <v>0</v>
          </cell>
          <cell r="E50">
            <v>0</v>
          </cell>
          <cell r="F50">
            <v>0</v>
          </cell>
        </row>
        <row r="51">
          <cell r="B51" t="str">
            <v>Duct Sealing - New</v>
          </cell>
          <cell r="C51">
            <v>0.4519771928174614</v>
          </cell>
          <cell r="D51">
            <v>0</v>
          </cell>
          <cell r="E51">
            <v>0</v>
          </cell>
          <cell r="F51">
            <v>0.54161498247447359</v>
          </cell>
        </row>
        <row r="52">
          <cell r="B52" t="str">
            <v>Duct Sealing - Retro</v>
          </cell>
          <cell r="C52">
            <v>0.4293783331765883</v>
          </cell>
          <cell r="D52">
            <v>0</v>
          </cell>
          <cell r="E52">
            <v>0</v>
          </cell>
          <cell r="F52">
            <v>0.51453423335074988</v>
          </cell>
        </row>
        <row r="53">
          <cell r="B53" t="str">
            <v>WIFI enabled tstats - New</v>
          </cell>
          <cell r="C53">
            <v>0.2</v>
          </cell>
          <cell r="D53">
            <v>0.2</v>
          </cell>
          <cell r="E53">
            <v>0</v>
          </cell>
          <cell r="F53">
            <v>0.2</v>
          </cell>
        </row>
        <row r="54">
          <cell r="B54" t="str">
            <v>WIFI enabled tstats - Retro</v>
          </cell>
          <cell r="C54">
            <v>0.19800000000000001</v>
          </cell>
          <cell r="D54">
            <v>0.19800000000000001</v>
          </cell>
          <cell r="E54">
            <v>0</v>
          </cell>
          <cell r="F54">
            <v>0.19800000000000001</v>
          </cell>
        </row>
        <row r="55">
          <cell r="B55" t="str">
            <v>Combo DHP/HPWH units - New</v>
          </cell>
          <cell r="C55">
            <v>0</v>
          </cell>
          <cell r="D55">
            <v>0</v>
          </cell>
          <cell r="E55">
            <v>0</v>
          </cell>
          <cell r="F55">
            <v>0</v>
          </cell>
        </row>
        <row r="56">
          <cell r="B56" t="str">
            <v>Combo DHP/HPWH units - NR</v>
          </cell>
          <cell r="C56">
            <v>0</v>
          </cell>
          <cell r="D56">
            <v>0</v>
          </cell>
          <cell r="E56">
            <v>0</v>
          </cell>
          <cell r="F56">
            <v>0</v>
          </cell>
        </row>
        <row r="57">
          <cell r="B57" t="str">
            <v>Combo DHP/HPWH units - Retro</v>
          </cell>
          <cell r="C57">
            <v>0</v>
          </cell>
          <cell r="D57">
            <v>0</v>
          </cell>
          <cell r="E57">
            <v>0</v>
          </cell>
          <cell r="F57">
            <v>0</v>
          </cell>
        </row>
        <row r="58">
          <cell r="B58" t="str">
            <v>Aerator - New</v>
          </cell>
          <cell r="C58">
            <v>0.315</v>
          </cell>
          <cell r="D58">
            <v>0.315</v>
          </cell>
          <cell r="E58">
            <v>0.315</v>
          </cell>
          <cell r="F58">
            <v>0.315</v>
          </cell>
        </row>
        <row r="59">
          <cell r="B59" t="str">
            <v>Aerator - Retro</v>
          </cell>
          <cell r="C59">
            <v>0.315</v>
          </cell>
          <cell r="D59">
            <v>0.315</v>
          </cell>
          <cell r="E59">
            <v>0.315</v>
          </cell>
          <cell r="F59">
            <v>0.315</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cell r="C62">
            <v>0</v>
          </cell>
          <cell r="D62">
            <v>0</v>
          </cell>
          <cell r="E62">
            <v>0</v>
          </cell>
          <cell r="F62">
            <v>0</v>
          </cell>
        </row>
        <row r="63">
          <cell r="B63" t="str">
            <v>Heat Recovery Ventilation - New</v>
          </cell>
          <cell r="C63">
            <v>0.89100000000000001</v>
          </cell>
          <cell r="D63">
            <v>0</v>
          </cell>
          <cell r="E63">
            <v>0</v>
          </cell>
          <cell r="F63">
            <v>0</v>
          </cell>
        </row>
        <row r="64">
          <cell r="B64" t="str">
            <v>GSHP - New</v>
          </cell>
          <cell r="C64">
            <v>0.12485156673907999</v>
          </cell>
          <cell r="D64">
            <v>0</v>
          </cell>
          <cell r="E64">
            <v>0</v>
          </cell>
          <cell r="F64">
            <v>0</v>
          </cell>
        </row>
        <row r="65">
          <cell r="B65" t="str">
            <v>GSHP - NR</v>
          </cell>
          <cell r="C65">
            <v>0.12485156673907999</v>
          </cell>
          <cell r="D65">
            <v>0</v>
          </cell>
          <cell r="E65">
            <v>0</v>
          </cell>
          <cell r="F65">
            <v>0</v>
          </cell>
        </row>
        <row r="66">
          <cell r="B66">
            <v>0</v>
          </cell>
          <cell r="C66">
            <v>0</v>
          </cell>
          <cell r="D66">
            <v>0</v>
          </cell>
          <cell r="E66">
            <v>0</v>
          </cell>
          <cell r="F66">
            <v>0</v>
          </cell>
        </row>
        <row r="67">
          <cell r="B67" t="str">
            <v>ECM for HVAC ventilation - New</v>
          </cell>
          <cell r="C67">
            <v>0</v>
          </cell>
          <cell r="D67">
            <v>0</v>
          </cell>
          <cell r="E67">
            <v>0</v>
          </cell>
          <cell r="F67">
            <v>0</v>
          </cell>
        </row>
        <row r="68">
          <cell r="B68" t="str">
            <v>ECM for HVAC ventilation - NR</v>
          </cell>
          <cell r="C68">
            <v>0</v>
          </cell>
          <cell r="D68">
            <v>0</v>
          </cell>
          <cell r="E68">
            <v>0</v>
          </cell>
          <cell r="F68">
            <v>0</v>
          </cell>
        </row>
        <row r="69">
          <cell r="B69" t="str">
            <v>Whole house/attic fan - New</v>
          </cell>
          <cell r="C69">
            <v>0</v>
          </cell>
          <cell r="D69">
            <v>0</v>
          </cell>
          <cell r="E69">
            <v>0</v>
          </cell>
          <cell r="F69">
            <v>0</v>
          </cell>
        </row>
        <row r="70">
          <cell r="B70" t="str">
            <v>Whole house/attic fan - Retro</v>
          </cell>
          <cell r="C70">
            <v>0</v>
          </cell>
          <cell r="D70">
            <v>0</v>
          </cell>
          <cell r="E70">
            <v>0</v>
          </cell>
          <cell r="F70">
            <v>0</v>
          </cell>
        </row>
        <row r="71">
          <cell r="B71" t="str">
            <v>WH Pipe insulation - Retro</v>
          </cell>
          <cell r="C71">
            <v>0</v>
          </cell>
          <cell r="D71">
            <v>0</v>
          </cell>
          <cell r="E71">
            <v>0</v>
          </cell>
          <cell r="F71">
            <v>0</v>
          </cell>
        </row>
        <row r="72">
          <cell r="B72" t="str">
            <v>DHP Ducted - NR</v>
          </cell>
          <cell r="C72">
            <v>0.2475</v>
          </cell>
          <cell r="D72">
            <v>0</v>
          </cell>
          <cell r="E72">
            <v>0</v>
          </cell>
          <cell r="F72">
            <v>0.74249999999999994</v>
          </cell>
        </row>
        <row r="73">
          <cell r="B73" t="str">
            <v>Advanced Power Strips - New</v>
          </cell>
          <cell r="C73">
            <v>0.33660000000000001</v>
          </cell>
          <cell r="D73">
            <v>0.2475</v>
          </cell>
          <cell r="E73">
            <v>0.2475</v>
          </cell>
          <cell r="F73">
            <v>0.2475</v>
          </cell>
        </row>
        <row r="74">
          <cell r="B74" t="str">
            <v>Advanced Power Strips - Retro</v>
          </cell>
          <cell r="C74">
            <v>0.33660000000000001</v>
          </cell>
          <cell r="D74">
            <v>0.2475</v>
          </cell>
          <cell r="E74">
            <v>0.2475</v>
          </cell>
          <cell r="F74">
            <v>0.2475</v>
          </cell>
        </row>
        <row r="75">
          <cell r="B75" t="str">
            <v>Controls Commissioning and Sizing - New</v>
          </cell>
          <cell r="C75">
            <v>0.76</v>
          </cell>
          <cell r="D75">
            <v>0</v>
          </cell>
          <cell r="E75">
            <v>0</v>
          </cell>
          <cell r="F75">
            <v>0.76</v>
          </cell>
        </row>
        <row r="76">
          <cell r="B76" t="str">
            <v>Controls Commissioning and Sizing - NR</v>
          </cell>
          <cell r="C76">
            <v>0.76</v>
          </cell>
          <cell r="D76">
            <v>0</v>
          </cell>
          <cell r="E76">
            <v>0</v>
          </cell>
          <cell r="F76">
            <v>0.76</v>
          </cell>
        </row>
        <row r="77">
          <cell r="B77" t="str">
            <v>ResWx - Retro</v>
          </cell>
          <cell r="C77">
            <v>0.95</v>
          </cell>
          <cell r="D77">
            <v>1</v>
          </cell>
          <cell r="E77">
            <v>0</v>
          </cell>
          <cell r="F77">
            <v>0.95</v>
          </cell>
        </row>
        <row r="78">
          <cell r="B78" t="str">
            <v>ATTIC R0 - R19 - Retro</v>
          </cell>
          <cell r="C78">
            <v>0</v>
          </cell>
          <cell r="D78">
            <v>5.4136342171710254E-2</v>
          </cell>
          <cell r="E78">
            <v>0</v>
          </cell>
          <cell r="F78">
            <v>0</v>
          </cell>
        </row>
        <row r="79">
          <cell r="B79" t="str">
            <v>ATTIC R0 - R22 - Retro</v>
          </cell>
          <cell r="C79">
            <v>0</v>
          </cell>
          <cell r="D79">
            <v>0</v>
          </cell>
          <cell r="E79">
            <v>0</v>
          </cell>
          <cell r="F79">
            <v>1.7654231774693385E-2</v>
          </cell>
        </row>
        <row r="80">
          <cell r="B80" t="str">
            <v>ATTIC R0 - R30 - Retro</v>
          </cell>
          <cell r="C80">
            <v>0</v>
          </cell>
          <cell r="D80">
            <v>0</v>
          </cell>
          <cell r="E80">
            <v>0</v>
          </cell>
          <cell r="F80">
            <v>5.370909487280473E-2</v>
          </cell>
        </row>
        <row r="81">
          <cell r="B81" t="str">
            <v>ATTIC R0 - R38 - Retro</v>
          </cell>
          <cell r="C81">
            <v>3.0150417138103489E-2</v>
          </cell>
          <cell r="D81">
            <v>1.0754159339533284E-2</v>
          </cell>
          <cell r="E81">
            <v>0</v>
          </cell>
          <cell r="F81">
            <v>0</v>
          </cell>
        </row>
        <row r="82">
          <cell r="B82" t="str">
            <v>ATTIC R0 - R49 - Retro</v>
          </cell>
          <cell r="C82">
            <v>1.6064798296574784E-2</v>
          </cell>
          <cell r="D82">
            <v>6.4148166587866887E-2</v>
          </cell>
          <cell r="E82">
            <v>0</v>
          </cell>
          <cell r="F82">
            <v>0</v>
          </cell>
        </row>
        <row r="83">
          <cell r="B83" t="str">
            <v>ATTIC R11 - R30 - Retro</v>
          </cell>
          <cell r="C83">
            <v>0</v>
          </cell>
          <cell r="D83">
            <v>0</v>
          </cell>
          <cell r="E83">
            <v>0</v>
          </cell>
          <cell r="F83">
            <v>1.0533305070999921E-3</v>
          </cell>
        </row>
        <row r="84">
          <cell r="B84" t="str">
            <v>ATTIC R11 - R38 - Retro</v>
          </cell>
          <cell r="C84">
            <v>2.4846271780712467E-2</v>
          </cell>
          <cell r="D84">
            <v>0</v>
          </cell>
          <cell r="E84">
            <v>0</v>
          </cell>
          <cell r="F84">
            <v>0</v>
          </cell>
        </row>
        <row r="85">
          <cell r="B85" t="str">
            <v>ATTIC R11 - R49 - Retro</v>
          </cell>
          <cell r="C85">
            <v>1.9498021140463982E-2</v>
          </cell>
          <cell r="D85">
            <v>0</v>
          </cell>
          <cell r="E85">
            <v>0</v>
          </cell>
          <cell r="F85">
            <v>0</v>
          </cell>
        </row>
        <row r="86">
          <cell r="B86" t="str">
            <v>ATTIC R19 - R30 - Retro</v>
          </cell>
          <cell r="C86">
            <v>0</v>
          </cell>
          <cell r="D86">
            <v>6.5125260012002723E-2</v>
          </cell>
          <cell r="E86">
            <v>0</v>
          </cell>
          <cell r="F86">
            <v>0</v>
          </cell>
        </row>
        <row r="87">
          <cell r="B87" t="str">
            <v>ATTIC R19 - R38 - Retro</v>
          </cell>
          <cell r="C87">
            <v>8.2033817107202978E-3</v>
          </cell>
          <cell r="D87">
            <v>1.0053116760243517E-2</v>
          </cell>
          <cell r="E87">
            <v>0</v>
          </cell>
          <cell r="F87">
            <v>0</v>
          </cell>
        </row>
        <row r="88">
          <cell r="B88" t="str">
            <v>ATTIC R19 - R49 - Retro</v>
          </cell>
          <cell r="C88">
            <v>1.7662848312546196E-2</v>
          </cell>
          <cell r="D88">
            <v>0.14766594591946242</v>
          </cell>
          <cell r="E88">
            <v>0</v>
          </cell>
          <cell r="F88">
            <v>0</v>
          </cell>
        </row>
        <row r="89">
          <cell r="B89" t="str">
            <v>WALL R0 - R11 - Retro</v>
          </cell>
          <cell r="C89">
            <v>8.46755457988283E-2</v>
          </cell>
          <cell r="D89">
            <v>8.6999999999999966E-2</v>
          </cell>
          <cell r="E89">
            <v>0</v>
          </cell>
          <cell r="F89">
            <v>0</v>
          </cell>
        </row>
        <row r="90">
          <cell r="B90" t="str">
            <v>FLOOR R0 - R19 - Retro</v>
          </cell>
          <cell r="C90">
            <v>7.8781984396844446E-2</v>
          </cell>
          <cell r="D90">
            <v>2.1455163910870823E-2</v>
          </cell>
          <cell r="E90">
            <v>0</v>
          </cell>
          <cell r="F90">
            <v>0</v>
          </cell>
        </row>
        <row r="91">
          <cell r="B91" t="str">
            <v>FLOOR R0 - R22 - Retro</v>
          </cell>
          <cell r="C91">
            <v>0</v>
          </cell>
          <cell r="D91">
            <v>0</v>
          </cell>
          <cell r="E91">
            <v>0</v>
          </cell>
          <cell r="F91">
            <v>1.0665247527328225E-2</v>
          </cell>
        </row>
        <row r="92">
          <cell r="B92" t="str">
            <v>FLOOR R0 - R25 - Retro</v>
          </cell>
          <cell r="C92">
            <v>4.555152699293441E-2</v>
          </cell>
          <cell r="D92">
            <v>0</v>
          </cell>
          <cell r="E92">
            <v>0</v>
          </cell>
          <cell r="F92">
            <v>0</v>
          </cell>
        </row>
        <row r="93">
          <cell r="B93" t="str">
            <v>FLOOR R0 - R30 - Retro</v>
          </cell>
          <cell r="C93">
            <v>0.10512619459663457</v>
          </cell>
          <cell r="D93">
            <v>0.23754483608912919</v>
          </cell>
          <cell r="E93">
            <v>0</v>
          </cell>
          <cell r="F93">
            <v>0</v>
          </cell>
        </row>
        <row r="94">
          <cell r="B94" t="str">
            <v>FLOOR R11 - R22 - Retro</v>
          </cell>
          <cell r="C94">
            <v>0</v>
          </cell>
          <cell r="D94">
            <v>0</v>
          </cell>
          <cell r="E94">
            <v>0</v>
          </cell>
          <cell r="F94">
            <v>1.6234206236719673E-2</v>
          </cell>
        </row>
        <row r="95">
          <cell r="B95" t="str">
            <v>WINDOW CL30 Prime Window Replacement of Single Pane Base - Retro</v>
          </cell>
          <cell r="C95">
            <v>3.5442601061513916E-2</v>
          </cell>
          <cell r="D95">
            <v>0.12758359544917094</v>
          </cell>
          <cell r="E95">
            <v>0</v>
          </cell>
          <cell r="F95">
            <v>1.3677383586228942E-2</v>
          </cell>
        </row>
        <row r="96">
          <cell r="B96" t="str">
            <v>WINDOW CL30 Prime Window Replacement of Double Pane Base - Retro</v>
          </cell>
          <cell r="C96">
            <v>0.74240695226153941</v>
          </cell>
          <cell r="D96">
            <v>0.66296155480151864</v>
          </cell>
          <cell r="E96">
            <v>0</v>
          </cell>
          <cell r="F96">
            <v>6.9568000974991058E-4</v>
          </cell>
        </row>
        <row r="97">
          <cell r="B97" t="str">
            <v>WINDOW CL22 Prime Window Replacement of Single Pane Base - Retro</v>
          </cell>
          <cell r="C97">
            <v>8.860650265378479E-3</v>
          </cell>
          <cell r="D97">
            <v>3.1895898862292736E-2</v>
          </cell>
          <cell r="E97">
            <v>0</v>
          </cell>
          <cell r="F97">
            <v>3.4193458965572354E-3</v>
          </cell>
        </row>
        <row r="98">
          <cell r="B98" t="str">
            <v>WINDOW CL22 Prime Window Replacement of Double Pane Base - Retro</v>
          </cell>
          <cell r="C98">
            <v>0.18560173806538485</v>
          </cell>
          <cell r="D98">
            <v>0.16574038870037966</v>
          </cell>
          <cell r="E98">
            <v>0</v>
          </cell>
          <cell r="F98">
            <v>1.7392000243747764E-4</v>
          </cell>
        </row>
        <row r="99">
          <cell r="B99" t="str">
            <v>CFM50 Infiltration Reduction - Retro</v>
          </cell>
          <cell r="C99">
            <v>0.3489194352936118</v>
          </cell>
          <cell r="D99">
            <v>0.5</v>
          </cell>
          <cell r="E99">
            <v>0</v>
          </cell>
          <cell r="F99">
            <v>8.366655018171143E-2</v>
          </cell>
        </row>
        <row r="100">
          <cell r="B100"/>
          <cell r="C100">
            <v>0</v>
          </cell>
          <cell r="D100">
            <v>0</v>
          </cell>
          <cell r="E100">
            <v>0</v>
          </cell>
          <cell r="F100">
            <v>0</v>
          </cell>
        </row>
        <row r="101">
          <cell r="B101"/>
        </row>
        <row r="102">
          <cell r="B102"/>
        </row>
        <row r="103">
          <cell r="B103"/>
        </row>
        <row r="104">
          <cell r="B104"/>
        </row>
        <row r="105">
          <cell r="B105"/>
        </row>
        <row r="106">
          <cell r="B106"/>
        </row>
        <row r="107">
          <cell r="B107"/>
        </row>
        <row r="108">
          <cell r="B108"/>
        </row>
        <row r="109">
          <cell r="B109"/>
        </row>
        <row r="110">
          <cell r="B110"/>
        </row>
        <row r="111">
          <cell r="B111"/>
        </row>
        <row r="112">
          <cell r="B112"/>
        </row>
        <row r="113">
          <cell r="B113"/>
        </row>
        <row r="114">
          <cell r="B114"/>
        </row>
        <row r="115">
          <cell r="B115"/>
        </row>
        <row r="116">
          <cell r="B116"/>
        </row>
        <row r="117">
          <cell r="B117"/>
        </row>
        <row r="118">
          <cell r="B118"/>
        </row>
        <row r="119">
          <cell r="B119"/>
        </row>
        <row r="120">
          <cell r="B120"/>
        </row>
        <row r="121">
          <cell r="B121"/>
        </row>
        <row r="122">
          <cell r="B122"/>
        </row>
        <row r="123">
          <cell r="B123"/>
        </row>
        <row r="124">
          <cell r="B124"/>
        </row>
        <row r="125">
          <cell r="B125"/>
        </row>
        <row r="126">
          <cell r="B126"/>
        </row>
        <row r="127">
          <cell r="B127"/>
        </row>
        <row r="128">
          <cell r="B128"/>
        </row>
        <row r="129">
          <cell r="B129"/>
        </row>
        <row r="130">
          <cell r="B130"/>
        </row>
        <row r="131">
          <cell r="B131"/>
        </row>
        <row r="132">
          <cell r="B132"/>
        </row>
        <row r="133">
          <cell r="B133"/>
        </row>
        <row r="134">
          <cell r="B134"/>
        </row>
        <row r="135">
          <cell r="B135"/>
        </row>
        <row r="136">
          <cell r="B136"/>
        </row>
        <row r="137">
          <cell r="B137"/>
        </row>
        <row r="138">
          <cell r="B138"/>
        </row>
        <row r="139">
          <cell r="B139"/>
        </row>
        <row r="140">
          <cell r="B140"/>
        </row>
        <row r="141">
          <cell r="B141"/>
        </row>
        <row r="142">
          <cell r="B142"/>
        </row>
        <row r="143">
          <cell r="B143"/>
        </row>
        <row r="144">
          <cell r="B144"/>
        </row>
        <row r="145">
          <cell r="B145"/>
        </row>
        <row r="146">
          <cell r="B146"/>
        </row>
        <row r="147">
          <cell r="B147"/>
        </row>
        <row r="148">
          <cell r="B148"/>
        </row>
        <row r="149">
          <cell r="B149"/>
        </row>
        <row r="150">
          <cell r="B150"/>
        </row>
        <row r="151">
          <cell r="B151"/>
        </row>
        <row r="152">
          <cell r="B152"/>
        </row>
      </sheetData>
      <sheetData sheetId="5"/>
      <sheetData sheetId="6"/>
      <sheetData sheetId="7"/>
      <sheetData sheetId="8">
        <row r="10">
          <cell r="B10" t="str">
            <v>Lighting - NR</v>
          </cell>
          <cell r="C10">
            <v>0.125</v>
          </cell>
          <cell r="D10">
            <v>0.125</v>
          </cell>
          <cell r="E10">
            <v>0.125</v>
          </cell>
          <cell r="F10">
            <v>0.125</v>
          </cell>
        </row>
        <row r="11">
          <cell r="B11" t="str">
            <v>Lighting - PPA</v>
          </cell>
          <cell r="C11" t="str">
            <v/>
          </cell>
          <cell r="D11" t="str">
            <v/>
          </cell>
          <cell r="E11" t="str">
            <v/>
          </cell>
          <cell r="F11" t="str">
            <v/>
          </cell>
        </row>
        <row r="12">
          <cell r="B12" t="str">
            <v>Dishwasher - New</v>
          </cell>
          <cell r="C12">
            <v>1</v>
          </cell>
          <cell r="D12">
            <v>1</v>
          </cell>
          <cell r="E12">
            <v>1</v>
          </cell>
          <cell r="F12">
            <v>1</v>
          </cell>
        </row>
        <row r="13">
          <cell r="B13" t="str">
            <v>Dishwasher - NR</v>
          </cell>
          <cell r="C13">
            <v>6.4935064935064929E-2</v>
          </cell>
          <cell r="D13">
            <v>6.4935064935064929E-2</v>
          </cell>
          <cell r="E13">
            <v>6.4935064935064929E-2</v>
          </cell>
          <cell r="F13">
            <v>6.4935064935064929E-2</v>
          </cell>
        </row>
        <row r="14">
          <cell r="B14" t="str">
            <v>Clothes Washer - New</v>
          </cell>
          <cell r="C14">
            <v>1</v>
          </cell>
          <cell r="D14">
            <v>1</v>
          </cell>
          <cell r="E14">
            <v>1</v>
          </cell>
          <cell r="F14">
            <v>1</v>
          </cell>
        </row>
        <row r="15">
          <cell r="B15" t="str">
            <v>Clothes Washer - NR</v>
          </cell>
          <cell r="C15">
            <v>7.1428571428571425E-2</v>
          </cell>
          <cell r="D15">
            <v>7.1428571428571425E-2</v>
          </cell>
          <cell r="E15">
            <v>7.1428571428571425E-2</v>
          </cell>
          <cell r="F15">
            <v>7.1428571428571425E-2</v>
          </cell>
        </row>
        <row r="16">
          <cell r="B16" t="str">
            <v>WasteWater Heat Recovery - New</v>
          </cell>
          <cell r="C16">
            <v>1</v>
          </cell>
          <cell r="D16">
            <v>1</v>
          </cell>
          <cell r="E16">
            <v>1</v>
          </cell>
          <cell r="F16">
            <v>1</v>
          </cell>
        </row>
        <row r="17">
          <cell r="B17" t="str">
            <v>Showerheads - New</v>
          </cell>
          <cell r="C17">
            <v>1</v>
          </cell>
          <cell r="D17">
            <v>1</v>
          </cell>
          <cell r="E17">
            <v>1</v>
          </cell>
          <cell r="F17">
            <v>1</v>
          </cell>
        </row>
        <row r="18">
          <cell r="B18" t="str">
            <v>Showerheads - Retro</v>
          </cell>
          <cell r="C18" t="str">
            <v/>
          </cell>
          <cell r="D18" t="str">
            <v/>
          </cell>
          <cell r="E18" t="str">
            <v/>
          </cell>
          <cell r="F18" t="str">
            <v/>
          </cell>
        </row>
        <row r="19">
          <cell r="B19" t="str">
            <v>HPWH - New</v>
          </cell>
          <cell r="C19">
            <v>1</v>
          </cell>
          <cell r="D19">
            <v>1</v>
          </cell>
          <cell r="E19">
            <v>1</v>
          </cell>
          <cell r="F19">
            <v>1</v>
          </cell>
        </row>
        <row r="20">
          <cell r="B20" t="str">
            <v>HPWH - NR</v>
          </cell>
          <cell r="C20">
            <v>7.6923076923076927E-2</v>
          </cell>
          <cell r="D20">
            <v>7.6923076923076927E-2</v>
          </cell>
          <cell r="E20">
            <v>7.6923076923076927E-2</v>
          </cell>
          <cell r="F20">
            <v>7.6923076923076927E-2</v>
          </cell>
        </row>
        <row r="21">
          <cell r="B21" t="str">
            <v>EV Supply Equip - NR</v>
          </cell>
          <cell r="C21">
            <v>0.1</v>
          </cell>
          <cell r="D21">
            <v>0.1</v>
          </cell>
          <cell r="E21">
            <v>0.1</v>
          </cell>
          <cell r="F21">
            <v>0.1</v>
          </cell>
        </row>
        <row r="22">
          <cell r="B22" t="str">
            <v>Clothes Dryer - New</v>
          </cell>
          <cell r="C22">
            <v>1</v>
          </cell>
          <cell r="D22">
            <v>1</v>
          </cell>
          <cell r="E22">
            <v>1</v>
          </cell>
          <cell r="F22">
            <v>1</v>
          </cell>
        </row>
        <row r="23">
          <cell r="B23" t="str">
            <v>Clothes Dryer - NR</v>
          </cell>
          <cell r="C23">
            <v>6.25E-2</v>
          </cell>
          <cell r="D23">
            <v>6.25E-2</v>
          </cell>
          <cell r="E23">
            <v>6.25E-2</v>
          </cell>
          <cell r="F23">
            <v>6.25E-2</v>
          </cell>
        </row>
        <row r="24">
          <cell r="B24" t="str">
            <v>Refrigerator - New</v>
          </cell>
          <cell r="C24">
            <v>1</v>
          </cell>
          <cell r="D24">
            <v>1</v>
          </cell>
          <cell r="E24">
            <v>1</v>
          </cell>
          <cell r="F24">
            <v>1</v>
          </cell>
        </row>
        <row r="25">
          <cell r="B25" t="str">
            <v>Refrigerator - NR</v>
          </cell>
          <cell r="C25">
            <v>6.5789473684210523E-2</v>
          </cell>
          <cell r="D25">
            <v>6.5789473684210523E-2</v>
          </cell>
          <cell r="E25">
            <v>6.5789473684210523E-2</v>
          </cell>
          <cell r="F25">
            <v>6.5789473684210523E-2</v>
          </cell>
        </row>
        <row r="26">
          <cell r="B26" t="str">
            <v>Freezer - New</v>
          </cell>
          <cell r="C26">
            <v>1</v>
          </cell>
          <cell r="D26">
            <v>1</v>
          </cell>
          <cell r="E26">
            <v>1</v>
          </cell>
          <cell r="F26">
            <v>1</v>
          </cell>
        </row>
        <row r="27">
          <cell r="B27" t="str">
            <v>Freezer - NR</v>
          </cell>
          <cell r="C27">
            <v>4.6082949308755762E-2</v>
          </cell>
          <cell r="D27">
            <v>4.6082949308755762E-2</v>
          </cell>
          <cell r="E27">
            <v>4.6082949308755762E-2</v>
          </cell>
          <cell r="F27">
            <v>4.6082949308755762E-2</v>
          </cell>
        </row>
        <row r="28">
          <cell r="B28" t="str">
            <v>Solar Water Heater - New</v>
          </cell>
          <cell r="C28">
            <v>1</v>
          </cell>
          <cell r="D28">
            <v>1</v>
          </cell>
          <cell r="E28">
            <v>1</v>
          </cell>
          <cell r="F28">
            <v>1</v>
          </cell>
        </row>
        <row r="29">
          <cell r="B29" t="str">
            <v>Solar Water Heater - NR</v>
          </cell>
          <cell r="C29" t="e">
            <v>#DIV/0!</v>
          </cell>
          <cell r="D29" t="e">
            <v>#DIV/0!</v>
          </cell>
          <cell r="E29" t="e">
            <v>#DIV/0!</v>
          </cell>
          <cell r="F29" t="e">
            <v>#DIV/0!</v>
          </cell>
        </row>
        <row r="30">
          <cell r="B30" t="str">
            <v>Solar Water Heater - Retro</v>
          </cell>
          <cell r="C30" t="str">
            <v/>
          </cell>
          <cell r="D30" t="str">
            <v/>
          </cell>
          <cell r="E30" t="str">
            <v/>
          </cell>
          <cell r="F30" t="str">
            <v/>
          </cell>
        </row>
        <row r="31">
          <cell r="B31">
            <v>0</v>
          </cell>
          <cell r="C31" t="str">
            <v/>
          </cell>
          <cell r="D31" t="str">
            <v/>
          </cell>
          <cell r="E31" t="str">
            <v/>
          </cell>
          <cell r="F31" t="str">
            <v/>
          </cell>
        </row>
        <row r="32">
          <cell r="B32">
            <v>0</v>
          </cell>
          <cell r="C32" t="str">
            <v/>
          </cell>
          <cell r="D32" t="str">
            <v/>
          </cell>
          <cell r="E32" t="str">
            <v/>
          </cell>
          <cell r="F32" t="str">
            <v/>
          </cell>
        </row>
        <row r="33">
          <cell r="B33" t="str">
            <v>Electric Oven - New</v>
          </cell>
          <cell r="C33">
            <v>1</v>
          </cell>
          <cell r="D33">
            <v>1</v>
          </cell>
          <cell r="E33">
            <v>1</v>
          </cell>
          <cell r="F33">
            <v>1</v>
          </cell>
        </row>
        <row r="34">
          <cell r="B34" t="str">
            <v>Electric Oven - NR</v>
          </cell>
          <cell r="C34">
            <v>0.05</v>
          </cell>
          <cell r="D34">
            <v>0.05</v>
          </cell>
          <cell r="E34">
            <v>0.05</v>
          </cell>
          <cell r="F34">
            <v>0.05</v>
          </cell>
        </row>
        <row r="35">
          <cell r="B35" t="str">
            <v>Microwave - New</v>
          </cell>
          <cell r="C35">
            <v>1</v>
          </cell>
          <cell r="D35">
            <v>1</v>
          </cell>
          <cell r="E35">
            <v>1</v>
          </cell>
          <cell r="F35">
            <v>1</v>
          </cell>
        </row>
        <row r="36">
          <cell r="B36" t="str">
            <v>Microwave - NR</v>
          </cell>
          <cell r="C36">
            <v>0.1111111111111111</v>
          </cell>
          <cell r="D36">
            <v>0.1111111111111111</v>
          </cell>
          <cell r="E36">
            <v>0.1111111111111111</v>
          </cell>
          <cell r="F36">
            <v>0.1111111111111111</v>
          </cell>
        </row>
        <row r="37">
          <cell r="B37" t="str">
            <v>Monitor - New</v>
          </cell>
          <cell r="C37">
            <v>1</v>
          </cell>
          <cell r="D37">
            <v>1</v>
          </cell>
          <cell r="E37">
            <v>1</v>
          </cell>
          <cell r="F37">
            <v>1</v>
          </cell>
        </row>
        <row r="38">
          <cell r="B38" t="str">
            <v>Monitor - NR</v>
          </cell>
          <cell r="C38">
            <v>0.2</v>
          </cell>
          <cell r="D38">
            <v>0.2</v>
          </cell>
          <cell r="E38">
            <v>0.2</v>
          </cell>
          <cell r="F38">
            <v>0.2</v>
          </cell>
        </row>
        <row r="39">
          <cell r="B39" t="str">
            <v>Desktop - New</v>
          </cell>
          <cell r="C39">
            <v>1</v>
          </cell>
          <cell r="D39">
            <v>1</v>
          </cell>
          <cell r="E39">
            <v>1</v>
          </cell>
          <cell r="F39">
            <v>1</v>
          </cell>
        </row>
        <row r="40">
          <cell r="B40" t="str">
            <v>Desktop - NR</v>
          </cell>
          <cell r="C40">
            <v>0.25</v>
          </cell>
          <cell r="D40">
            <v>0.25</v>
          </cell>
          <cell r="E40">
            <v>0.25</v>
          </cell>
          <cell r="F40">
            <v>0.25</v>
          </cell>
        </row>
        <row r="41">
          <cell r="B41" t="str">
            <v>Laptop - New</v>
          </cell>
          <cell r="C41">
            <v>1</v>
          </cell>
          <cell r="D41">
            <v>1</v>
          </cell>
          <cell r="E41">
            <v>1</v>
          </cell>
          <cell r="F41">
            <v>1</v>
          </cell>
        </row>
        <row r="42">
          <cell r="B42" t="str">
            <v>Laptop - NR</v>
          </cell>
          <cell r="C42">
            <v>0.25</v>
          </cell>
          <cell r="D42">
            <v>0.25</v>
          </cell>
          <cell r="E42">
            <v>0.25</v>
          </cell>
          <cell r="F42">
            <v>0.25</v>
          </cell>
        </row>
        <row r="43">
          <cell r="B43" t="str">
            <v>Computer - New</v>
          </cell>
          <cell r="C43">
            <v>1</v>
          </cell>
          <cell r="D43">
            <v>1</v>
          </cell>
          <cell r="E43">
            <v>1</v>
          </cell>
          <cell r="F43">
            <v>1</v>
          </cell>
        </row>
        <row r="44">
          <cell r="B44" t="str">
            <v>Computer - NR</v>
          </cell>
          <cell r="C44">
            <v>0.25</v>
          </cell>
          <cell r="D44">
            <v>0.25</v>
          </cell>
          <cell r="E44">
            <v>0.25</v>
          </cell>
          <cell r="F44">
            <v>0.25</v>
          </cell>
        </row>
        <row r="45">
          <cell r="B45" t="str">
            <v>ASHP - New</v>
          </cell>
          <cell r="C45">
            <v>1</v>
          </cell>
          <cell r="D45">
            <v>1</v>
          </cell>
          <cell r="E45">
            <v>1</v>
          </cell>
          <cell r="F45">
            <v>1</v>
          </cell>
        </row>
        <row r="46">
          <cell r="B46" t="str">
            <v>ASHP - NR</v>
          </cell>
          <cell r="C46">
            <v>6.6666666666666666E-2</v>
          </cell>
          <cell r="D46">
            <v>6.6666666666666666E-2</v>
          </cell>
          <cell r="E46">
            <v>6.6666666666666666E-2</v>
          </cell>
          <cell r="F46">
            <v>6.6666666666666666E-2</v>
          </cell>
        </row>
        <row r="47">
          <cell r="B47" t="str">
            <v>HP - Retro</v>
          </cell>
          <cell r="C47" t="str">
            <v/>
          </cell>
          <cell r="D47" t="str">
            <v/>
          </cell>
          <cell r="E47" t="str">
            <v/>
          </cell>
          <cell r="F47" t="str">
            <v/>
          </cell>
        </row>
        <row r="48">
          <cell r="B48" t="str">
            <v>DHP - New</v>
          </cell>
          <cell r="C48">
            <v>1</v>
          </cell>
          <cell r="D48">
            <v>1</v>
          </cell>
          <cell r="E48">
            <v>1</v>
          </cell>
          <cell r="F48">
            <v>1</v>
          </cell>
        </row>
        <row r="49">
          <cell r="B49" t="str">
            <v>DHP - NR</v>
          </cell>
          <cell r="C49">
            <v>6.6666666666666666E-2</v>
          </cell>
          <cell r="D49">
            <v>6.6666666666666666E-2</v>
          </cell>
          <cell r="E49">
            <v>6.6666666666666666E-2</v>
          </cell>
          <cell r="F49">
            <v>6.6666666666666666E-2</v>
          </cell>
        </row>
        <row r="50">
          <cell r="B50" t="str">
            <v>DHP - Retro</v>
          </cell>
          <cell r="C50" t="str">
            <v/>
          </cell>
          <cell r="D50" t="str">
            <v/>
          </cell>
          <cell r="E50" t="str">
            <v/>
          </cell>
          <cell r="F50" t="str">
            <v/>
          </cell>
        </row>
        <row r="51">
          <cell r="B51" t="str">
            <v>Duct Sealing - New</v>
          </cell>
          <cell r="C51">
            <v>1</v>
          </cell>
          <cell r="D51">
            <v>1</v>
          </cell>
          <cell r="E51">
            <v>1</v>
          </cell>
          <cell r="F51">
            <v>1</v>
          </cell>
        </row>
        <row r="52">
          <cell r="B52" t="str">
            <v>Duct Sealing - Retro</v>
          </cell>
          <cell r="C52" t="str">
            <v/>
          </cell>
          <cell r="D52" t="str">
            <v/>
          </cell>
          <cell r="E52" t="str">
            <v/>
          </cell>
          <cell r="F52" t="str">
            <v/>
          </cell>
        </row>
        <row r="53">
          <cell r="B53" t="str">
            <v>WIFI enabled tstats - New</v>
          </cell>
          <cell r="C53">
            <v>1</v>
          </cell>
          <cell r="D53">
            <v>1</v>
          </cell>
          <cell r="E53">
            <v>1</v>
          </cell>
          <cell r="F53">
            <v>1</v>
          </cell>
        </row>
        <row r="54">
          <cell r="B54" t="str">
            <v>WIFI enabled tstats - Retro</v>
          </cell>
          <cell r="C54" t="str">
            <v/>
          </cell>
          <cell r="D54" t="str">
            <v/>
          </cell>
          <cell r="E54" t="str">
            <v/>
          </cell>
          <cell r="F54" t="str">
            <v/>
          </cell>
        </row>
        <row r="55">
          <cell r="B55" t="str">
            <v>Combo DHP/HPWH units - New</v>
          </cell>
          <cell r="C55">
            <v>1</v>
          </cell>
          <cell r="D55">
            <v>1</v>
          </cell>
          <cell r="E55">
            <v>1</v>
          </cell>
          <cell r="F55">
            <v>1</v>
          </cell>
        </row>
        <row r="56">
          <cell r="B56" t="str">
            <v>Combo DHP/HPWH units - NR</v>
          </cell>
          <cell r="C56" t="e">
            <v>#DIV/0!</v>
          </cell>
          <cell r="D56" t="e">
            <v>#DIV/0!</v>
          </cell>
          <cell r="E56" t="e">
            <v>#DIV/0!</v>
          </cell>
          <cell r="F56" t="e">
            <v>#DIV/0!</v>
          </cell>
        </row>
        <row r="57">
          <cell r="B57" t="str">
            <v>Combo DHP/HPWH units - Retro</v>
          </cell>
          <cell r="C57" t="str">
            <v/>
          </cell>
          <cell r="D57" t="str">
            <v/>
          </cell>
          <cell r="E57" t="str">
            <v/>
          </cell>
          <cell r="F57" t="str">
            <v/>
          </cell>
        </row>
        <row r="58">
          <cell r="B58" t="str">
            <v>Aerator - New</v>
          </cell>
          <cell r="C58">
            <v>1</v>
          </cell>
          <cell r="D58">
            <v>1</v>
          </cell>
          <cell r="E58">
            <v>1</v>
          </cell>
          <cell r="F58">
            <v>1</v>
          </cell>
        </row>
        <row r="59">
          <cell r="B59" t="str">
            <v>Aerator - Retro</v>
          </cell>
          <cell r="C59" t="str">
            <v/>
          </cell>
          <cell r="D59" t="str">
            <v/>
          </cell>
          <cell r="E59" t="str">
            <v/>
          </cell>
          <cell r="F59" t="str">
            <v/>
          </cell>
        </row>
        <row r="60">
          <cell r="B60" t="str">
            <v>Behavior - Retro</v>
          </cell>
          <cell r="C60" t="str">
            <v/>
          </cell>
          <cell r="D60" t="str">
            <v/>
          </cell>
          <cell r="E60" t="str">
            <v/>
          </cell>
          <cell r="F60" t="str">
            <v/>
          </cell>
        </row>
        <row r="61">
          <cell r="B61" t="str">
            <v>Behavior - New</v>
          </cell>
          <cell r="C61">
            <v>1</v>
          </cell>
          <cell r="D61">
            <v>1</v>
          </cell>
          <cell r="E61">
            <v>1</v>
          </cell>
          <cell r="F61">
            <v>1</v>
          </cell>
        </row>
        <row r="62">
          <cell r="B62">
            <v>0</v>
          </cell>
          <cell r="C62" t="str">
            <v/>
          </cell>
          <cell r="D62" t="str">
            <v/>
          </cell>
          <cell r="E62" t="str">
            <v/>
          </cell>
          <cell r="F62" t="str">
            <v/>
          </cell>
        </row>
        <row r="63">
          <cell r="B63" t="str">
            <v>Heat Recovery Ventilation - New</v>
          </cell>
          <cell r="C63">
            <v>1</v>
          </cell>
          <cell r="D63">
            <v>1</v>
          </cell>
          <cell r="E63">
            <v>1</v>
          </cell>
          <cell r="F63">
            <v>1</v>
          </cell>
        </row>
        <row r="64">
          <cell r="B64" t="str">
            <v>GSHP - New</v>
          </cell>
          <cell r="C64">
            <v>1</v>
          </cell>
          <cell r="D64">
            <v>1</v>
          </cell>
          <cell r="E64">
            <v>1</v>
          </cell>
          <cell r="F64">
            <v>1</v>
          </cell>
        </row>
        <row r="65">
          <cell r="B65" t="str">
            <v>GSHP - NR</v>
          </cell>
          <cell r="C65">
            <v>6.6666666666666666E-2</v>
          </cell>
          <cell r="D65">
            <v>6.6666666666666666E-2</v>
          </cell>
          <cell r="E65">
            <v>6.6666666666666666E-2</v>
          </cell>
          <cell r="F65">
            <v>6.6666666666666666E-2</v>
          </cell>
        </row>
        <row r="66">
          <cell r="B66">
            <v>0</v>
          </cell>
          <cell r="C66" t="str">
            <v/>
          </cell>
          <cell r="D66" t="str">
            <v/>
          </cell>
          <cell r="E66" t="str">
            <v/>
          </cell>
          <cell r="F66" t="str">
            <v/>
          </cell>
        </row>
        <row r="67">
          <cell r="B67" t="str">
            <v>ECM for HVAC ventilation - New</v>
          </cell>
          <cell r="C67">
            <v>1</v>
          </cell>
          <cell r="D67">
            <v>1</v>
          </cell>
          <cell r="E67">
            <v>1</v>
          </cell>
          <cell r="F67">
            <v>1</v>
          </cell>
        </row>
        <row r="68">
          <cell r="B68" t="str">
            <v>ECM for HVAC ventilation - NR</v>
          </cell>
          <cell r="C68" t="e">
            <v>#DIV/0!</v>
          </cell>
          <cell r="D68" t="e">
            <v>#DIV/0!</v>
          </cell>
          <cell r="E68" t="e">
            <v>#DIV/0!</v>
          </cell>
          <cell r="F68" t="e">
            <v>#DIV/0!</v>
          </cell>
        </row>
        <row r="69">
          <cell r="B69" t="str">
            <v>Whole house/attic fan - New</v>
          </cell>
          <cell r="C69">
            <v>1</v>
          </cell>
          <cell r="D69">
            <v>1</v>
          </cell>
          <cell r="E69">
            <v>1</v>
          </cell>
          <cell r="F69">
            <v>1</v>
          </cell>
        </row>
        <row r="70">
          <cell r="B70" t="str">
            <v>Whole house/attic fan - Retro</v>
          </cell>
          <cell r="C70" t="str">
            <v/>
          </cell>
          <cell r="D70" t="str">
            <v/>
          </cell>
          <cell r="E70" t="str">
            <v/>
          </cell>
          <cell r="F70" t="str">
            <v/>
          </cell>
        </row>
        <row r="71">
          <cell r="B71" t="str">
            <v>WH Pipe insulation - Retro</v>
          </cell>
          <cell r="C71" t="str">
            <v/>
          </cell>
          <cell r="D71" t="str">
            <v/>
          </cell>
          <cell r="E71" t="str">
            <v/>
          </cell>
          <cell r="F71" t="str">
            <v/>
          </cell>
        </row>
        <row r="72">
          <cell r="B72" t="str">
            <v>DHP Ducted - NR</v>
          </cell>
          <cell r="C72">
            <v>6.6666666666666666E-2</v>
          </cell>
          <cell r="D72">
            <v>6.6666666666666666E-2</v>
          </cell>
          <cell r="E72">
            <v>6.6666666666666666E-2</v>
          </cell>
          <cell r="F72">
            <v>6.6666666666666666E-2</v>
          </cell>
        </row>
        <row r="73">
          <cell r="B73" t="str">
            <v>Advanced Power Strips - New</v>
          </cell>
          <cell r="C73">
            <v>1</v>
          </cell>
          <cell r="D73">
            <v>1</v>
          </cell>
          <cell r="E73">
            <v>1</v>
          </cell>
          <cell r="F73">
            <v>1</v>
          </cell>
        </row>
        <row r="74">
          <cell r="B74" t="str">
            <v>Advanced Power Strips - Retro</v>
          </cell>
          <cell r="C74" t="str">
            <v/>
          </cell>
          <cell r="D74" t="str">
            <v/>
          </cell>
          <cell r="E74" t="str">
            <v/>
          </cell>
          <cell r="F74" t="str">
            <v/>
          </cell>
        </row>
        <row r="75">
          <cell r="B75" t="str">
            <v>Controls Commissioning and Sizing - New</v>
          </cell>
          <cell r="C75">
            <v>1</v>
          </cell>
          <cell r="D75">
            <v>1</v>
          </cell>
          <cell r="E75">
            <v>1</v>
          </cell>
          <cell r="F75">
            <v>1</v>
          </cell>
        </row>
        <row r="76">
          <cell r="B76" t="str">
            <v>Controls Commissioning and Sizing - NR</v>
          </cell>
          <cell r="C76">
            <v>6.6666666666666666E-2</v>
          </cell>
          <cell r="D76">
            <v>6.6666666666666666E-2</v>
          </cell>
          <cell r="E76">
            <v>6.6666666666666666E-2</v>
          </cell>
          <cell r="F76">
            <v>6.6666666666666666E-2</v>
          </cell>
        </row>
        <row r="77">
          <cell r="B77" t="str">
            <v>ResWx - Retro</v>
          </cell>
          <cell r="C77" t="str">
            <v/>
          </cell>
          <cell r="D77" t="str">
            <v/>
          </cell>
          <cell r="E77" t="str">
            <v/>
          </cell>
          <cell r="F77" t="str">
            <v/>
          </cell>
        </row>
        <row r="78">
          <cell r="C78"/>
          <cell r="D78"/>
          <cell r="E78"/>
          <cell r="F78"/>
        </row>
      </sheetData>
      <sheetData sheetId="9">
        <row r="9">
          <cell r="C9" t="str">
            <v>Retro12Med</v>
          </cell>
          <cell r="D9">
            <v>0.10937459468255628</v>
          </cell>
          <cell r="E9">
            <v>0.10937459468255628</v>
          </cell>
          <cell r="F9">
            <v>0.10937459468255628</v>
          </cell>
          <cell r="G9">
            <v>0.10937459468255628</v>
          </cell>
          <cell r="H9">
            <v>0.10937459468255628</v>
          </cell>
          <cell r="I9">
            <v>9.8437135214300656E-2</v>
          </cell>
          <cell r="J9">
            <v>7.874970817144053E-2</v>
          </cell>
          <cell r="K9">
            <v>6.2999766537152418E-2</v>
          </cell>
          <cell r="L9">
            <v>5.0399813229721938E-2</v>
          </cell>
          <cell r="M9">
            <v>4.0319850583777551E-2</v>
          </cell>
          <cell r="N9">
            <v>3.225588046702204E-2</v>
          </cell>
          <cell r="O9">
            <v>2.5804704373617631E-2</v>
          </cell>
          <cell r="P9">
            <v>2.0643763498894106E-2</v>
          </cell>
          <cell r="Q9">
            <v>1.6515010799115284E-2</v>
          </cell>
          <cell r="R9">
            <v>1.3212008639292228E-2</v>
          </cell>
          <cell r="S9">
            <v>1.0569606911433781E-2</v>
          </cell>
          <cell r="T9">
            <v>7.2092823794611682E-5</v>
          </cell>
          <cell r="U9">
            <v>2.5747437069512102E-5</v>
          </cell>
          <cell r="V9">
            <v>8.7775353646568632E-6</v>
          </cell>
          <cell r="W9">
            <v>2.8622397928446119E-6</v>
          </cell>
          <cell r="X9"/>
        </row>
        <row r="10">
          <cell r="C10" t="str">
            <v>Retro5Med</v>
          </cell>
          <cell r="D10">
            <v>4.2999999999999997E-2</v>
          </cell>
          <cell r="E10">
            <v>5.279714228027832E-2</v>
          </cell>
          <cell r="F10">
            <v>6.4608251467478173E-2</v>
          </cell>
          <cell r="G10">
            <v>7.4999999999999997E-2</v>
          </cell>
          <cell r="H10">
            <v>8.5546997470333563E-2</v>
          </cell>
          <cell r="I10">
            <v>0.10001472303820647</v>
          </cell>
          <cell r="J10">
            <v>0.10971770435235073</v>
          </cell>
          <cell r="K10">
            <v>0.11208438511970376</v>
          </cell>
          <cell r="L10">
            <v>0.10562608162722853</v>
          </cell>
          <cell r="M10">
            <v>9.0794563997872335E-2</v>
          </cell>
          <cell r="N10">
            <v>7.0260666991849297E-2</v>
          </cell>
          <cell r="O10">
            <v>4.8218360404944538E-2</v>
          </cell>
          <cell r="P10">
            <v>2.8854234614640095E-2</v>
          </cell>
          <cell r="Q10">
            <v>1.4773964924806759E-2</v>
          </cell>
          <cell r="R10">
            <v>6.3385343681182649E-3</v>
          </cell>
          <cell r="S10">
            <v>2.2268577196306039E-3</v>
          </cell>
          <cell r="T10">
            <v>6.2471001963848583E-4</v>
          </cell>
          <cell r="U10">
            <v>1.3615841889635938E-4</v>
          </cell>
          <cell r="V10">
            <v>2.2380636622298944E-5</v>
          </cell>
          <cell r="W10">
            <v>2.68643837586513E-6</v>
          </cell>
          <cell r="X10"/>
        </row>
        <row r="11">
          <cell r="C11" t="str">
            <v>Retro1Slow</v>
          </cell>
          <cell r="D11">
            <v>2.5643970768378654E-3</v>
          </cell>
          <cell r="E11">
            <v>5.1260615529385989E-3</v>
          </cell>
          <cell r="F11">
            <v>9.1015544176433795E-3</v>
          </cell>
          <cell r="G11">
            <v>1.4804925730045659E-2</v>
          </cell>
          <cell r="H11">
            <v>2.2471809420486211E-2</v>
          </cell>
          <cell r="I11">
            <v>3.2184432813882391E-2</v>
          </cell>
          <cell r="J11">
            <v>4.3779667172004086E-2</v>
          </cell>
          <cell r="K11">
            <v>5.675426075474499E-2</v>
          </cell>
          <cell r="L11">
            <v>7.0195239068707532E-2</v>
          </cell>
          <cell r="M11">
            <v>8.2776861842756788E-2</v>
          </cell>
          <cell r="N11">
            <v>9.2870259507494834E-2</v>
          </cell>
          <cell r="O11">
            <v>9.8796470678915727E-2</v>
          </cell>
          <cell r="P11">
            <v>9.9208932889988999E-2</v>
          </cell>
          <cell r="Q11">
            <v>9.3521150494244254E-2</v>
          </cell>
          <cell r="R11">
            <v>8.2226007896862296E-2</v>
          </cell>
          <cell r="S11">
            <v>6.6933566027365665E-2</v>
          </cell>
          <cell r="T11">
            <v>5.0029565143448806E-2</v>
          </cell>
          <cell r="U11">
            <v>3.402486521893211E-2</v>
          </cell>
          <cell r="V11">
            <v>2.0846059340774659E-2</v>
          </cell>
          <cell r="W11">
            <v>0.01</v>
          </cell>
          <cell r="X11"/>
        </row>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cell r="X12"/>
        </row>
        <row r="13">
          <cell r="C13" t="str">
            <v>Retro20Fast</v>
          </cell>
          <cell r="D13">
            <v>0.22119921692859512</v>
          </cell>
          <cell r="E13">
            <v>0.15504311102289431</v>
          </cell>
          <cell r="F13">
            <v>0.10733128557729499</v>
          </cell>
          <cell r="G13">
            <v>8.3589689255657879E-2</v>
          </cell>
          <cell r="H13">
            <v>7.3237179880126971E-2</v>
          </cell>
          <cell r="I13">
            <v>6.3374636711760357E-2</v>
          </cell>
          <cell r="J13">
            <v>5.4291838367783084E-2</v>
          </cell>
          <cell r="K13">
            <v>4.612639225659896E-2</v>
          </cell>
          <cell r="L13">
            <v>3.8916876277172864E-2</v>
          </cell>
          <cell r="M13">
            <v>3.2639916313151704E-2</v>
          </cell>
          <cell r="N13">
            <v>2.7235706125786907E-2</v>
          </cell>
          <cell r="O13">
            <v>2.1211189258265428E-2</v>
          </cell>
          <cell r="P13">
            <v>1.6519290804212883E-2</v>
          </cell>
          <cell r="Q13">
            <v>1.2865236614105324E-2</v>
          </cell>
          <cell r="R13">
            <v>1.0019456349464106E-2</v>
          </cell>
          <cell r="S13">
            <v>7.8031604509122832E-3</v>
          </cell>
          <cell r="T13">
            <v>6.077107469602494E-3</v>
          </cell>
          <cell r="U13">
            <v>4.7328560561354371E-3</v>
          </cell>
          <cell r="V13">
            <v>3.6859520026825132E-3</v>
          </cell>
          <cell r="W13">
            <v>2.8706223060526725E-3</v>
          </cell>
          <cell r="X13"/>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cell r="X14"/>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cell r="X15"/>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cell r="X16"/>
        </row>
        <row r="17">
          <cell r="C17" t="str">
            <v>LightingPPA</v>
          </cell>
          <cell r="D17">
            <v>0.5468729734127814</v>
          </cell>
          <cell r="E17">
            <v>0.43749837873022512</v>
          </cell>
          <cell r="F17">
            <v>0.32812378404766884</v>
          </cell>
          <cell r="G17">
            <v>0.21874918936511256</v>
          </cell>
          <cell r="H17">
            <v>0.10937459468255628</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row>
        <row r="18">
          <cell r="B18"/>
          <cell r="C18"/>
          <cell r="D18"/>
          <cell r="E18"/>
          <cell r="F18"/>
          <cell r="G18"/>
          <cell r="H18"/>
          <cell r="I18"/>
          <cell r="J18"/>
          <cell r="K18"/>
          <cell r="L18"/>
          <cell r="M18"/>
          <cell r="N18"/>
          <cell r="O18"/>
          <cell r="P18"/>
          <cell r="Q18"/>
          <cell r="R18"/>
          <cell r="S18"/>
          <cell r="T18"/>
          <cell r="U18"/>
          <cell r="V18"/>
          <cell r="W18"/>
          <cell r="X18"/>
        </row>
        <row r="19">
          <cell r="A19" t="str">
            <v>End Use</v>
          </cell>
          <cell r="B19" t="str">
            <v>Measure Index Name</v>
          </cell>
          <cell r="C19" t="str">
            <v>Ramp</v>
          </cell>
          <cell r="D19">
            <v>2016</v>
          </cell>
          <cell r="E19">
            <v>2017</v>
          </cell>
          <cell r="F19">
            <v>2018</v>
          </cell>
          <cell r="G19">
            <v>2019</v>
          </cell>
          <cell r="H19">
            <v>2020</v>
          </cell>
          <cell r="I19">
            <v>2021</v>
          </cell>
          <cell r="J19">
            <v>2022</v>
          </cell>
          <cell r="K19">
            <v>2023</v>
          </cell>
          <cell r="L19">
            <v>2024</v>
          </cell>
          <cell r="M19">
            <v>2025</v>
          </cell>
          <cell r="N19">
            <v>2026</v>
          </cell>
          <cell r="O19">
            <v>2027</v>
          </cell>
          <cell r="P19">
            <v>2028</v>
          </cell>
          <cell r="Q19">
            <v>2029</v>
          </cell>
          <cell r="R19">
            <v>2030</v>
          </cell>
          <cell r="S19">
            <v>2031</v>
          </cell>
          <cell r="T19">
            <v>2032</v>
          </cell>
          <cell r="U19">
            <v>2033</v>
          </cell>
          <cell r="V19">
            <v>2034</v>
          </cell>
          <cell r="W19">
            <v>2035</v>
          </cell>
          <cell r="X19"/>
        </row>
        <row r="20">
          <cell r="A20" t="str">
            <v>Lighting</v>
          </cell>
          <cell r="B20" t="str">
            <v>Lighting - New</v>
          </cell>
          <cell r="C20" t="str">
            <v>LO20Fast</v>
          </cell>
          <cell r="D20">
            <v>0.22119921692859512</v>
          </cell>
          <cell r="E20">
            <v>0.37624232795148943</v>
          </cell>
          <cell r="F20">
            <v>0.48357361352878442</v>
          </cell>
          <cell r="G20">
            <v>0.56716330278444227</v>
          </cell>
          <cell r="H20">
            <v>0.64040048266456928</v>
          </cell>
          <cell r="I20">
            <v>0.70377511937632964</v>
          </cell>
          <cell r="J20">
            <v>0.7580669577441127</v>
          </cell>
          <cell r="K20">
            <v>0.80419335000071168</v>
          </cell>
          <cell r="L20">
            <v>0.84311022627788457</v>
          </cell>
          <cell r="M20">
            <v>0.87575014259103623</v>
          </cell>
          <cell r="N20">
            <v>0.90298584871682319</v>
          </cell>
          <cell r="O20">
            <v>0.92419703797508856</v>
          </cell>
          <cell r="P20">
            <v>0.94071632877930145</v>
          </cell>
          <cell r="Q20">
            <v>0.95358156539340677</v>
          </cell>
          <cell r="R20">
            <v>0.96360102174287088</v>
          </cell>
          <cell r="S20">
            <v>0.97140418219378311</v>
          </cell>
          <cell r="T20">
            <v>0.97748128966338554</v>
          </cell>
          <cell r="U20">
            <v>0.98221414571952104</v>
          </cell>
          <cell r="V20">
            <v>0.98590009772220355</v>
          </cell>
          <cell r="W20">
            <v>0.98877072002825628</v>
          </cell>
          <cell r="X20"/>
        </row>
        <row r="21">
          <cell r="A21" t="str">
            <v>Lighting</v>
          </cell>
          <cell r="B21" t="str">
            <v>Lighting - NR</v>
          </cell>
          <cell r="C21" t="str">
            <v>LO20Fast</v>
          </cell>
          <cell r="D21">
            <v>0.22119921692859512</v>
          </cell>
          <cell r="E21">
            <v>0.37624232795148943</v>
          </cell>
          <cell r="F21">
            <v>0.48357361352878442</v>
          </cell>
          <cell r="G21">
            <v>0.56716330278444227</v>
          </cell>
          <cell r="H21">
            <v>0.64040048266456928</v>
          </cell>
          <cell r="I21">
            <v>0.70377511937632964</v>
          </cell>
          <cell r="J21">
            <v>0.7580669577441127</v>
          </cell>
          <cell r="K21">
            <v>0.80419335000071168</v>
          </cell>
          <cell r="L21">
            <v>0.84311022627788457</v>
          </cell>
          <cell r="M21">
            <v>0.87575014259103623</v>
          </cell>
          <cell r="N21">
            <v>0.90298584871682319</v>
          </cell>
          <cell r="O21">
            <v>0.92419703797508856</v>
          </cell>
          <cell r="P21">
            <v>0.94071632877930145</v>
          </cell>
          <cell r="Q21">
            <v>0.95358156539340677</v>
          </cell>
          <cell r="R21">
            <v>0.96360102174287088</v>
          </cell>
          <cell r="S21">
            <v>0.97140418219378311</v>
          </cell>
          <cell r="T21">
            <v>0.97748128966338554</v>
          </cell>
          <cell r="U21">
            <v>0.98221414571952104</v>
          </cell>
          <cell r="V21">
            <v>0.98590009772220355</v>
          </cell>
          <cell r="W21">
            <v>0.98877072002825628</v>
          </cell>
          <cell r="X21"/>
        </row>
        <row r="22">
          <cell r="A22" t="str">
            <v>Lighting</v>
          </cell>
          <cell r="B22" t="str">
            <v>Lighting - PPA</v>
          </cell>
          <cell r="C22" t="str">
            <v>Retro20Fast</v>
          </cell>
          <cell r="D22">
            <v>0.22119921692859512</v>
          </cell>
          <cell r="E22">
            <v>0.15504311102289431</v>
          </cell>
          <cell r="F22">
            <v>0.10733128557729499</v>
          </cell>
          <cell r="G22">
            <v>8.3589689255657879E-2</v>
          </cell>
          <cell r="H22">
            <v>7.3237179880126971E-2</v>
          </cell>
          <cell r="I22">
            <v>6.3374636711760357E-2</v>
          </cell>
          <cell r="J22">
            <v>5.4291838367783084E-2</v>
          </cell>
          <cell r="K22">
            <v>4.612639225659896E-2</v>
          </cell>
          <cell r="L22">
            <v>3.8916876277172864E-2</v>
          </cell>
          <cell r="M22">
            <v>3.2639916313151704E-2</v>
          </cell>
          <cell r="N22">
            <v>2.7235706125786907E-2</v>
          </cell>
          <cell r="O22">
            <v>2.1211189258265428E-2</v>
          </cell>
          <cell r="P22">
            <v>1.6519290804212883E-2</v>
          </cell>
          <cell r="Q22">
            <v>1.2865236614105324E-2</v>
          </cell>
          <cell r="R22">
            <v>1.0019456349464106E-2</v>
          </cell>
          <cell r="S22">
            <v>7.8031604509122832E-3</v>
          </cell>
          <cell r="T22">
            <v>6.077107469602494E-3</v>
          </cell>
          <cell r="U22">
            <v>4.7328560561354371E-3</v>
          </cell>
          <cell r="V22">
            <v>3.6859520026825132E-3</v>
          </cell>
          <cell r="W22">
            <v>2.8706223060526725E-3</v>
          </cell>
          <cell r="X22"/>
        </row>
        <row r="23">
          <cell r="A23" t="str">
            <v>Lighting PPA</v>
          </cell>
          <cell r="B23" t="str">
            <v>Lighting PPA</v>
          </cell>
          <cell r="C23" t="str">
            <v>LightingPPA</v>
          </cell>
          <cell r="D23">
            <v>0.5468729734127814</v>
          </cell>
          <cell r="E23">
            <v>0.43749837873022512</v>
          </cell>
          <cell r="F23">
            <v>0.32812378404766884</v>
          </cell>
          <cell r="G23">
            <v>0.21874918936511256</v>
          </cell>
          <cell r="H23">
            <v>0.10937459468255628</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row>
        <row r="24">
          <cell r="A24" t="str">
            <v>Water Heating</v>
          </cell>
          <cell r="B24" t="str">
            <v>Dishwasher - New</v>
          </cell>
          <cell r="C24" t="str">
            <v>LO12Med</v>
          </cell>
          <cell r="D24">
            <v>0.10937459468255628</v>
          </cell>
          <cell r="E24">
            <v>0.21874918936511256</v>
          </cell>
          <cell r="F24">
            <v>0.32812378404766884</v>
          </cell>
          <cell r="G24">
            <v>0.43749837873022512</v>
          </cell>
          <cell r="H24">
            <v>0.5468729734127814</v>
          </cell>
          <cell r="I24">
            <v>0.64531010862708205</v>
          </cell>
          <cell r="J24">
            <v>0.7240598167985226</v>
          </cell>
          <cell r="K24">
            <v>0.78705958333567505</v>
          </cell>
          <cell r="L24">
            <v>0.83745939656539703</v>
          </cell>
          <cell r="M24">
            <v>0.87777924714917455</v>
          </cell>
          <cell r="N24">
            <v>0.91003512761619654</v>
          </cell>
          <cell r="O24">
            <v>0.93583983198981413</v>
          </cell>
          <cell r="P24">
            <v>0.9564835954887082</v>
          </cell>
          <cell r="Q24">
            <v>0.97299860628782353</v>
          </cell>
          <cell r="R24">
            <v>0.9862106149271157</v>
          </cell>
          <cell r="S24">
            <v>0.99678022183854953</v>
          </cell>
          <cell r="T24">
            <v>0.99685231466234414</v>
          </cell>
          <cell r="U24">
            <v>0.99687806209941365</v>
          </cell>
          <cell r="V24">
            <v>0.99688683963477831</v>
          </cell>
          <cell r="W24">
            <v>0.99688970187457115</v>
          </cell>
          <cell r="X24"/>
        </row>
        <row r="25">
          <cell r="A25" t="str">
            <v>Water Heating</v>
          </cell>
          <cell r="B25" t="str">
            <v>Dishwasher - NR</v>
          </cell>
          <cell r="C25" t="str">
            <v>LO12Med</v>
          </cell>
          <cell r="D25">
            <v>0.10937459468255628</v>
          </cell>
          <cell r="E25">
            <v>0.21874918936511256</v>
          </cell>
          <cell r="F25">
            <v>0.32812378404766884</v>
          </cell>
          <cell r="G25">
            <v>0.43749837873022512</v>
          </cell>
          <cell r="H25">
            <v>0.5468729734127814</v>
          </cell>
          <cell r="I25">
            <v>0.64531010862708205</v>
          </cell>
          <cell r="J25">
            <v>0.7240598167985226</v>
          </cell>
          <cell r="K25">
            <v>0.78705958333567505</v>
          </cell>
          <cell r="L25">
            <v>0.83745939656539703</v>
          </cell>
          <cell r="M25">
            <v>0.87777924714917455</v>
          </cell>
          <cell r="N25">
            <v>0.91003512761619654</v>
          </cell>
          <cell r="O25">
            <v>0.93583983198981413</v>
          </cell>
          <cell r="P25">
            <v>0.9564835954887082</v>
          </cell>
          <cell r="Q25">
            <v>0.97299860628782353</v>
          </cell>
          <cell r="R25">
            <v>0.9862106149271157</v>
          </cell>
          <cell r="S25">
            <v>0.99678022183854953</v>
          </cell>
          <cell r="T25">
            <v>0.99685231466234414</v>
          </cell>
          <cell r="U25">
            <v>0.99687806209941365</v>
          </cell>
          <cell r="V25">
            <v>0.99688683963477831</v>
          </cell>
          <cell r="W25">
            <v>0.99688970187457115</v>
          </cell>
          <cell r="X25"/>
        </row>
        <row r="26">
          <cell r="A26" t="str">
            <v>Water Heating</v>
          </cell>
          <cell r="B26" t="str">
            <v>Clothes Washer - New</v>
          </cell>
          <cell r="C26" t="str">
            <v>LO12Med</v>
          </cell>
          <cell r="D26">
            <v>0.10937459468255628</v>
          </cell>
          <cell r="E26">
            <v>0.21874918936511256</v>
          </cell>
          <cell r="F26">
            <v>0.32812378404766884</v>
          </cell>
          <cell r="G26">
            <v>0.43749837873022512</v>
          </cell>
          <cell r="H26">
            <v>0.5468729734127814</v>
          </cell>
          <cell r="I26">
            <v>0.64531010862708205</v>
          </cell>
          <cell r="J26">
            <v>0.7240598167985226</v>
          </cell>
          <cell r="K26">
            <v>0.78705958333567505</v>
          </cell>
          <cell r="L26">
            <v>0.83745939656539703</v>
          </cell>
          <cell r="M26">
            <v>0.87777924714917455</v>
          </cell>
          <cell r="N26">
            <v>0.91003512761619654</v>
          </cell>
          <cell r="O26">
            <v>0.93583983198981413</v>
          </cell>
          <cell r="P26">
            <v>0.9564835954887082</v>
          </cell>
          <cell r="Q26">
            <v>0.97299860628782353</v>
          </cell>
          <cell r="R26">
            <v>0.9862106149271157</v>
          </cell>
          <cell r="S26">
            <v>0.99678022183854953</v>
          </cell>
          <cell r="T26">
            <v>0.99685231466234414</v>
          </cell>
          <cell r="U26">
            <v>0.99687806209941365</v>
          </cell>
          <cell r="V26">
            <v>0.99688683963477831</v>
          </cell>
          <cell r="W26">
            <v>0.99688970187457115</v>
          </cell>
          <cell r="X26"/>
        </row>
        <row r="27">
          <cell r="A27" t="str">
            <v>Water Heating</v>
          </cell>
          <cell r="B27" t="str">
            <v>Clothes Washer - NR</v>
          </cell>
          <cell r="C27" t="str">
            <v>LO12Med</v>
          </cell>
          <cell r="D27">
            <v>0.10937459468255628</v>
          </cell>
          <cell r="E27">
            <v>0.21874918936511256</v>
          </cell>
          <cell r="F27">
            <v>0.32812378404766884</v>
          </cell>
          <cell r="G27">
            <v>0.43749837873022512</v>
          </cell>
          <cell r="H27">
            <v>0.5468729734127814</v>
          </cell>
          <cell r="I27">
            <v>0.64531010862708205</v>
          </cell>
          <cell r="J27">
            <v>0.7240598167985226</v>
          </cell>
          <cell r="K27">
            <v>0.78705958333567505</v>
          </cell>
          <cell r="L27">
            <v>0.83745939656539703</v>
          </cell>
          <cell r="M27">
            <v>0.87777924714917455</v>
          </cell>
          <cell r="N27">
            <v>0.91003512761619654</v>
          </cell>
          <cell r="O27">
            <v>0.93583983198981413</v>
          </cell>
          <cell r="P27">
            <v>0.9564835954887082</v>
          </cell>
          <cell r="Q27">
            <v>0.97299860628782353</v>
          </cell>
          <cell r="R27">
            <v>0.9862106149271157</v>
          </cell>
          <cell r="S27">
            <v>0.99678022183854953</v>
          </cell>
          <cell r="T27">
            <v>0.99685231466234414</v>
          </cell>
          <cell r="U27">
            <v>0.99687806209941365</v>
          </cell>
          <cell r="V27">
            <v>0.99688683963477831</v>
          </cell>
          <cell r="W27">
            <v>0.99688970187457115</v>
          </cell>
          <cell r="X27"/>
        </row>
        <row r="28">
          <cell r="A28" t="str">
            <v>Water Heating</v>
          </cell>
          <cell r="B28" t="str">
            <v>WasteWater Heat Recovery - New</v>
          </cell>
          <cell r="C28" t="str">
            <v>LO1Slow</v>
          </cell>
          <cell r="D28">
            <v>2.5643970768378654E-3</v>
          </cell>
          <cell r="E28">
            <v>7.6904586297764643E-3</v>
          </cell>
          <cell r="F28">
            <v>1.6792013047419844E-2</v>
          </cell>
          <cell r="G28">
            <v>3.15969387774655E-2</v>
          </cell>
          <cell r="H28">
            <v>5.406874819795171E-2</v>
          </cell>
          <cell r="I28">
            <v>8.6253181011834101E-2</v>
          </cell>
          <cell r="J28">
            <v>0.1300328481838382</v>
          </cell>
          <cell r="K28">
            <v>0.18678710893858319</v>
          </cell>
          <cell r="L28">
            <v>0.2569823480072907</v>
          </cell>
          <cell r="M28">
            <v>0.33975920985004748</v>
          </cell>
          <cell r="N28">
            <v>0.43262946935754232</v>
          </cell>
          <cell r="O28">
            <v>0.53142594003645804</v>
          </cell>
          <cell r="P28">
            <v>0.63063487292644704</v>
          </cell>
          <cell r="Q28">
            <v>0.7241560234206913</v>
          </cell>
          <cell r="R28">
            <v>0.80638203131755359</v>
          </cell>
          <cell r="S28">
            <v>0.87331559734491926</v>
          </cell>
          <cell r="T28">
            <v>0.92334516248836807</v>
          </cell>
          <cell r="U28">
            <v>0.95737002770730018</v>
          </cell>
          <cell r="V28">
            <v>0.97821608704807483</v>
          </cell>
          <cell r="W28">
            <v>0.98821608704807484</v>
          </cell>
          <cell r="X28"/>
        </row>
        <row r="29">
          <cell r="A29" t="str">
            <v>Water Heating</v>
          </cell>
          <cell r="B29" t="str">
            <v>Showerheads - New</v>
          </cell>
          <cell r="C29" t="str">
            <v>LO12MEd</v>
          </cell>
          <cell r="D29">
            <v>0.10937459468255628</v>
          </cell>
          <cell r="E29">
            <v>0.21874918936511256</v>
          </cell>
          <cell r="F29">
            <v>0.32812378404766884</v>
          </cell>
          <cell r="G29">
            <v>0.43749837873022512</v>
          </cell>
          <cell r="H29">
            <v>0.5468729734127814</v>
          </cell>
          <cell r="I29">
            <v>0.64531010862708205</v>
          </cell>
          <cell r="J29">
            <v>0.7240598167985226</v>
          </cell>
          <cell r="K29">
            <v>0.78705958333567505</v>
          </cell>
          <cell r="L29">
            <v>0.83745939656539703</v>
          </cell>
          <cell r="M29">
            <v>0.87777924714917455</v>
          </cell>
          <cell r="N29">
            <v>0.91003512761619654</v>
          </cell>
          <cell r="O29">
            <v>0.93583983198981413</v>
          </cell>
          <cell r="P29">
            <v>0.9564835954887082</v>
          </cell>
          <cell r="Q29">
            <v>0.97299860628782353</v>
          </cell>
          <cell r="R29">
            <v>0.9862106149271157</v>
          </cell>
          <cell r="S29">
            <v>0.99678022183854953</v>
          </cell>
          <cell r="T29">
            <v>0.99685231466234414</v>
          </cell>
          <cell r="U29">
            <v>0.99687806209941365</v>
          </cell>
          <cell r="V29">
            <v>0.99688683963477831</v>
          </cell>
          <cell r="W29">
            <v>0.99688970187457115</v>
          </cell>
          <cell r="X29"/>
        </row>
        <row r="30">
          <cell r="A30" t="str">
            <v>Water Heating</v>
          </cell>
          <cell r="B30" t="str">
            <v>Showerheads - Retro</v>
          </cell>
          <cell r="C30" t="str">
            <v>Retro12Med</v>
          </cell>
          <cell r="D30">
            <v>0.10937459468255628</v>
          </cell>
          <cell r="E30">
            <v>0.10937459468255628</v>
          </cell>
          <cell r="F30">
            <v>0.10937459468255628</v>
          </cell>
          <cell r="G30">
            <v>0.10937459468255628</v>
          </cell>
          <cell r="H30">
            <v>0.10937459468255628</v>
          </cell>
          <cell r="I30">
            <v>9.8437135214300656E-2</v>
          </cell>
          <cell r="J30">
            <v>7.874970817144053E-2</v>
          </cell>
          <cell r="K30">
            <v>6.2999766537152418E-2</v>
          </cell>
          <cell r="L30">
            <v>5.0399813229721938E-2</v>
          </cell>
          <cell r="M30">
            <v>4.0319850583777551E-2</v>
          </cell>
          <cell r="N30">
            <v>3.225588046702204E-2</v>
          </cell>
          <cell r="O30">
            <v>2.5804704373617631E-2</v>
          </cell>
          <cell r="P30">
            <v>2.0643763498894106E-2</v>
          </cell>
          <cell r="Q30">
            <v>1.6515010799115284E-2</v>
          </cell>
          <cell r="R30">
            <v>1.3212008639292228E-2</v>
          </cell>
          <cell r="S30">
            <v>1.0569606911433781E-2</v>
          </cell>
          <cell r="T30">
            <v>7.2092823794611682E-5</v>
          </cell>
          <cell r="U30">
            <v>2.5747437069512102E-5</v>
          </cell>
          <cell r="V30">
            <v>8.7775353646568632E-6</v>
          </cell>
          <cell r="W30">
            <v>2.8622397928446119E-6</v>
          </cell>
          <cell r="X30"/>
        </row>
        <row r="31">
          <cell r="A31" t="str">
            <v>Water Heating</v>
          </cell>
          <cell r="B31" t="str">
            <v>HPWH - New</v>
          </cell>
          <cell r="C31" t="str">
            <v>LO3Slow</v>
          </cell>
          <cell r="D31">
            <v>5.5320496977002724E-3</v>
          </cell>
          <cell r="E31">
            <v>1.4227918344261844E-2</v>
          </cell>
          <cell r="F31">
            <v>3.1619655637384989E-2</v>
          </cell>
          <cell r="G31">
            <v>6.2055195900350503E-2</v>
          </cell>
          <cell r="H31">
            <v>0.10939936964274129</v>
          </cell>
          <cell r="I31">
            <v>0.17568121288208835</v>
          </cell>
          <cell r="J31">
            <v>0.26003992245943919</v>
          </cell>
          <cell r="K31">
            <v>0.3584584169663485</v>
          </cell>
          <cell r="L31">
            <v>0.46444756489686617</v>
          </cell>
          <cell r="M31">
            <v>0.57043671282738384</v>
          </cell>
          <cell r="N31">
            <v>0.66935991756253377</v>
          </cell>
          <cell r="O31">
            <v>0.75591772170578986</v>
          </cell>
          <cell r="P31">
            <v>0.82720061923553012</v>
          </cell>
          <cell r="Q31">
            <v>0.88264287286977261</v>
          </cell>
          <cell r="R31">
            <v>0.92349505975816193</v>
          </cell>
          <cell r="S31">
            <v>0.95209159058003434</v>
          </cell>
          <cell r="T31">
            <v>0.97115594446128262</v>
          </cell>
          <cell r="U31">
            <v>0.98328780602207699</v>
          </cell>
          <cell r="V31">
            <v>0.99067241740690848</v>
          </cell>
          <cell r="W31">
            <v>0.99498010738139331</v>
          </cell>
          <cell r="X31"/>
        </row>
        <row r="32">
          <cell r="A32" t="str">
            <v>Water Heating</v>
          </cell>
          <cell r="B32" t="str">
            <v>HPWH - NR</v>
          </cell>
          <cell r="C32" t="str">
            <v>LO3Slow</v>
          </cell>
          <cell r="D32">
            <v>5.5320496977002724E-3</v>
          </cell>
          <cell r="E32">
            <v>1.4227918344261844E-2</v>
          </cell>
          <cell r="F32">
            <v>3.1619655637384989E-2</v>
          </cell>
          <cell r="G32">
            <v>6.2055195900350503E-2</v>
          </cell>
          <cell r="H32">
            <v>0.10939936964274129</v>
          </cell>
          <cell r="I32">
            <v>0.17568121288208835</v>
          </cell>
          <cell r="J32">
            <v>0.26003992245943919</v>
          </cell>
          <cell r="K32">
            <v>0.3584584169663485</v>
          </cell>
          <cell r="L32">
            <v>0.46444756489686617</v>
          </cell>
          <cell r="M32">
            <v>0.57043671282738384</v>
          </cell>
          <cell r="N32">
            <v>0.66935991756253377</v>
          </cell>
          <cell r="O32">
            <v>0.75591772170578986</v>
          </cell>
          <cell r="P32">
            <v>0.82720061923553012</v>
          </cell>
          <cell r="Q32">
            <v>0.88264287286977261</v>
          </cell>
          <cell r="R32">
            <v>0.92349505975816193</v>
          </cell>
          <cell r="S32">
            <v>0.95209159058003434</v>
          </cell>
          <cell r="T32">
            <v>0.97115594446128262</v>
          </cell>
          <cell r="U32">
            <v>0.98328780602207699</v>
          </cell>
          <cell r="V32">
            <v>0.99067241740690848</v>
          </cell>
          <cell r="W32">
            <v>0.99498010738139331</v>
          </cell>
          <cell r="X32"/>
        </row>
        <row r="33">
          <cell r="A33" t="str">
            <v>Whole Bldg/Meter Level</v>
          </cell>
          <cell r="B33" t="str">
            <v>EV Supply Equip - NR</v>
          </cell>
          <cell r="C33" t="str">
            <v>LOMax60</v>
          </cell>
          <cell r="D33">
            <v>0.01</v>
          </cell>
          <cell r="E33">
            <v>2.98E-2</v>
          </cell>
          <cell r="F33">
            <v>5.8906E-2</v>
          </cell>
          <cell r="G33">
            <v>9.6549759999999998E-2</v>
          </cell>
          <cell r="H33">
            <v>0.14172227199999998</v>
          </cell>
          <cell r="I33">
            <v>0.19035800991999999</v>
          </cell>
          <cell r="J33">
            <v>0.2362377226912</v>
          </cell>
          <cell r="K33">
            <v>0.279517585072032</v>
          </cell>
          <cell r="L33">
            <v>0.32034492191795017</v>
          </cell>
          <cell r="M33">
            <v>0.35885870967593297</v>
          </cell>
          <cell r="N33">
            <v>0.39519004946096342</v>
          </cell>
          <cell r="O33">
            <v>0.42946261332484215</v>
          </cell>
          <cell r="P33">
            <v>0.46179306523643443</v>
          </cell>
          <cell r="Q33">
            <v>0.49229145820636983</v>
          </cell>
          <cell r="R33">
            <v>0.5210616089080089</v>
          </cell>
          <cell r="S33">
            <v>0.54820145106988838</v>
          </cell>
          <cell r="T33">
            <v>0.57380336884259475</v>
          </cell>
          <cell r="U33">
            <v>0.59795451127484767</v>
          </cell>
          <cell r="V33">
            <v>0.62073708896927293</v>
          </cell>
          <cell r="W33">
            <v>0.6422286539276808</v>
          </cell>
          <cell r="X33"/>
        </row>
        <row r="34">
          <cell r="A34" t="str">
            <v>Dryer</v>
          </cell>
          <cell r="B34" t="str">
            <v>Clothes Dryer - New</v>
          </cell>
          <cell r="C34" t="str">
            <v>LOMax60</v>
          </cell>
          <cell r="D34">
            <v>0.01</v>
          </cell>
          <cell r="E34">
            <v>2.98E-2</v>
          </cell>
          <cell r="F34">
            <v>5.8906E-2</v>
          </cell>
          <cell r="G34">
            <v>9.6549759999999998E-2</v>
          </cell>
          <cell r="H34">
            <v>0.14172227199999998</v>
          </cell>
          <cell r="I34">
            <v>0.19035800991999999</v>
          </cell>
          <cell r="J34">
            <v>0.2362377226912</v>
          </cell>
          <cell r="K34">
            <v>0.279517585072032</v>
          </cell>
          <cell r="L34">
            <v>0.32034492191795017</v>
          </cell>
          <cell r="M34">
            <v>0.35885870967593297</v>
          </cell>
          <cell r="N34">
            <v>0.39519004946096342</v>
          </cell>
          <cell r="O34">
            <v>0.42946261332484215</v>
          </cell>
          <cell r="P34">
            <v>0.46179306523643443</v>
          </cell>
          <cell r="Q34">
            <v>0.49229145820636983</v>
          </cell>
          <cell r="R34">
            <v>0.5210616089080089</v>
          </cell>
          <cell r="S34">
            <v>0.54820145106988838</v>
          </cell>
          <cell r="T34">
            <v>0.57380336884259475</v>
          </cell>
          <cell r="U34">
            <v>0.59795451127484767</v>
          </cell>
          <cell r="V34">
            <v>0.62073708896927293</v>
          </cell>
          <cell r="W34">
            <v>0.6422286539276808</v>
          </cell>
          <cell r="X34"/>
        </row>
        <row r="35">
          <cell r="A35" t="str">
            <v>Dryer</v>
          </cell>
          <cell r="B35" t="str">
            <v>Clothes Dryer - NR</v>
          </cell>
          <cell r="C35" t="str">
            <v>LOMax60</v>
          </cell>
          <cell r="D35">
            <v>0.01</v>
          </cell>
          <cell r="E35">
            <v>2.98E-2</v>
          </cell>
          <cell r="F35">
            <v>5.8906E-2</v>
          </cell>
          <cell r="G35">
            <v>9.6549759999999998E-2</v>
          </cell>
          <cell r="H35">
            <v>0.14172227199999998</v>
          </cell>
          <cell r="I35">
            <v>0.19035800991999999</v>
          </cell>
          <cell r="J35">
            <v>0.2362377226912</v>
          </cell>
          <cell r="K35">
            <v>0.279517585072032</v>
          </cell>
          <cell r="L35">
            <v>0.32034492191795017</v>
          </cell>
          <cell r="M35">
            <v>0.35885870967593297</v>
          </cell>
          <cell r="N35">
            <v>0.39519004946096342</v>
          </cell>
          <cell r="O35">
            <v>0.42946261332484215</v>
          </cell>
          <cell r="P35">
            <v>0.46179306523643443</v>
          </cell>
          <cell r="Q35">
            <v>0.49229145820636983</v>
          </cell>
          <cell r="R35">
            <v>0.5210616089080089</v>
          </cell>
          <cell r="S35">
            <v>0.54820145106988838</v>
          </cell>
          <cell r="T35">
            <v>0.57380336884259475</v>
          </cell>
          <cell r="U35">
            <v>0.59795451127484767</v>
          </cell>
          <cell r="V35">
            <v>0.62073708896927293</v>
          </cell>
          <cell r="W35">
            <v>0.6422286539276808</v>
          </cell>
          <cell r="X35"/>
        </row>
        <row r="36">
          <cell r="A36" t="str">
            <v>Refrigeration</v>
          </cell>
          <cell r="B36" t="str">
            <v>Refrigerator - New</v>
          </cell>
          <cell r="C36" t="str">
            <v>LO1Slow</v>
          </cell>
          <cell r="D36">
            <v>2.5643970768378654E-3</v>
          </cell>
          <cell r="E36">
            <v>7.6904586297764643E-3</v>
          </cell>
          <cell r="F36">
            <v>1.6792013047419844E-2</v>
          </cell>
          <cell r="G36">
            <v>3.15969387774655E-2</v>
          </cell>
          <cell r="H36">
            <v>5.406874819795171E-2</v>
          </cell>
          <cell r="I36">
            <v>8.6253181011834101E-2</v>
          </cell>
          <cell r="J36">
            <v>0.1300328481838382</v>
          </cell>
          <cell r="K36">
            <v>0.18678710893858319</v>
          </cell>
          <cell r="L36">
            <v>0.2569823480072907</v>
          </cell>
          <cell r="M36">
            <v>0.33975920985004748</v>
          </cell>
          <cell r="N36">
            <v>0.43262946935754232</v>
          </cell>
          <cell r="O36">
            <v>0.53142594003645804</v>
          </cell>
          <cell r="P36">
            <v>0.63063487292644704</v>
          </cell>
          <cell r="Q36">
            <v>0.7241560234206913</v>
          </cell>
          <cell r="R36">
            <v>0.80638203131755359</v>
          </cell>
          <cell r="S36">
            <v>0.87331559734491926</v>
          </cell>
          <cell r="T36">
            <v>0.92334516248836807</v>
          </cell>
          <cell r="U36">
            <v>0.95737002770730018</v>
          </cell>
          <cell r="V36">
            <v>0.97821608704807483</v>
          </cell>
          <cell r="W36">
            <v>0.98821608704807484</v>
          </cell>
          <cell r="X36"/>
        </row>
        <row r="37">
          <cell r="A37" t="str">
            <v>Refrigeration</v>
          </cell>
          <cell r="B37" t="str">
            <v>Refrigerator - NR</v>
          </cell>
          <cell r="C37" t="str">
            <v>LO1Slow</v>
          </cell>
          <cell r="D37">
            <v>2.5643970768378654E-3</v>
          </cell>
          <cell r="E37">
            <v>7.6904586297764643E-3</v>
          </cell>
          <cell r="F37">
            <v>1.6792013047419844E-2</v>
          </cell>
          <cell r="G37">
            <v>3.15969387774655E-2</v>
          </cell>
          <cell r="H37">
            <v>5.406874819795171E-2</v>
          </cell>
          <cell r="I37">
            <v>8.6253181011834101E-2</v>
          </cell>
          <cell r="J37">
            <v>0.1300328481838382</v>
          </cell>
          <cell r="K37">
            <v>0.18678710893858319</v>
          </cell>
          <cell r="L37">
            <v>0.2569823480072907</v>
          </cell>
          <cell r="M37">
            <v>0.33975920985004748</v>
          </cell>
          <cell r="N37">
            <v>0.43262946935754232</v>
          </cell>
          <cell r="O37">
            <v>0.53142594003645804</v>
          </cell>
          <cell r="P37">
            <v>0.63063487292644704</v>
          </cell>
          <cell r="Q37">
            <v>0.7241560234206913</v>
          </cell>
          <cell r="R37">
            <v>0.80638203131755359</v>
          </cell>
          <cell r="S37">
            <v>0.87331559734491926</v>
          </cell>
          <cell r="T37">
            <v>0.92334516248836807</v>
          </cell>
          <cell r="U37">
            <v>0.95737002770730018</v>
          </cell>
          <cell r="V37">
            <v>0.97821608704807483</v>
          </cell>
          <cell r="W37">
            <v>0.98821608704807484</v>
          </cell>
          <cell r="X37"/>
        </row>
        <row r="38">
          <cell r="A38" t="str">
            <v>Refrigeration</v>
          </cell>
          <cell r="B38" t="str">
            <v>Freezer - New</v>
          </cell>
          <cell r="C38" t="str">
            <v>LO1Slow</v>
          </cell>
          <cell r="D38">
            <v>2.5643970768378654E-3</v>
          </cell>
          <cell r="E38">
            <v>7.6904586297764643E-3</v>
          </cell>
          <cell r="F38">
            <v>1.6792013047419844E-2</v>
          </cell>
          <cell r="G38">
            <v>3.15969387774655E-2</v>
          </cell>
          <cell r="H38">
            <v>5.406874819795171E-2</v>
          </cell>
          <cell r="I38">
            <v>8.6253181011834101E-2</v>
          </cell>
          <cell r="J38">
            <v>0.1300328481838382</v>
          </cell>
          <cell r="K38">
            <v>0.18678710893858319</v>
          </cell>
          <cell r="L38">
            <v>0.2569823480072907</v>
          </cell>
          <cell r="M38">
            <v>0.33975920985004748</v>
          </cell>
          <cell r="N38">
            <v>0.43262946935754232</v>
          </cell>
          <cell r="O38">
            <v>0.53142594003645804</v>
          </cell>
          <cell r="P38">
            <v>0.63063487292644704</v>
          </cell>
          <cell r="Q38">
            <v>0.7241560234206913</v>
          </cell>
          <cell r="R38">
            <v>0.80638203131755359</v>
          </cell>
          <cell r="S38">
            <v>0.87331559734491926</v>
          </cell>
          <cell r="T38">
            <v>0.92334516248836807</v>
          </cell>
          <cell r="U38">
            <v>0.95737002770730018</v>
          </cell>
          <cell r="V38">
            <v>0.97821608704807483</v>
          </cell>
          <cell r="W38">
            <v>0.98821608704807484</v>
          </cell>
          <cell r="X38"/>
        </row>
        <row r="39">
          <cell r="A39" t="str">
            <v>Refrigeration</v>
          </cell>
          <cell r="B39" t="str">
            <v>Freezer - NR</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cell r="X39"/>
        </row>
        <row r="40">
          <cell r="A40" t="str">
            <v>Water Heating</v>
          </cell>
          <cell r="B40" t="str">
            <v>Solar Water Heater - New</v>
          </cell>
          <cell r="C40" t="str">
            <v>LOMax60</v>
          </cell>
          <cell r="D40">
            <v>0.01</v>
          </cell>
          <cell r="E40">
            <v>2.98E-2</v>
          </cell>
          <cell r="F40">
            <v>5.8906E-2</v>
          </cell>
          <cell r="G40">
            <v>9.6549759999999998E-2</v>
          </cell>
          <cell r="H40">
            <v>0.14172227199999998</v>
          </cell>
          <cell r="I40">
            <v>0.19035800991999999</v>
          </cell>
          <cell r="J40">
            <v>0.2362377226912</v>
          </cell>
          <cell r="K40">
            <v>0.279517585072032</v>
          </cell>
          <cell r="L40">
            <v>0.32034492191795017</v>
          </cell>
          <cell r="M40">
            <v>0.35885870967593297</v>
          </cell>
          <cell r="N40">
            <v>0.39519004946096342</v>
          </cell>
          <cell r="O40">
            <v>0.42946261332484215</v>
          </cell>
          <cell r="P40">
            <v>0.46179306523643443</v>
          </cell>
          <cell r="Q40">
            <v>0.49229145820636983</v>
          </cell>
          <cell r="R40">
            <v>0.5210616089080089</v>
          </cell>
          <cell r="S40">
            <v>0.54820145106988838</v>
          </cell>
          <cell r="T40">
            <v>0.57380336884259475</v>
          </cell>
          <cell r="U40">
            <v>0.59795451127484767</v>
          </cell>
          <cell r="V40">
            <v>0.62073708896927293</v>
          </cell>
          <cell r="W40">
            <v>0.6422286539276808</v>
          </cell>
          <cell r="X40"/>
        </row>
        <row r="41">
          <cell r="A41" t="str">
            <v>Water Heating</v>
          </cell>
          <cell r="B41" t="str">
            <v>Solar Water Heater - NR</v>
          </cell>
          <cell r="C41" t="str">
            <v>LOMax60</v>
          </cell>
          <cell r="D41">
            <v>0.01</v>
          </cell>
          <cell r="E41">
            <v>2.98E-2</v>
          </cell>
          <cell r="F41">
            <v>5.8906E-2</v>
          </cell>
          <cell r="G41">
            <v>9.6549759999999998E-2</v>
          </cell>
          <cell r="H41">
            <v>0.14172227199999998</v>
          </cell>
          <cell r="I41">
            <v>0.19035800991999999</v>
          </cell>
          <cell r="J41">
            <v>0.2362377226912</v>
          </cell>
          <cell r="K41">
            <v>0.279517585072032</v>
          </cell>
          <cell r="L41">
            <v>0.32034492191795017</v>
          </cell>
          <cell r="M41">
            <v>0.35885870967593297</v>
          </cell>
          <cell r="N41">
            <v>0.39519004946096342</v>
          </cell>
          <cell r="O41">
            <v>0.42946261332484215</v>
          </cell>
          <cell r="P41">
            <v>0.46179306523643443</v>
          </cell>
          <cell r="Q41">
            <v>0.49229145820636983</v>
          </cell>
          <cell r="R41">
            <v>0.5210616089080089</v>
          </cell>
          <cell r="S41">
            <v>0.54820145106988838</v>
          </cell>
          <cell r="T41">
            <v>0.57380336884259475</v>
          </cell>
          <cell r="U41">
            <v>0.59795451127484767</v>
          </cell>
          <cell r="V41">
            <v>0.62073708896927293</v>
          </cell>
          <cell r="W41">
            <v>0.6422286539276808</v>
          </cell>
          <cell r="X41"/>
        </row>
        <row r="42">
          <cell r="A42" t="str">
            <v>Water Heating</v>
          </cell>
          <cell r="B42" t="str">
            <v>Solar Water Heater - Retro</v>
          </cell>
          <cell r="C42" t="str">
            <v>RetroMax60</v>
          </cell>
          <cell r="D42">
            <v>0.01</v>
          </cell>
          <cell r="E42">
            <v>1.9799999999999998E-2</v>
          </cell>
          <cell r="F42">
            <v>2.9106E-2</v>
          </cell>
          <cell r="G42">
            <v>3.7643759999999998E-2</v>
          </cell>
          <cell r="H42">
            <v>4.5172511999999984E-2</v>
          </cell>
          <cell r="I42">
            <v>4.8635737920000005E-2</v>
          </cell>
          <cell r="J42">
            <v>4.587971277120001E-2</v>
          </cell>
          <cell r="K42">
            <v>4.3279862380832007E-2</v>
          </cell>
          <cell r="L42">
            <v>4.0827336845918161E-2</v>
          </cell>
          <cell r="M42">
            <v>3.8513787757982809E-2</v>
          </cell>
          <cell r="N42">
            <v>3.6331339785030448E-2</v>
          </cell>
          <cell r="O42">
            <v>3.4272563863878724E-2</v>
          </cell>
          <cell r="P42">
            <v>3.2330451911592284E-2</v>
          </cell>
          <cell r="Q42">
            <v>3.0498392969935395E-2</v>
          </cell>
          <cell r="R42">
            <v>2.8770150701639075E-2</v>
          </cell>
          <cell r="S42">
            <v>2.7139842161879479E-2</v>
          </cell>
          <cell r="T42">
            <v>2.5601917772706373E-2</v>
          </cell>
          <cell r="U42">
            <v>2.4151142432252914E-2</v>
          </cell>
          <cell r="V42">
            <v>2.2782577694425266E-2</v>
          </cell>
          <cell r="W42">
            <v>2.1491564958407872E-2</v>
          </cell>
          <cell r="X42"/>
        </row>
        <row r="43">
          <cell r="A43">
            <v>0</v>
          </cell>
          <cell r="B43">
            <v>0</v>
          </cell>
          <cell r="C43" t="str">
            <v>LOMax60</v>
          </cell>
          <cell r="D43">
            <v>0.01</v>
          </cell>
          <cell r="E43">
            <v>2.98E-2</v>
          </cell>
          <cell r="F43">
            <v>5.8906E-2</v>
          </cell>
          <cell r="G43">
            <v>9.6549759999999998E-2</v>
          </cell>
          <cell r="H43">
            <v>0.14172227199999998</v>
          </cell>
          <cell r="I43">
            <v>0.19035800991999999</v>
          </cell>
          <cell r="J43">
            <v>0.2362377226912</v>
          </cell>
          <cell r="K43">
            <v>0.279517585072032</v>
          </cell>
          <cell r="L43">
            <v>0.32034492191795017</v>
          </cell>
          <cell r="M43">
            <v>0.35885870967593297</v>
          </cell>
          <cell r="N43">
            <v>0.39519004946096342</v>
          </cell>
          <cell r="O43">
            <v>0.42946261332484215</v>
          </cell>
          <cell r="P43">
            <v>0.46179306523643443</v>
          </cell>
          <cell r="Q43">
            <v>0.49229145820636983</v>
          </cell>
          <cell r="R43">
            <v>0.5210616089080089</v>
          </cell>
          <cell r="S43">
            <v>0.54820145106988838</v>
          </cell>
          <cell r="T43">
            <v>0.57380336884259475</v>
          </cell>
          <cell r="U43">
            <v>0.59795451127484767</v>
          </cell>
          <cell r="V43">
            <v>0.62073708896927293</v>
          </cell>
          <cell r="W43">
            <v>0.6422286539276808</v>
          </cell>
          <cell r="X43"/>
        </row>
        <row r="44">
          <cell r="A44">
            <v>0</v>
          </cell>
          <cell r="B44">
            <v>0</v>
          </cell>
          <cell r="C44" t="str">
            <v>RetroMax60</v>
          </cell>
          <cell r="D44">
            <v>0.01</v>
          </cell>
          <cell r="E44">
            <v>1.9799999999999998E-2</v>
          </cell>
          <cell r="F44">
            <v>2.9106E-2</v>
          </cell>
          <cell r="G44">
            <v>3.7643759999999998E-2</v>
          </cell>
          <cell r="H44">
            <v>4.5172511999999984E-2</v>
          </cell>
          <cell r="I44">
            <v>4.8635737920000005E-2</v>
          </cell>
          <cell r="J44">
            <v>4.587971277120001E-2</v>
          </cell>
          <cell r="K44">
            <v>4.3279862380832007E-2</v>
          </cell>
          <cell r="L44">
            <v>4.0827336845918161E-2</v>
          </cell>
          <cell r="M44">
            <v>3.8513787757982809E-2</v>
          </cell>
          <cell r="N44">
            <v>3.6331339785030448E-2</v>
          </cell>
          <cell r="O44">
            <v>3.4272563863878724E-2</v>
          </cell>
          <cell r="P44">
            <v>3.2330451911592284E-2</v>
          </cell>
          <cell r="Q44">
            <v>3.0498392969935395E-2</v>
          </cell>
          <cell r="R44">
            <v>2.8770150701639075E-2</v>
          </cell>
          <cell r="S44">
            <v>2.7139842161879479E-2</v>
          </cell>
          <cell r="T44">
            <v>2.5601917772706373E-2</v>
          </cell>
          <cell r="U44">
            <v>2.4151142432252914E-2</v>
          </cell>
          <cell r="V44">
            <v>2.2782577694425266E-2</v>
          </cell>
          <cell r="W44">
            <v>2.1491564958407872E-2</v>
          </cell>
          <cell r="X44"/>
        </row>
        <row r="45">
          <cell r="A45" t="str">
            <v>Food Preparation</v>
          </cell>
          <cell r="B45" t="str">
            <v>Electric Oven - New</v>
          </cell>
          <cell r="C45" t="str">
            <v>LO20Fast</v>
          </cell>
          <cell r="D45">
            <v>0.22119921692859512</v>
          </cell>
          <cell r="E45">
            <v>0.37624232795148943</v>
          </cell>
          <cell r="F45">
            <v>0.48357361352878442</v>
          </cell>
          <cell r="G45">
            <v>0.56716330278444227</v>
          </cell>
          <cell r="H45">
            <v>0.64040048266456928</v>
          </cell>
          <cell r="I45">
            <v>0.70377511937632964</v>
          </cell>
          <cell r="J45">
            <v>0.7580669577441127</v>
          </cell>
          <cell r="K45">
            <v>0.80419335000071168</v>
          </cell>
          <cell r="L45">
            <v>0.84311022627788457</v>
          </cell>
          <cell r="M45">
            <v>0.87575014259103623</v>
          </cell>
          <cell r="N45">
            <v>0.90298584871682319</v>
          </cell>
          <cell r="O45">
            <v>0.92419703797508856</v>
          </cell>
          <cell r="P45">
            <v>0.94071632877930145</v>
          </cell>
          <cell r="Q45">
            <v>0.95358156539340677</v>
          </cell>
          <cell r="R45">
            <v>0.96360102174287088</v>
          </cell>
          <cell r="S45">
            <v>0.97140418219378311</v>
          </cell>
          <cell r="T45">
            <v>0.97748128966338554</v>
          </cell>
          <cell r="U45">
            <v>0.98221414571952104</v>
          </cell>
          <cell r="V45">
            <v>0.98590009772220355</v>
          </cell>
          <cell r="W45">
            <v>0.98877072002825628</v>
          </cell>
          <cell r="X45"/>
        </row>
        <row r="46">
          <cell r="A46" t="str">
            <v>Food Preparation</v>
          </cell>
          <cell r="B46" t="str">
            <v>Electric Oven - NR</v>
          </cell>
          <cell r="C46" t="str">
            <v>LO20Fast</v>
          </cell>
          <cell r="D46">
            <v>0.22119921692859512</v>
          </cell>
          <cell r="E46">
            <v>0.37624232795148943</v>
          </cell>
          <cell r="F46">
            <v>0.48357361352878442</v>
          </cell>
          <cell r="G46">
            <v>0.56716330278444227</v>
          </cell>
          <cell r="H46">
            <v>0.64040048266456928</v>
          </cell>
          <cell r="I46">
            <v>0.70377511937632964</v>
          </cell>
          <cell r="J46">
            <v>0.7580669577441127</v>
          </cell>
          <cell r="K46">
            <v>0.80419335000071168</v>
          </cell>
          <cell r="L46">
            <v>0.84311022627788457</v>
          </cell>
          <cell r="M46">
            <v>0.87575014259103623</v>
          </cell>
          <cell r="N46">
            <v>0.90298584871682319</v>
          </cell>
          <cell r="O46">
            <v>0.92419703797508856</v>
          </cell>
          <cell r="P46">
            <v>0.94071632877930145</v>
          </cell>
          <cell r="Q46">
            <v>0.95358156539340677</v>
          </cell>
          <cell r="R46">
            <v>0.96360102174287088</v>
          </cell>
          <cell r="S46">
            <v>0.97140418219378311</v>
          </cell>
          <cell r="T46">
            <v>0.97748128966338554</v>
          </cell>
          <cell r="U46">
            <v>0.98221414571952104</v>
          </cell>
          <cell r="V46">
            <v>0.98590009772220355</v>
          </cell>
          <cell r="W46">
            <v>0.98877072002825628</v>
          </cell>
          <cell r="X46"/>
        </row>
        <row r="47">
          <cell r="A47" t="str">
            <v>Food Preparation</v>
          </cell>
          <cell r="B47" t="str">
            <v>Microwave - New</v>
          </cell>
          <cell r="C47" t="str">
            <v>LO12Med</v>
          </cell>
          <cell r="D47">
            <v>0.10937459468255628</v>
          </cell>
          <cell r="E47">
            <v>0.21874918936511256</v>
          </cell>
          <cell r="F47">
            <v>0.32812378404766884</v>
          </cell>
          <cell r="G47">
            <v>0.43749837873022512</v>
          </cell>
          <cell r="H47">
            <v>0.5468729734127814</v>
          </cell>
          <cell r="I47">
            <v>0.64531010862708205</v>
          </cell>
          <cell r="J47">
            <v>0.7240598167985226</v>
          </cell>
          <cell r="K47">
            <v>0.78705958333567505</v>
          </cell>
          <cell r="L47">
            <v>0.83745939656539703</v>
          </cell>
          <cell r="M47">
            <v>0.87777924714917455</v>
          </cell>
          <cell r="N47">
            <v>0.91003512761619654</v>
          </cell>
          <cell r="O47">
            <v>0.93583983198981413</v>
          </cell>
          <cell r="P47">
            <v>0.9564835954887082</v>
          </cell>
          <cell r="Q47">
            <v>0.97299860628782353</v>
          </cell>
          <cell r="R47">
            <v>0.9862106149271157</v>
          </cell>
          <cell r="S47">
            <v>0.99678022183854953</v>
          </cell>
          <cell r="T47">
            <v>0.99685231466234414</v>
          </cell>
          <cell r="U47">
            <v>0.99687806209941365</v>
          </cell>
          <cell r="V47">
            <v>0.99688683963477831</v>
          </cell>
          <cell r="W47">
            <v>0.99688970187457115</v>
          </cell>
          <cell r="X47"/>
        </row>
        <row r="48">
          <cell r="A48" t="str">
            <v>Food Preparation</v>
          </cell>
          <cell r="B48" t="str">
            <v>Microwave - NR</v>
          </cell>
          <cell r="C48" t="str">
            <v>LO12Med</v>
          </cell>
          <cell r="D48">
            <v>0.10937459468255628</v>
          </cell>
          <cell r="E48">
            <v>0.21874918936511256</v>
          </cell>
          <cell r="F48">
            <v>0.32812378404766884</v>
          </cell>
          <cell r="G48">
            <v>0.43749837873022512</v>
          </cell>
          <cell r="H48">
            <v>0.5468729734127814</v>
          </cell>
          <cell r="I48">
            <v>0.64531010862708205</v>
          </cell>
          <cell r="J48">
            <v>0.7240598167985226</v>
          </cell>
          <cell r="K48">
            <v>0.78705958333567505</v>
          </cell>
          <cell r="L48">
            <v>0.83745939656539703</v>
          </cell>
          <cell r="M48">
            <v>0.87777924714917455</v>
          </cell>
          <cell r="N48">
            <v>0.91003512761619654</v>
          </cell>
          <cell r="O48">
            <v>0.93583983198981413</v>
          </cell>
          <cell r="P48">
            <v>0.9564835954887082</v>
          </cell>
          <cell r="Q48">
            <v>0.97299860628782353</v>
          </cell>
          <cell r="R48">
            <v>0.9862106149271157</v>
          </cell>
          <cell r="S48">
            <v>0.99678022183854953</v>
          </cell>
          <cell r="T48">
            <v>0.99685231466234414</v>
          </cell>
          <cell r="U48">
            <v>0.99687806209941365</v>
          </cell>
          <cell r="V48">
            <v>0.99688683963477831</v>
          </cell>
          <cell r="W48">
            <v>0.99688970187457115</v>
          </cell>
          <cell r="X48"/>
        </row>
        <row r="49">
          <cell r="A49" t="str">
            <v>Electronics</v>
          </cell>
          <cell r="B49" t="str">
            <v>Monitor - New</v>
          </cell>
          <cell r="C49" t="str">
            <v>LO50Fast</v>
          </cell>
          <cell r="D49">
            <v>0.45</v>
          </cell>
          <cell r="E49">
            <v>0.66</v>
          </cell>
          <cell r="F49">
            <v>0.8</v>
          </cell>
          <cell r="G49">
            <v>0.89</v>
          </cell>
          <cell r="H49">
            <v>0.94954036260972652</v>
          </cell>
          <cell r="I49">
            <v>0.97931054391458994</v>
          </cell>
          <cell r="J49">
            <v>0.99254173560564019</v>
          </cell>
          <cell r="K49">
            <v>0.99783421228206048</v>
          </cell>
          <cell r="L49">
            <v>0.99975874925530417</v>
          </cell>
          <cell r="M49">
            <v>1.0004002615797187</v>
          </cell>
          <cell r="N49">
            <v>1.0005976499872309</v>
          </cell>
          <cell r="O49">
            <v>1.0006540466750915</v>
          </cell>
          <cell r="P49">
            <v>1.0006690857918545</v>
          </cell>
          <cell r="Q49">
            <v>1.000672845571045</v>
          </cell>
          <cell r="R49">
            <v>1.0006737302249724</v>
          </cell>
          <cell r="S49">
            <v>1.0006739268147338</v>
          </cell>
          <cell r="T49">
            <v>1.0006739682020522</v>
          </cell>
          <cell r="U49">
            <v>1.0006739764795158</v>
          </cell>
          <cell r="V49">
            <v>1.0006739780561755</v>
          </cell>
          <cell r="W49">
            <v>1.0006739783428409</v>
          </cell>
          <cell r="X49"/>
        </row>
        <row r="50">
          <cell r="A50" t="str">
            <v>Electronics</v>
          </cell>
          <cell r="B50" t="str">
            <v>Monitor - NR</v>
          </cell>
          <cell r="C50" t="str">
            <v>LO50Fast</v>
          </cell>
          <cell r="D50">
            <v>0.45</v>
          </cell>
          <cell r="E50">
            <v>0.66</v>
          </cell>
          <cell r="F50">
            <v>0.8</v>
          </cell>
          <cell r="G50">
            <v>0.89</v>
          </cell>
          <cell r="H50">
            <v>0.94954036260972652</v>
          </cell>
          <cell r="I50">
            <v>0.97931054391458994</v>
          </cell>
          <cell r="J50">
            <v>0.99254173560564019</v>
          </cell>
          <cell r="K50">
            <v>0.99783421228206048</v>
          </cell>
          <cell r="L50">
            <v>0.99975874925530417</v>
          </cell>
          <cell r="M50">
            <v>1.0004002615797187</v>
          </cell>
          <cell r="N50">
            <v>1.0005976499872309</v>
          </cell>
          <cell r="O50">
            <v>1.0006540466750915</v>
          </cell>
          <cell r="P50">
            <v>1.0006690857918545</v>
          </cell>
          <cell r="Q50">
            <v>1.000672845571045</v>
          </cell>
          <cell r="R50">
            <v>1.0006737302249724</v>
          </cell>
          <cell r="S50">
            <v>1.0006739268147338</v>
          </cell>
          <cell r="T50">
            <v>1.0006739682020522</v>
          </cell>
          <cell r="U50">
            <v>1.0006739764795158</v>
          </cell>
          <cell r="V50">
            <v>1.0006739780561755</v>
          </cell>
          <cell r="W50">
            <v>1.0006739783428409</v>
          </cell>
          <cell r="X50"/>
        </row>
        <row r="51">
          <cell r="A51" t="str">
            <v>Electronics</v>
          </cell>
          <cell r="B51" t="str">
            <v>Desktop - New</v>
          </cell>
          <cell r="C51" t="str">
            <v>LO50Fast</v>
          </cell>
          <cell r="D51">
            <v>0.45</v>
          </cell>
          <cell r="E51">
            <v>0.66</v>
          </cell>
          <cell r="F51">
            <v>0.8</v>
          </cell>
          <cell r="G51">
            <v>0.89</v>
          </cell>
          <cell r="H51">
            <v>0.94954036260972652</v>
          </cell>
          <cell r="I51">
            <v>0.97931054391458994</v>
          </cell>
          <cell r="J51">
            <v>0.99254173560564019</v>
          </cell>
          <cell r="K51">
            <v>0.99783421228206048</v>
          </cell>
          <cell r="L51">
            <v>0.99975874925530417</v>
          </cell>
          <cell r="M51">
            <v>1.0004002615797187</v>
          </cell>
          <cell r="N51">
            <v>1.0005976499872309</v>
          </cell>
          <cell r="O51">
            <v>1.0006540466750915</v>
          </cell>
          <cell r="P51">
            <v>1.0006690857918545</v>
          </cell>
          <cell r="Q51">
            <v>1.000672845571045</v>
          </cell>
          <cell r="R51">
            <v>1.0006737302249724</v>
          </cell>
          <cell r="S51">
            <v>1.0006739268147338</v>
          </cell>
          <cell r="T51">
            <v>1.0006739682020522</v>
          </cell>
          <cell r="U51">
            <v>1.0006739764795158</v>
          </cell>
          <cell r="V51">
            <v>1.0006739780561755</v>
          </cell>
          <cell r="W51">
            <v>1.0006739783428409</v>
          </cell>
          <cell r="X51"/>
        </row>
        <row r="52">
          <cell r="A52" t="str">
            <v>Electronics</v>
          </cell>
          <cell r="B52" t="str">
            <v>Desktop - NR</v>
          </cell>
          <cell r="C52" t="str">
            <v>LO50Fast</v>
          </cell>
          <cell r="D52">
            <v>0.45</v>
          </cell>
          <cell r="E52">
            <v>0.66</v>
          </cell>
          <cell r="F52">
            <v>0.8</v>
          </cell>
          <cell r="G52">
            <v>0.89</v>
          </cell>
          <cell r="H52">
            <v>0.94954036260972652</v>
          </cell>
          <cell r="I52">
            <v>0.97931054391458994</v>
          </cell>
          <cell r="J52">
            <v>0.99254173560564019</v>
          </cell>
          <cell r="K52">
            <v>0.99783421228206048</v>
          </cell>
          <cell r="L52">
            <v>0.99975874925530417</v>
          </cell>
          <cell r="M52">
            <v>1.0004002615797187</v>
          </cell>
          <cell r="N52">
            <v>1.0005976499872309</v>
          </cell>
          <cell r="O52">
            <v>1.0006540466750915</v>
          </cell>
          <cell r="P52">
            <v>1.0006690857918545</v>
          </cell>
          <cell r="Q52">
            <v>1.000672845571045</v>
          </cell>
          <cell r="R52">
            <v>1.0006737302249724</v>
          </cell>
          <cell r="S52">
            <v>1.0006739268147338</v>
          </cell>
          <cell r="T52">
            <v>1.0006739682020522</v>
          </cell>
          <cell r="U52">
            <v>1.0006739764795158</v>
          </cell>
          <cell r="V52">
            <v>1.0006739780561755</v>
          </cell>
          <cell r="W52">
            <v>1.0006739783428409</v>
          </cell>
          <cell r="X52"/>
        </row>
        <row r="53">
          <cell r="A53" t="str">
            <v>Electronics</v>
          </cell>
          <cell r="B53" t="str">
            <v>Laptop - New</v>
          </cell>
          <cell r="C53" t="str">
            <v>LO50Fast</v>
          </cell>
          <cell r="D53">
            <v>0.45</v>
          </cell>
          <cell r="E53">
            <v>0.66</v>
          </cell>
          <cell r="F53">
            <v>0.8</v>
          </cell>
          <cell r="G53">
            <v>0.89</v>
          </cell>
          <cell r="H53">
            <v>0.94954036260972652</v>
          </cell>
          <cell r="I53">
            <v>0.97931054391458994</v>
          </cell>
          <cell r="J53">
            <v>0.99254173560564019</v>
          </cell>
          <cell r="K53">
            <v>0.99783421228206048</v>
          </cell>
          <cell r="L53">
            <v>0.99975874925530417</v>
          </cell>
          <cell r="M53">
            <v>1.0004002615797187</v>
          </cell>
          <cell r="N53">
            <v>1.0005976499872309</v>
          </cell>
          <cell r="O53">
            <v>1.0006540466750915</v>
          </cell>
          <cell r="P53">
            <v>1.0006690857918545</v>
          </cell>
          <cell r="Q53">
            <v>1.000672845571045</v>
          </cell>
          <cell r="R53">
            <v>1.0006737302249724</v>
          </cell>
          <cell r="S53">
            <v>1.0006739268147338</v>
          </cell>
          <cell r="T53">
            <v>1.0006739682020522</v>
          </cell>
          <cell r="U53">
            <v>1.0006739764795158</v>
          </cell>
          <cell r="V53">
            <v>1.0006739780561755</v>
          </cell>
          <cell r="W53">
            <v>1.0006739783428409</v>
          </cell>
          <cell r="X53"/>
        </row>
        <row r="54">
          <cell r="A54" t="str">
            <v>Electronics</v>
          </cell>
          <cell r="B54" t="str">
            <v>Laptop - NR</v>
          </cell>
          <cell r="C54" t="str">
            <v>LO50Fast</v>
          </cell>
          <cell r="D54">
            <v>0.45</v>
          </cell>
          <cell r="E54">
            <v>0.66</v>
          </cell>
          <cell r="F54">
            <v>0.8</v>
          </cell>
          <cell r="G54">
            <v>0.89</v>
          </cell>
          <cell r="H54">
            <v>0.94954036260972652</v>
          </cell>
          <cell r="I54">
            <v>0.97931054391458994</v>
          </cell>
          <cell r="J54">
            <v>0.99254173560564019</v>
          </cell>
          <cell r="K54">
            <v>0.99783421228206048</v>
          </cell>
          <cell r="L54">
            <v>0.99975874925530417</v>
          </cell>
          <cell r="M54">
            <v>1.0004002615797187</v>
          </cell>
          <cell r="N54">
            <v>1.0005976499872309</v>
          </cell>
          <cell r="O54">
            <v>1.0006540466750915</v>
          </cell>
          <cell r="P54">
            <v>1.0006690857918545</v>
          </cell>
          <cell r="Q54">
            <v>1.000672845571045</v>
          </cell>
          <cell r="R54">
            <v>1.0006737302249724</v>
          </cell>
          <cell r="S54">
            <v>1.0006739268147338</v>
          </cell>
          <cell r="T54">
            <v>1.0006739682020522</v>
          </cell>
          <cell r="U54">
            <v>1.0006739764795158</v>
          </cell>
          <cell r="V54">
            <v>1.0006739780561755</v>
          </cell>
          <cell r="W54">
            <v>1.0006739783428409</v>
          </cell>
          <cell r="X54"/>
        </row>
        <row r="55">
          <cell r="A55" t="str">
            <v>Electronics</v>
          </cell>
          <cell r="B55" t="str">
            <v>Computer - New</v>
          </cell>
          <cell r="C55" t="str">
            <v>LO50Fast</v>
          </cell>
          <cell r="D55">
            <v>0.45</v>
          </cell>
          <cell r="E55">
            <v>0.66</v>
          </cell>
          <cell r="F55">
            <v>0.8</v>
          </cell>
          <cell r="G55">
            <v>0.89</v>
          </cell>
          <cell r="H55">
            <v>0.94954036260972652</v>
          </cell>
          <cell r="I55">
            <v>0.97931054391458994</v>
          </cell>
          <cell r="J55">
            <v>0.99254173560564019</v>
          </cell>
          <cell r="K55">
            <v>0.99783421228206048</v>
          </cell>
          <cell r="L55">
            <v>0.99975874925530417</v>
          </cell>
          <cell r="M55">
            <v>1.0004002615797187</v>
          </cell>
          <cell r="N55">
            <v>1.0005976499872309</v>
          </cell>
          <cell r="O55">
            <v>1.0006540466750915</v>
          </cell>
          <cell r="P55">
            <v>1.0006690857918545</v>
          </cell>
          <cell r="Q55">
            <v>1.000672845571045</v>
          </cell>
          <cell r="R55">
            <v>1.0006737302249724</v>
          </cell>
          <cell r="S55">
            <v>1.0006739268147338</v>
          </cell>
          <cell r="T55">
            <v>1.0006739682020522</v>
          </cell>
          <cell r="U55">
            <v>1.0006739764795158</v>
          </cell>
          <cell r="V55">
            <v>1.0006739780561755</v>
          </cell>
          <cell r="W55">
            <v>1.0006739783428409</v>
          </cell>
          <cell r="X55"/>
        </row>
        <row r="56">
          <cell r="A56" t="str">
            <v>Electronics</v>
          </cell>
          <cell r="B56" t="str">
            <v>Computer - NR</v>
          </cell>
          <cell r="C56" t="str">
            <v>LO50Fast</v>
          </cell>
          <cell r="D56">
            <v>0.45</v>
          </cell>
          <cell r="E56">
            <v>0.66</v>
          </cell>
          <cell r="F56">
            <v>0.8</v>
          </cell>
          <cell r="G56">
            <v>0.89</v>
          </cell>
          <cell r="H56">
            <v>0.94954036260972652</v>
          </cell>
          <cell r="I56">
            <v>0.97931054391458994</v>
          </cell>
          <cell r="J56">
            <v>0.99254173560564019</v>
          </cell>
          <cell r="K56">
            <v>0.99783421228206048</v>
          </cell>
          <cell r="L56">
            <v>0.99975874925530417</v>
          </cell>
          <cell r="M56">
            <v>1.0004002615797187</v>
          </cell>
          <cell r="N56">
            <v>1.0005976499872309</v>
          </cell>
          <cell r="O56">
            <v>1.0006540466750915</v>
          </cell>
          <cell r="P56">
            <v>1.0006690857918545</v>
          </cell>
          <cell r="Q56">
            <v>1.000672845571045</v>
          </cell>
          <cell r="R56">
            <v>1.0006737302249724</v>
          </cell>
          <cell r="S56">
            <v>1.0006739268147338</v>
          </cell>
          <cell r="T56">
            <v>1.0006739682020522</v>
          </cell>
          <cell r="U56">
            <v>1.0006739764795158</v>
          </cell>
          <cell r="V56">
            <v>1.0006739780561755</v>
          </cell>
          <cell r="W56">
            <v>1.0006739783428409</v>
          </cell>
          <cell r="X56"/>
        </row>
        <row r="57">
          <cell r="A57" t="str">
            <v>HVAC</v>
          </cell>
          <cell r="B57" t="str">
            <v>ASHP - New</v>
          </cell>
          <cell r="C57" t="str">
            <v>LO5Med</v>
          </cell>
          <cell r="D57">
            <v>4.2999999999999997E-2</v>
          </cell>
          <cell r="E57">
            <v>9.5797142280278316E-2</v>
          </cell>
          <cell r="F57">
            <v>0.16040539374775648</v>
          </cell>
          <cell r="G57">
            <v>0.23540539374775649</v>
          </cell>
          <cell r="H57">
            <v>0.32095239121809005</v>
          </cell>
          <cell r="I57">
            <v>0.42096711425629652</v>
          </cell>
          <cell r="J57">
            <v>0.53068481860864725</v>
          </cell>
          <cell r="K57">
            <v>0.642769203728351</v>
          </cell>
          <cell r="L57">
            <v>0.74839528535557953</v>
          </cell>
          <cell r="M57">
            <v>0.83918984935345187</v>
          </cell>
          <cell r="N57">
            <v>0.90945051634530116</v>
          </cell>
          <cell r="O57">
            <v>0.9576688767502457</v>
          </cell>
          <cell r="P57">
            <v>0.9865231113648858</v>
          </cell>
          <cell r="Q57">
            <v>1.0012970762896924</v>
          </cell>
          <cell r="R57">
            <v>1.0076356106578106</v>
          </cell>
          <cell r="S57">
            <v>1.0098624683774413</v>
          </cell>
          <cell r="T57">
            <v>1.0104871783970797</v>
          </cell>
          <cell r="U57">
            <v>1.010623336815976</v>
          </cell>
          <cell r="V57">
            <v>1.0106457174525985</v>
          </cell>
          <cell r="W57">
            <v>1.0106484038909742</v>
          </cell>
          <cell r="X57"/>
        </row>
        <row r="58">
          <cell r="A58" t="str">
            <v>HVAC</v>
          </cell>
          <cell r="B58" t="str">
            <v>ASHP - NR</v>
          </cell>
          <cell r="C58" t="str">
            <v>LO5Med</v>
          </cell>
          <cell r="D58">
            <v>4.2999999999999997E-2</v>
          </cell>
          <cell r="E58">
            <v>9.5797142280278316E-2</v>
          </cell>
          <cell r="F58">
            <v>0.16040539374775648</v>
          </cell>
          <cell r="G58">
            <v>0.23540539374775649</v>
          </cell>
          <cell r="H58">
            <v>0.32095239121809005</v>
          </cell>
          <cell r="I58">
            <v>0.42096711425629652</v>
          </cell>
          <cell r="J58">
            <v>0.53068481860864725</v>
          </cell>
          <cell r="K58">
            <v>0.642769203728351</v>
          </cell>
          <cell r="L58">
            <v>0.74839528535557953</v>
          </cell>
          <cell r="M58">
            <v>0.83918984935345187</v>
          </cell>
          <cell r="N58">
            <v>0.90945051634530116</v>
          </cell>
          <cell r="O58">
            <v>0.9576688767502457</v>
          </cell>
          <cell r="P58">
            <v>0.9865231113648858</v>
          </cell>
          <cell r="Q58">
            <v>1.0012970762896924</v>
          </cell>
          <cell r="R58">
            <v>1.0076356106578106</v>
          </cell>
          <cell r="S58">
            <v>1.0098624683774413</v>
          </cell>
          <cell r="T58">
            <v>1.0104871783970797</v>
          </cell>
          <cell r="U58">
            <v>1.010623336815976</v>
          </cell>
          <cell r="V58">
            <v>1.0106457174525985</v>
          </cell>
          <cell r="W58">
            <v>1.0106484038909742</v>
          </cell>
          <cell r="X58"/>
        </row>
        <row r="59">
          <cell r="A59" t="str">
            <v>HVAC</v>
          </cell>
          <cell r="B59" t="str">
            <v>HP - Retro</v>
          </cell>
          <cell r="C59" t="str">
            <v>Retro12Med</v>
          </cell>
          <cell r="D59">
            <v>0.10937459468255628</v>
          </cell>
          <cell r="E59">
            <v>0.10937459468255628</v>
          </cell>
          <cell r="F59">
            <v>0.10937459468255628</v>
          </cell>
          <cell r="G59">
            <v>0.10937459468255628</v>
          </cell>
          <cell r="H59">
            <v>0.10937459468255628</v>
          </cell>
          <cell r="I59">
            <v>9.8437135214300656E-2</v>
          </cell>
          <cell r="J59">
            <v>7.874970817144053E-2</v>
          </cell>
          <cell r="K59">
            <v>6.2999766537152418E-2</v>
          </cell>
          <cell r="L59">
            <v>5.0399813229721938E-2</v>
          </cell>
          <cell r="M59">
            <v>4.0319850583777551E-2</v>
          </cell>
          <cell r="N59">
            <v>3.225588046702204E-2</v>
          </cell>
          <cell r="O59">
            <v>2.5804704373617631E-2</v>
          </cell>
          <cell r="P59">
            <v>2.0643763498894106E-2</v>
          </cell>
          <cell r="Q59">
            <v>1.6515010799115284E-2</v>
          </cell>
          <cell r="R59">
            <v>1.3212008639292228E-2</v>
          </cell>
          <cell r="S59">
            <v>1.0569606911433781E-2</v>
          </cell>
          <cell r="T59">
            <v>7.2092823794611682E-5</v>
          </cell>
          <cell r="U59">
            <v>2.5747437069512102E-5</v>
          </cell>
          <cell r="V59">
            <v>8.7775353646568632E-6</v>
          </cell>
          <cell r="W59">
            <v>2.8622397928446119E-6</v>
          </cell>
          <cell r="X59"/>
        </row>
        <row r="60">
          <cell r="A60" t="str">
            <v>HVAC</v>
          </cell>
          <cell r="B60" t="str">
            <v>DHP - New</v>
          </cell>
          <cell r="C60" t="str">
            <v>LO5Med</v>
          </cell>
          <cell r="D60">
            <v>4.2999999999999997E-2</v>
          </cell>
          <cell r="E60">
            <v>9.5797142280278316E-2</v>
          </cell>
          <cell r="F60">
            <v>0.16040539374775648</v>
          </cell>
          <cell r="G60">
            <v>0.23540539374775649</v>
          </cell>
          <cell r="H60">
            <v>0.32095239121809005</v>
          </cell>
          <cell r="I60">
            <v>0.42096711425629652</v>
          </cell>
          <cell r="J60">
            <v>0.53068481860864725</v>
          </cell>
          <cell r="K60">
            <v>0.642769203728351</v>
          </cell>
          <cell r="L60">
            <v>0.74839528535557953</v>
          </cell>
          <cell r="M60">
            <v>0.83918984935345187</v>
          </cell>
          <cell r="N60">
            <v>0.90945051634530116</v>
          </cell>
          <cell r="O60">
            <v>0.9576688767502457</v>
          </cell>
          <cell r="P60">
            <v>0.9865231113648858</v>
          </cell>
          <cell r="Q60">
            <v>1.0012970762896924</v>
          </cell>
          <cell r="R60">
            <v>1.0076356106578106</v>
          </cell>
          <cell r="S60">
            <v>1.0098624683774413</v>
          </cell>
          <cell r="T60">
            <v>1.0104871783970797</v>
          </cell>
          <cell r="U60">
            <v>1.010623336815976</v>
          </cell>
          <cell r="V60">
            <v>1.0106457174525985</v>
          </cell>
          <cell r="W60">
            <v>1.0106484038909742</v>
          </cell>
          <cell r="X60"/>
        </row>
        <row r="61">
          <cell r="A61" t="str">
            <v>HVAC</v>
          </cell>
          <cell r="B61" t="str">
            <v>DHP - NR</v>
          </cell>
          <cell r="C61" t="str">
            <v>LO5Med</v>
          </cell>
          <cell r="D61">
            <v>4.2999999999999997E-2</v>
          </cell>
          <cell r="E61">
            <v>9.5797142280278316E-2</v>
          </cell>
          <cell r="F61">
            <v>0.16040539374775648</v>
          </cell>
          <cell r="G61">
            <v>0.23540539374775649</v>
          </cell>
          <cell r="H61">
            <v>0.32095239121809005</v>
          </cell>
          <cell r="I61">
            <v>0.42096711425629652</v>
          </cell>
          <cell r="J61">
            <v>0.53068481860864725</v>
          </cell>
          <cell r="K61">
            <v>0.642769203728351</v>
          </cell>
          <cell r="L61">
            <v>0.74839528535557953</v>
          </cell>
          <cell r="M61">
            <v>0.83918984935345187</v>
          </cell>
          <cell r="N61">
            <v>0.90945051634530116</v>
          </cell>
          <cell r="O61">
            <v>0.9576688767502457</v>
          </cell>
          <cell r="P61">
            <v>0.9865231113648858</v>
          </cell>
          <cell r="Q61">
            <v>1.0012970762896924</v>
          </cell>
          <cell r="R61">
            <v>1.0076356106578106</v>
          </cell>
          <cell r="S61">
            <v>1.0098624683774413</v>
          </cell>
          <cell r="T61">
            <v>1.0104871783970797</v>
          </cell>
          <cell r="U61">
            <v>1.010623336815976</v>
          </cell>
          <cell r="V61">
            <v>1.0106457174525985</v>
          </cell>
          <cell r="W61">
            <v>1.0106484038909742</v>
          </cell>
          <cell r="X61"/>
        </row>
        <row r="62">
          <cell r="A62" t="str">
            <v>HVAC</v>
          </cell>
          <cell r="B62" t="str">
            <v>DHP - Retro</v>
          </cell>
          <cell r="C62" t="str">
            <v>Retro5Med</v>
          </cell>
          <cell r="D62">
            <v>4.2999999999999997E-2</v>
          </cell>
          <cell r="E62">
            <v>5.279714228027832E-2</v>
          </cell>
          <cell r="F62">
            <v>6.4608251467478173E-2</v>
          </cell>
          <cell r="G62">
            <v>7.4999999999999997E-2</v>
          </cell>
          <cell r="H62">
            <v>8.5546997470333563E-2</v>
          </cell>
          <cell r="I62">
            <v>0.10001472303820647</v>
          </cell>
          <cell r="J62">
            <v>0.10971770435235073</v>
          </cell>
          <cell r="K62">
            <v>0.11208438511970376</v>
          </cell>
          <cell r="L62">
            <v>0.10562608162722853</v>
          </cell>
          <cell r="M62">
            <v>9.0794563997872335E-2</v>
          </cell>
          <cell r="N62">
            <v>7.0260666991849297E-2</v>
          </cell>
          <cell r="O62">
            <v>4.8218360404944538E-2</v>
          </cell>
          <cell r="P62">
            <v>2.8854234614640095E-2</v>
          </cell>
          <cell r="Q62">
            <v>1.4773964924806759E-2</v>
          </cell>
          <cell r="R62">
            <v>6.3385343681182649E-3</v>
          </cell>
          <cell r="S62">
            <v>2.2268577196306039E-3</v>
          </cell>
          <cell r="T62">
            <v>6.2471001963848583E-4</v>
          </cell>
          <cell r="U62">
            <v>1.3615841889635938E-4</v>
          </cell>
          <cell r="V62">
            <v>2.2380636622298944E-5</v>
          </cell>
          <cell r="W62">
            <v>2.68643837586513E-6</v>
          </cell>
          <cell r="X62"/>
        </row>
        <row r="63">
          <cell r="A63" t="str">
            <v>HVAC</v>
          </cell>
          <cell r="B63" t="str">
            <v>Duct Sealing - New</v>
          </cell>
          <cell r="C63" t="str">
            <v>LO12Med</v>
          </cell>
          <cell r="D63">
            <v>0.10937459468255628</v>
          </cell>
          <cell r="E63">
            <v>0.21874918936511256</v>
          </cell>
          <cell r="F63">
            <v>0.32812378404766884</v>
          </cell>
          <cell r="G63">
            <v>0.43749837873022512</v>
          </cell>
          <cell r="H63">
            <v>0.5468729734127814</v>
          </cell>
          <cell r="I63">
            <v>0.64531010862708205</v>
          </cell>
          <cell r="J63">
            <v>0.7240598167985226</v>
          </cell>
          <cell r="K63">
            <v>0.78705958333567505</v>
          </cell>
          <cell r="L63">
            <v>0.83745939656539703</v>
          </cell>
          <cell r="M63">
            <v>0.87777924714917455</v>
          </cell>
          <cell r="N63">
            <v>0.91003512761619654</v>
          </cell>
          <cell r="O63">
            <v>0.93583983198981413</v>
          </cell>
          <cell r="P63">
            <v>0.9564835954887082</v>
          </cell>
          <cell r="Q63">
            <v>0.97299860628782353</v>
          </cell>
          <cell r="R63">
            <v>0.9862106149271157</v>
          </cell>
          <cell r="S63">
            <v>0.99678022183854953</v>
          </cell>
          <cell r="T63">
            <v>0.99685231466234414</v>
          </cell>
          <cell r="U63">
            <v>0.99687806209941365</v>
          </cell>
          <cell r="V63">
            <v>0.99688683963477831</v>
          </cell>
          <cell r="W63">
            <v>0.99688970187457115</v>
          </cell>
          <cell r="X63"/>
        </row>
        <row r="64">
          <cell r="A64" t="str">
            <v>HVAC</v>
          </cell>
          <cell r="B64" t="str">
            <v>Duct Sealing - Retro</v>
          </cell>
          <cell r="C64" t="str">
            <v>Retro12Med</v>
          </cell>
          <cell r="D64">
            <v>0.10937459468255628</v>
          </cell>
          <cell r="E64">
            <v>0.10937459468255628</v>
          </cell>
          <cell r="F64">
            <v>0.10937459468255628</v>
          </cell>
          <cell r="G64">
            <v>0.10937459468255628</v>
          </cell>
          <cell r="H64">
            <v>0.10937459468255628</v>
          </cell>
          <cell r="I64">
            <v>9.8437135214300656E-2</v>
          </cell>
          <cell r="J64">
            <v>7.874970817144053E-2</v>
          </cell>
          <cell r="K64">
            <v>6.2999766537152418E-2</v>
          </cell>
          <cell r="L64">
            <v>5.0399813229721938E-2</v>
          </cell>
          <cell r="M64">
            <v>4.0319850583777551E-2</v>
          </cell>
          <cell r="N64">
            <v>3.225588046702204E-2</v>
          </cell>
          <cell r="O64">
            <v>2.5804704373617631E-2</v>
          </cell>
          <cell r="P64">
            <v>2.0643763498894106E-2</v>
          </cell>
          <cell r="Q64">
            <v>1.6515010799115284E-2</v>
          </cell>
          <cell r="R64">
            <v>1.3212008639292228E-2</v>
          </cell>
          <cell r="S64">
            <v>1.0569606911433781E-2</v>
          </cell>
          <cell r="T64">
            <v>7.2092823794611682E-5</v>
          </cell>
          <cell r="U64">
            <v>2.5747437069512102E-5</v>
          </cell>
          <cell r="V64">
            <v>8.7775353646568632E-6</v>
          </cell>
          <cell r="W64">
            <v>2.8622397928446119E-6</v>
          </cell>
          <cell r="X64"/>
        </row>
        <row r="65">
          <cell r="A65" t="str">
            <v>HVAC</v>
          </cell>
          <cell r="B65" t="str">
            <v>WIFI enabled tstats - New</v>
          </cell>
          <cell r="C65" t="str">
            <v>LO5Med</v>
          </cell>
          <cell r="D65">
            <v>4.2999999999999997E-2</v>
          </cell>
          <cell r="E65">
            <v>9.5797142280278316E-2</v>
          </cell>
          <cell r="F65">
            <v>0.16040539374775648</v>
          </cell>
          <cell r="G65">
            <v>0.23540539374775649</v>
          </cell>
          <cell r="H65">
            <v>0.32095239121809005</v>
          </cell>
          <cell r="I65">
            <v>0.42096711425629652</v>
          </cell>
          <cell r="J65">
            <v>0.53068481860864725</v>
          </cell>
          <cell r="K65">
            <v>0.642769203728351</v>
          </cell>
          <cell r="L65">
            <v>0.74839528535557953</v>
          </cell>
          <cell r="M65">
            <v>0.83918984935345187</v>
          </cell>
          <cell r="N65">
            <v>0.90945051634530116</v>
          </cell>
          <cell r="O65">
            <v>0.9576688767502457</v>
          </cell>
          <cell r="P65">
            <v>0.9865231113648858</v>
          </cell>
          <cell r="Q65">
            <v>1.0012970762896924</v>
          </cell>
          <cell r="R65">
            <v>1.0076356106578106</v>
          </cell>
          <cell r="S65">
            <v>1.0098624683774413</v>
          </cell>
          <cell r="T65">
            <v>1.0104871783970797</v>
          </cell>
          <cell r="U65">
            <v>1.010623336815976</v>
          </cell>
          <cell r="V65">
            <v>1.0106457174525985</v>
          </cell>
          <cell r="W65">
            <v>1.0106484038909742</v>
          </cell>
          <cell r="X65"/>
        </row>
        <row r="66">
          <cell r="A66" t="str">
            <v>HVAC</v>
          </cell>
          <cell r="B66" t="str">
            <v>WIFI enabled tstats - Retro</v>
          </cell>
          <cell r="C66" t="str">
            <v>Retro5Med</v>
          </cell>
          <cell r="D66">
            <v>4.2999999999999997E-2</v>
          </cell>
          <cell r="E66">
            <v>5.279714228027832E-2</v>
          </cell>
          <cell r="F66">
            <v>6.4608251467478173E-2</v>
          </cell>
          <cell r="G66">
            <v>7.4999999999999997E-2</v>
          </cell>
          <cell r="H66">
            <v>8.5546997470333563E-2</v>
          </cell>
          <cell r="I66">
            <v>0.10001472303820647</v>
          </cell>
          <cell r="J66">
            <v>0.10971770435235073</v>
          </cell>
          <cell r="K66">
            <v>0.11208438511970376</v>
          </cell>
          <cell r="L66">
            <v>0.10562608162722853</v>
          </cell>
          <cell r="M66">
            <v>9.0794563997872335E-2</v>
          </cell>
          <cell r="N66">
            <v>7.0260666991849297E-2</v>
          </cell>
          <cell r="O66">
            <v>4.8218360404944538E-2</v>
          </cell>
          <cell r="P66">
            <v>2.8854234614640095E-2</v>
          </cell>
          <cell r="Q66">
            <v>1.4773964924806759E-2</v>
          </cell>
          <cell r="R66">
            <v>6.3385343681182649E-3</v>
          </cell>
          <cell r="S66">
            <v>2.2268577196306039E-3</v>
          </cell>
          <cell r="T66">
            <v>6.2471001963848583E-4</v>
          </cell>
          <cell r="U66">
            <v>1.3615841889635938E-4</v>
          </cell>
          <cell r="V66">
            <v>2.2380636622298944E-5</v>
          </cell>
          <cell r="W66">
            <v>2.68643837586513E-6</v>
          </cell>
          <cell r="X66"/>
        </row>
        <row r="67">
          <cell r="A67" t="str">
            <v>HVAC</v>
          </cell>
          <cell r="B67" t="str">
            <v>Combo DHP/HPWH units - New</v>
          </cell>
          <cell r="C67" t="str">
            <v>LO5Med</v>
          </cell>
          <cell r="D67">
            <v>4.2999999999999997E-2</v>
          </cell>
          <cell r="E67">
            <v>9.5797142280278316E-2</v>
          </cell>
          <cell r="F67">
            <v>0.16040539374775648</v>
          </cell>
          <cell r="G67">
            <v>0.23540539374775649</v>
          </cell>
          <cell r="H67">
            <v>0.32095239121809005</v>
          </cell>
          <cell r="I67">
            <v>0.42096711425629652</v>
          </cell>
          <cell r="J67">
            <v>0.53068481860864725</v>
          </cell>
          <cell r="K67">
            <v>0.642769203728351</v>
          </cell>
          <cell r="L67">
            <v>0.74839528535557953</v>
          </cell>
          <cell r="M67">
            <v>0.83918984935345187</v>
          </cell>
          <cell r="N67">
            <v>0.90945051634530116</v>
          </cell>
          <cell r="O67">
            <v>0.9576688767502457</v>
          </cell>
          <cell r="P67">
            <v>0.9865231113648858</v>
          </cell>
          <cell r="Q67">
            <v>1.0012970762896924</v>
          </cell>
          <cell r="R67">
            <v>1.0076356106578106</v>
          </cell>
          <cell r="S67">
            <v>1.0098624683774413</v>
          </cell>
          <cell r="T67">
            <v>1.0104871783970797</v>
          </cell>
          <cell r="U67">
            <v>1.010623336815976</v>
          </cell>
          <cell r="V67">
            <v>1.0106457174525985</v>
          </cell>
          <cell r="W67">
            <v>1.0106484038909742</v>
          </cell>
          <cell r="X67"/>
        </row>
        <row r="68">
          <cell r="A68" t="str">
            <v>HVAC</v>
          </cell>
          <cell r="B68" t="str">
            <v>Combo DHP/HPWH units - NR</v>
          </cell>
          <cell r="C68" t="str">
            <v>LO5Med</v>
          </cell>
          <cell r="D68">
            <v>4.2999999999999997E-2</v>
          </cell>
          <cell r="E68">
            <v>9.5797142280278316E-2</v>
          </cell>
          <cell r="F68">
            <v>0.16040539374775648</v>
          </cell>
          <cell r="G68">
            <v>0.23540539374775649</v>
          </cell>
          <cell r="H68">
            <v>0.32095239121809005</v>
          </cell>
          <cell r="I68">
            <v>0.42096711425629652</v>
          </cell>
          <cell r="J68">
            <v>0.53068481860864725</v>
          </cell>
          <cell r="K68">
            <v>0.642769203728351</v>
          </cell>
          <cell r="L68">
            <v>0.74839528535557953</v>
          </cell>
          <cell r="M68">
            <v>0.83918984935345187</v>
          </cell>
          <cell r="N68">
            <v>0.90945051634530116</v>
          </cell>
          <cell r="O68">
            <v>0.9576688767502457</v>
          </cell>
          <cell r="P68">
            <v>0.9865231113648858</v>
          </cell>
          <cell r="Q68">
            <v>1.0012970762896924</v>
          </cell>
          <cell r="R68">
            <v>1.0076356106578106</v>
          </cell>
          <cell r="S68">
            <v>1.0098624683774413</v>
          </cell>
          <cell r="T68">
            <v>1.0104871783970797</v>
          </cell>
          <cell r="U68">
            <v>1.010623336815976</v>
          </cell>
          <cell r="V68">
            <v>1.0106457174525985</v>
          </cell>
          <cell r="W68">
            <v>1.0106484038909742</v>
          </cell>
          <cell r="X68"/>
        </row>
        <row r="69">
          <cell r="A69" t="str">
            <v>HVAC</v>
          </cell>
          <cell r="B69" t="str">
            <v>Combo DHP/HPWH units - Retro</v>
          </cell>
          <cell r="C69" t="str">
            <v>Retro5Med</v>
          </cell>
          <cell r="D69">
            <v>4.2999999999999997E-2</v>
          </cell>
          <cell r="E69">
            <v>5.279714228027832E-2</v>
          </cell>
          <cell r="F69">
            <v>6.4608251467478173E-2</v>
          </cell>
          <cell r="G69">
            <v>7.4999999999999997E-2</v>
          </cell>
          <cell r="H69">
            <v>8.5546997470333563E-2</v>
          </cell>
          <cell r="I69">
            <v>0.10001472303820647</v>
          </cell>
          <cell r="J69">
            <v>0.10971770435235073</v>
          </cell>
          <cell r="K69">
            <v>0.11208438511970376</v>
          </cell>
          <cell r="L69">
            <v>0.10562608162722853</v>
          </cell>
          <cell r="M69">
            <v>9.0794563997872335E-2</v>
          </cell>
          <cell r="N69">
            <v>7.0260666991849297E-2</v>
          </cell>
          <cell r="O69">
            <v>4.8218360404944538E-2</v>
          </cell>
          <cell r="P69">
            <v>2.8854234614640095E-2</v>
          </cell>
          <cell r="Q69">
            <v>1.4773964924806759E-2</v>
          </cell>
          <cell r="R69">
            <v>6.3385343681182649E-3</v>
          </cell>
          <cell r="S69">
            <v>2.2268577196306039E-3</v>
          </cell>
          <cell r="T69">
            <v>6.2471001963848583E-4</v>
          </cell>
          <cell r="U69">
            <v>1.3615841889635938E-4</v>
          </cell>
          <cell r="V69">
            <v>2.2380636622298944E-5</v>
          </cell>
          <cell r="W69">
            <v>2.68643837586513E-6</v>
          </cell>
          <cell r="X69"/>
        </row>
        <row r="70">
          <cell r="A70" t="str">
            <v>Water Heating</v>
          </cell>
          <cell r="B70" t="str">
            <v>Aerator - New</v>
          </cell>
          <cell r="C70" t="str">
            <v>LO3Slow</v>
          </cell>
          <cell r="D70">
            <v>5.5320496977002724E-3</v>
          </cell>
          <cell r="E70">
            <v>1.4227918344261844E-2</v>
          </cell>
          <cell r="F70">
            <v>3.1619655637384989E-2</v>
          </cell>
          <cell r="G70">
            <v>6.2055195900350503E-2</v>
          </cell>
          <cell r="H70">
            <v>0.10939936964274129</v>
          </cell>
          <cell r="I70">
            <v>0.17568121288208835</v>
          </cell>
          <cell r="J70">
            <v>0.26003992245943919</v>
          </cell>
          <cell r="K70">
            <v>0.3584584169663485</v>
          </cell>
          <cell r="L70">
            <v>0.46444756489686617</v>
          </cell>
          <cell r="M70">
            <v>0.57043671282738384</v>
          </cell>
          <cell r="N70">
            <v>0.66935991756253377</v>
          </cell>
          <cell r="O70">
            <v>0.75591772170578986</v>
          </cell>
          <cell r="P70">
            <v>0.82720061923553012</v>
          </cell>
          <cell r="Q70">
            <v>0.88264287286977261</v>
          </cell>
          <cell r="R70">
            <v>0.92349505975816193</v>
          </cell>
          <cell r="S70">
            <v>0.95209159058003434</v>
          </cell>
          <cell r="T70">
            <v>0.97115594446128262</v>
          </cell>
          <cell r="U70">
            <v>0.98328780602207699</v>
          </cell>
          <cell r="V70">
            <v>0.99067241740690848</v>
          </cell>
          <cell r="W70">
            <v>0.99498010738139331</v>
          </cell>
          <cell r="X70"/>
        </row>
        <row r="71">
          <cell r="A71" t="str">
            <v>Water Heating</v>
          </cell>
          <cell r="B71" t="str">
            <v>Aerator - Retro</v>
          </cell>
          <cell r="C71" t="str">
            <v>Retro3Slow</v>
          </cell>
          <cell r="D71">
            <v>5.5320496977002724E-3</v>
          </cell>
          <cell r="E71">
            <v>8.6958686465615706E-3</v>
          </cell>
          <cell r="F71">
            <v>1.7391737293123145E-2</v>
          </cell>
          <cell r="G71">
            <v>3.0435540262965514E-2</v>
          </cell>
          <cell r="H71">
            <v>4.7344173742390784E-2</v>
          </cell>
          <cell r="I71">
            <v>6.6281843239347063E-2</v>
          </cell>
          <cell r="J71">
            <v>8.4358709577350838E-2</v>
          </cell>
          <cell r="K71">
            <v>9.8418494506909315E-2</v>
          </cell>
          <cell r="L71">
            <v>0.10598914793051767</v>
          </cell>
          <cell r="M71">
            <v>0.10598914793051767</v>
          </cell>
          <cell r="N71">
            <v>9.8923204735149928E-2</v>
          </cell>
          <cell r="O71">
            <v>8.655780414325609E-2</v>
          </cell>
          <cell r="P71">
            <v>7.1282897529740263E-2</v>
          </cell>
          <cell r="Q71">
            <v>5.5442253634242489E-2</v>
          </cell>
          <cell r="R71">
            <v>4.0852186888389319E-2</v>
          </cell>
          <cell r="S71">
            <v>2.8596530821872412E-2</v>
          </cell>
          <cell r="T71">
            <v>1.9064353881248275E-2</v>
          </cell>
          <cell r="U71">
            <v>1.2131861560794377E-2</v>
          </cell>
          <cell r="V71">
            <v>7.3846113848314854E-3</v>
          </cell>
          <cell r="W71">
            <v>4.3076899744848296E-3</v>
          </cell>
          <cell r="X71"/>
        </row>
        <row r="72">
          <cell r="A72" t="str">
            <v>Water Heating</v>
          </cell>
          <cell r="B72" t="str">
            <v>Behavior - Retro</v>
          </cell>
          <cell r="C72" t="str">
            <v>Retro5Med</v>
          </cell>
          <cell r="D72">
            <v>4.2999999999999997E-2</v>
          </cell>
          <cell r="E72">
            <v>5.279714228027832E-2</v>
          </cell>
          <cell r="F72">
            <v>6.4608251467478173E-2</v>
          </cell>
          <cell r="G72">
            <v>7.4999999999999997E-2</v>
          </cell>
          <cell r="H72">
            <v>8.5546997470333563E-2</v>
          </cell>
          <cell r="I72">
            <v>0.10001472303820647</v>
          </cell>
          <cell r="J72">
            <v>0.10971770435235073</v>
          </cell>
          <cell r="K72">
            <v>0.11208438511970376</v>
          </cell>
          <cell r="L72">
            <v>0.10562608162722853</v>
          </cell>
          <cell r="M72">
            <v>9.0794563997872335E-2</v>
          </cell>
          <cell r="N72">
            <v>7.0260666991849297E-2</v>
          </cell>
          <cell r="O72">
            <v>4.8218360404944538E-2</v>
          </cell>
          <cell r="P72">
            <v>2.8854234614640095E-2</v>
          </cell>
          <cell r="Q72">
            <v>1.4773964924806759E-2</v>
          </cell>
          <cell r="R72">
            <v>6.3385343681182649E-3</v>
          </cell>
          <cell r="S72">
            <v>2.2268577196306039E-3</v>
          </cell>
          <cell r="T72">
            <v>6.2471001963848583E-4</v>
          </cell>
          <cell r="U72">
            <v>1.3615841889635938E-4</v>
          </cell>
          <cell r="V72">
            <v>2.2380636622298944E-5</v>
          </cell>
          <cell r="W72">
            <v>2.68643837586513E-6</v>
          </cell>
          <cell r="X72"/>
        </row>
        <row r="73">
          <cell r="A73" t="str">
            <v>Water Heating</v>
          </cell>
          <cell r="B73" t="str">
            <v>Behavior - New</v>
          </cell>
          <cell r="C73" t="str">
            <v>LO5Med</v>
          </cell>
          <cell r="D73">
            <v>4.2999999999999997E-2</v>
          </cell>
          <cell r="E73">
            <v>9.5797142280278316E-2</v>
          </cell>
          <cell r="F73">
            <v>0.16040539374775648</v>
          </cell>
          <cell r="G73">
            <v>0.23540539374775649</v>
          </cell>
          <cell r="H73">
            <v>0.32095239121809005</v>
          </cell>
          <cell r="I73">
            <v>0.42096711425629652</v>
          </cell>
          <cell r="J73">
            <v>0.53068481860864725</v>
          </cell>
          <cell r="K73">
            <v>0.642769203728351</v>
          </cell>
          <cell r="L73">
            <v>0.74839528535557953</v>
          </cell>
          <cell r="M73">
            <v>0.83918984935345187</v>
          </cell>
          <cell r="N73">
            <v>0.90945051634530116</v>
          </cell>
          <cell r="O73">
            <v>0.9576688767502457</v>
          </cell>
          <cell r="P73">
            <v>0.9865231113648858</v>
          </cell>
          <cell r="Q73">
            <v>1.0012970762896924</v>
          </cell>
          <cell r="R73">
            <v>1.0076356106578106</v>
          </cell>
          <cell r="S73">
            <v>1.0098624683774413</v>
          </cell>
          <cell r="T73">
            <v>1.0104871783970797</v>
          </cell>
          <cell r="U73">
            <v>1.010623336815976</v>
          </cell>
          <cell r="V73">
            <v>1.0106457174525985</v>
          </cell>
          <cell r="W73">
            <v>1.0106484038909742</v>
          </cell>
          <cell r="X73"/>
        </row>
        <row r="74">
          <cell r="A74">
            <v>0</v>
          </cell>
          <cell r="B74">
            <v>0</v>
          </cell>
          <cell r="C74" t="str">
            <v>Retro1Slow</v>
          </cell>
          <cell r="D74">
            <v>2.5643970768378654E-3</v>
          </cell>
          <cell r="E74">
            <v>5.1260615529385989E-3</v>
          </cell>
          <cell r="F74">
            <v>9.1015544176433795E-3</v>
          </cell>
          <cell r="G74">
            <v>1.4804925730045659E-2</v>
          </cell>
          <cell r="H74">
            <v>2.2471809420486211E-2</v>
          </cell>
          <cell r="I74">
            <v>3.2184432813882391E-2</v>
          </cell>
          <cell r="J74">
            <v>4.3779667172004086E-2</v>
          </cell>
          <cell r="K74">
            <v>5.675426075474499E-2</v>
          </cell>
          <cell r="L74">
            <v>7.0195239068707532E-2</v>
          </cell>
          <cell r="M74">
            <v>8.2776861842756788E-2</v>
          </cell>
          <cell r="N74">
            <v>9.2870259507494834E-2</v>
          </cell>
          <cell r="O74">
            <v>9.8796470678915727E-2</v>
          </cell>
          <cell r="P74">
            <v>9.9208932889988999E-2</v>
          </cell>
          <cell r="Q74">
            <v>9.3521150494244254E-2</v>
          </cell>
          <cell r="R74">
            <v>8.2226007896862296E-2</v>
          </cell>
          <cell r="S74">
            <v>6.6933566027365665E-2</v>
          </cell>
          <cell r="T74">
            <v>5.0029565143448806E-2</v>
          </cell>
          <cell r="U74">
            <v>3.402486521893211E-2</v>
          </cell>
          <cell r="V74">
            <v>2.0846059340774659E-2</v>
          </cell>
          <cell r="W74">
            <v>0.01</v>
          </cell>
          <cell r="X74"/>
        </row>
        <row r="75">
          <cell r="A75" t="str">
            <v>HVAC</v>
          </cell>
          <cell r="B75" t="str">
            <v>Heat Recovery Ventilation - New</v>
          </cell>
          <cell r="C75" t="str">
            <v>LO1Slow</v>
          </cell>
          <cell r="D75">
            <v>2.5643970768378654E-3</v>
          </cell>
          <cell r="E75">
            <v>7.6904586297764643E-3</v>
          </cell>
          <cell r="F75">
            <v>1.6792013047419844E-2</v>
          </cell>
          <cell r="G75">
            <v>3.15969387774655E-2</v>
          </cell>
          <cell r="H75">
            <v>5.406874819795171E-2</v>
          </cell>
          <cell r="I75">
            <v>8.6253181011834101E-2</v>
          </cell>
          <cell r="J75">
            <v>0.1300328481838382</v>
          </cell>
          <cell r="K75">
            <v>0.18678710893858319</v>
          </cell>
          <cell r="L75">
            <v>0.2569823480072907</v>
          </cell>
          <cell r="M75">
            <v>0.33975920985004748</v>
          </cell>
          <cell r="N75">
            <v>0.43262946935754232</v>
          </cell>
          <cell r="O75">
            <v>0.53142594003645804</v>
          </cell>
          <cell r="P75">
            <v>0.63063487292644704</v>
          </cell>
          <cell r="Q75">
            <v>0.7241560234206913</v>
          </cell>
          <cell r="R75">
            <v>0.80638203131755359</v>
          </cell>
          <cell r="S75">
            <v>0.87331559734491926</v>
          </cell>
          <cell r="T75">
            <v>0.92334516248836807</v>
          </cell>
          <cell r="U75">
            <v>0.95737002770730018</v>
          </cell>
          <cell r="V75">
            <v>0.97821608704807483</v>
          </cell>
          <cell r="W75">
            <v>0.98821608704807484</v>
          </cell>
          <cell r="X75"/>
        </row>
        <row r="76">
          <cell r="A76" t="str">
            <v>HVAC</v>
          </cell>
          <cell r="B76" t="str">
            <v>GSHP - New</v>
          </cell>
          <cell r="C76" t="str">
            <v>LO1Slow</v>
          </cell>
          <cell r="D76">
            <v>2.5643970768378654E-3</v>
          </cell>
          <cell r="E76">
            <v>7.6904586297764643E-3</v>
          </cell>
          <cell r="F76">
            <v>1.6792013047419844E-2</v>
          </cell>
          <cell r="G76">
            <v>3.15969387774655E-2</v>
          </cell>
          <cell r="H76">
            <v>5.406874819795171E-2</v>
          </cell>
          <cell r="I76">
            <v>8.6253181011834101E-2</v>
          </cell>
          <cell r="J76">
            <v>0.1300328481838382</v>
          </cell>
          <cell r="K76">
            <v>0.18678710893858319</v>
          </cell>
          <cell r="L76">
            <v>0.2569823480072907</v>
          </cell>
          <cell r="M76">
            <v>0.33975920985004748</v>
          </cell>
          <cell r="N76">
            <v>0.43262946935754232</v>
          </cell>
          <cell r="O76">
            <v>0.53142594003645804</v>
          </cell>
          <cell r="P76">
            <v>0.63063487292644704</v>
          </cell>
          <cell r="Q76">
            <v>0.7241560234206913</v>
          </cell>
          <cell r="R76">
            <v>0.80638203131755359</v>
          </cell>
          <cell r="S76">
            <v>0.87331559734491926</v>
          </cell>
          <cell r="T76">
            <v>0.92334516248836807</v>
          </cell>
          <cell r="U76">
            <v>0.95737002770730018</v>
          </cell>
          <cell r="V76">
            <v>0.97821608704807483</v>
          </cell>
          <cell r="W76">
            <v>0.98821608704807484</v>
          </cell>
          <cell r="X76"/>
        </row>
        <row r="77">
          <cell r="A77" t="str">
            <v>HVAC</v>
          </cell>
          <cell r="B77" t="str">
            <v>GSHP - NR</v>
          </cell>
          <cell r="C77" t="str">
            <v>LO1Slow</v>
          </cell>
          <cell r="D77">
            <v>2.5643970768378654E-3</v>
          </cell>
          <cell r="E77">
            <v>7.6904586297764643E-3</v>
          </cell>
          <cell r="F77">
            <v>1.6792013047419844E-2</v>
          </cell>
          <cell r="G77">
            <v>3.15969387774655E-2</v>
          </cell>
          <cell r="H77">
            <v>5.406874819795171E-2</v>
          </cell>
          <cell r="I77">
            <v>8.6253181011834101E-2</v>
          </cell>
          <cell r="J77">
            <v>0.1300328481838382</v>
          </cell>
          <cell r="K77">
            <v>0.18678710893858319</v>
          </cell>
          <cell r="L77">
            <v>0.2569823480072907</v>
          </cell>
          <cell r="M77">
            <v>0.33975920985004748</v>
          </cell>
          <cell r="N77">
            <v>0.43262946935754232</v>
          </cell>
          <cell r="O77">
            <v>0.53142594003645804</v>
          </cell>
          <cell r="P77">
            <v>0.63063487292644704</v>
          </cell>
          <cell r="Q77">
            <v>0.7241560234206913</v>
          </cell>
          <cell r="R77">
            <v>0.80638203131755359</v>
          </cell>
          <cell r="S77">
            <v>0.87331559734491926</v>
          </cell>
          <cell r="T77">
            <v>0.92334516248836807</v>
          </cell>
          <cell r="U77">
            <v>0.95737002770730018</v>
          </cell>
          <cell r="V77">
            <v>0.97821608704807483</v>
          </cell>
          <cell r="W77">
            <v>0.98821608704807484</v>
          </cell>
          <cell r="X77"/>
        </row>
        <row r="78">
          <cell r="A78">
            <v>0</v>
          </cell>
          <cell r="B78">
            <v>0</v>
          </cell>
          <cell r="C78" t="str">
            <v>Retro5Med</v>
          </cell>
          <cell r="D78">
            <v>4.2999999999999997E-2</v>
          </cell>
          <cell r="E78">
            <v>5.279714228027832E-2</v>
          </cell>
          <cell r="F78">
            <v>6.4608251467478173E-2</v>
          </cell>
          <cell r="G78">
            <v>7.4999999999999997E-2</v>
          </cell>
          <cell r="H78">
            <v>8.5546997470333563E-2</v>
          </cell>
          <cell r="I78">
            <v>0.10001472303820647</v>
          </cell>
          <cell r="J78">
            <v>0.10971770435235073</v>
          </cell>
          <cell r="K78">
            <v>0.11208438511970376</v>
          </cell>
          <cell r="L78">
            <v>0.10562608162722853</v>
          </cell>
          <cell r="M78">
            <v>9.0794563997872335E-2</v>
          </cell>
          <cell r="N78">
            <v>7.0260666991849297E-2</v>
          </cell>
          <cell r="O78">
            <v>4.8218360404944538E-2</v>
          </cell>
          <cell r="P78">
            <v>2.8854234614640095E-2</v>
          </cell>
          <cell r="Q78">
            <v>1.4773964924806759E-2</v>
          </cell>
          <cell r="R78">
            <v>6.3385343681182649E-3</v>
          </cell>
          <cell r="S78">
            <v>2.2268577196306039E-3</v>
          </cell>
          <cell r="T78">
            <v>6.2471001963848583E-4</v>
          </cell>
          <cell r="U78">
            <v>1.3615841889635938E-4</v>
          </cell>
          <cell r="V78">
            <v>2.2380636622298944E-5</v>
          </cell>
          <cell r="W78">
            <v>2.68643837586513E-6</v>
          </cell>
          <cell r="X78"/>
        </row>
        <row r="79">
          <cell r="A79" t="str">
            <v>HVAC</v>
          </cell>
          <cell r="B79" t="str">
            <v>ECM for HVAC ventilation - New</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cell r="X79"/>
        </row>
        <row r="80">
          <cell r="A80" t="str">
            <v>HVAC</v>
          </cell>
          <cell r="B80" t="str">
            <v>ECM for HVAC ventilation - NR</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cell r="X80"/>
        </row>
        <row r="81">
          <cell r="A81" t="str">
            <v>HVAC</v>
          </cell>
          <cell r="B81" t="str">
            <v>Whole house/attic fan - New</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cell r="X81"/>
        </row>
        <row r="82">
          <cell r="A82" t="str">
            <v>HVAC</v>
          </cell>
          <cell r="B82" t="str">
            <v>Whole house/attic fan - Retro</v>
          </cell>
          <cell r="C82" t="str">
            <v>Retro12Med</v>
          </cell>
          <cell r="D82">
            <v>0.10937459468255628</v>
          </cell>
          <cell r="E82">
            <v>0.10937459468255628</v>
          </cell>
          <cell r="F82">
            <v>0.10937459468255628</v>
          </cell>
          <cell r="G82">
            <v>0.10937459468255628</v>
          </cell>
          <cell r="H82">
            <v>0.10937459468255628</v>
          </cell>
          <cell r="I82">
            <v>9.8437135214300656E-2</v>
          </cell>
          <cell r="J82">
            <v>7.874970817144053E-2</v>
          </cell>
          <cell r="K82">
            <v>6.2999766537152418E-2</v>
          </cell>
          <cell r="L82">
            <v>5.0399813229721938E-2</v>
          </cell>
          <cell r="M82">
            <v>4.0319850583777551E-2</v>
          </cell>
          <cell r="N82">
            <v>3.225588046702204E-2</v>
          </cell>
          <cell r="O82">
            <v>2.5804704373617631E-2</v>
          </cell>
          <cell r="P82">
            <v>2.0643763498894106E-2</v>
          </cell>
          <cell r="Q82">
            <v>1.6515010799115284E-2</v>
          </cell>
          <cell r="R82">
            <v>1.3212008639292228E-2</v>
          </cell>
          <cell r="S82">
            <v>1.0569606911433781E-2</v>
          </cell>
          <cell r="T82">
            <v>7.2092823794611682E-5</v>
          </cell>
          <cell r="U82">
            <v>2.5747437069512102E-5</v>
          </cell>
          <cell r="V82">
            <v>8.7775353646568632E-6</v>
          </cell>
          <cell r="W82">
            <v>2.8622397928446119E-6</v>
          </cell>
          <cell r="X82"/>
        </row>
        <row r="83">
          <cell r="A83" t="str">
            <v>Water heating</v>
          </cell>
          <cell r="B83" t="str">
            <v>WH Pipe insulation - Retro</v>
          </cell>
          <cell r="C83" t="str">
            <v>Retro12Med</v>
          </cell>
          <cell r="D83">
            <v>0.10937459468255628</v>
          </cell>
          <cell r="E83">
            <v>0.10937459468255628</v>
          </cell>
          <cell r="F83">
            <v>0.10937459468255628</v>
          </cell>
          <cell r="G83">
            <v>0.10937459468255628</v>
          </cell>
          <cell r="H83">
            <v>0.10937459468255628</v>
          </cell>
          <cell r="I83">
            <v>9.8437135214300656E-2</v>
          </cell>
          <cell r="J83">
            <v>7.874970817144053E-2</v>
          </cell>
          <cell r="K83">
            <v>6.2999766537152418E-2</v>
          </cell>
          <cell r="L83">
            <v>5.0399813229721938E-2</v>
          </cell>
          <cell r="M83">
            <v>4.0319850583777551E-2</v>
          </cell>
          <cell r="N83">
            <v>3.225588046702204E-2</v>
          </cell>
          <cell r="O83">
            <v>2.5804704373617631E-2</v>
          </cell>
          <cell r="P83">
            <v>2.0643763498894106E-2</v>
          </cell>
          <cell r="Q83">
            <v>1.6515010799115284E-2</v>
          </cell>
          <cell r="R83">
            <v>1.3212008639292228E-2</v>
          </cell>
          <cell r="S83">
            <v>1.0569606911433781E-2</v>
          </cell>
          <cell r="T83">
            <v>7.2092823794611682E-5</v>
          </cell>
          <cell r="U83">
            <v>2.5747437069512102E-5</v>
          </cell>
          <cell r="V83">
            <v>8.7775353646568632E-6</v>
          </cell>
          <cell r="W83">
            <v>2.8622397928446119E-6</v>
          </cell>
          <cell r="X83"/>
        </row>
        <row r="84">
          <cell r="A84" t="str">
            <v>HVAC</v>
          </cell>
          <cell r="B84" t="str">
            <v>DHP Ducted - NR</v>
          </cell>
          <cell r="C84" t="str">
            <v>LO12Med</v>
          </cell>
          <cell r="D84">
            <v>0.10937459468255628</v>
          </cell>
          <cell r="E84">
            <v>0.21874918936511256</v>
          </cell>
          <cell r="F84">
            <v>0.32812378404766884</v>
          </cell>
          <cell r="G84">
            <v>0.43749837873022512</v>
          </cell>
          <cell r="H84">
            <v>0.5468729734127814</v>
          </cell>
          <cell r="I84">
            <v>0.64531010862708205</v>
          </cell>
          <cell r="J84">
            <v>0.7240598167985226</v>
          </cell>
          <cell r="K84">
            <v>0.78705958333567505</v>
          </cell>
          <cell r="L84">
            <v>0.83745939656539703</v>
          </cell>
          <cell r="M84">
            <v>0.87777924714917455</v>
          </cell>
          <cell r="N84">
            <v>0.91003512761619654</v>
          </cell>
          <cell r="O84">
            <v>0.93583983198981413</v>
          </cell>
          <cell r="P84">
            <v>0.9564835954887082</v>
          </cell>
          <cell r="Q84">
            <v>0.97299860628782353</v>
          </cell>
          <cell r="R84">
            <v>0.9862106149271157</v>
          </cell>
          <cell r="S84">
            <v>0.99678022183854953</v>
          </cell>
          <cell r="T84">
            <v>0.99685231466234414</v>
          </cell>
          <cell r="U84">
            <v>0.99687806209941365</v>
          </cell>
          <cell r="V84">
            <v>0.99688683963477831</v>
          </cell>
          <cell r="W84">
            <v>0.99688970187457115</v>
          </cell>
          <cell r="X84"/>
        </row>
        <row r="85">
          <cell r="A85" t="str">
            <v>Electronics</v>
          </cell>
          <cell r="B85" t="str">
            <v>Advanced Power Strips - New</v>
          </cell>
          <cell r="C85" t="str">
            <v>LO5Med</v>
          </cell>
          <cell r="D85">
            <v>4.2999999999999997E-2</v>
          </cell>
          <cell r="E85">
            <v>9.5797142280278316E-2</v>
          </cell>
          <cell r="F85">
            <v>0.16040539374775648</v>
          </cell>
          <cell r="G85">
            <v>0.23540539374775649</v>
          </cell>
          <cell r="H85">
            <v>0.32095239121809005</v>
          </cell>
          <cell r="I85">
            <v>0.42096711425629652</v>
          </cell>
          <cell r="J85">
            <v>0.53068481860864725</v>
          </cell>
          <cell r="K85">
            <v>0.642769203728351</v>
          </cell>
          <cell r="L85">
            <v>0.74839528535557953</v>
          </cell>
          <cell r="M85">
            <v>0.83918984935345187</v>
          </cell>
          <cell r="N85">
            <v>0.90945051634530116</v>
          </cell>
          <cell r="O85">
            <v>0.9576688767502457</v>
          </cell>
          <cell r="P85">
            <v>0.9865231113648858</v>
          </cell>
          <cell r="Q85">
            <v>1.0012970762896924</v>
          </cell>
          <cell r="R85">
            <v>1.0076356106578106</v>
          </cell>
          <cell r="S85">
            <v>1.0098624683774413</v>
          </cell>
          <cell r="T85">
            <v>1.0104871783970797</v>
          </cell>
          <cell r="U85">
            <v>1.010623336815976</v>
          </cell>
          <cell r="V85">
            <v>1.0106457174525985</v>
          </cell>
          <cell r="W85">
            <v>1.0106484038909742</v>
          </cell>
          <cell r="X85"/>
        </row>
        <row r="86">
          <cell r="A86" t="str">
            <v>Electronics</v>
          </cell>
          <cell r="B86" t="str">
            <v>Advanced Power Strips - Retro</v>
          </cell>
          <cell r="C86" t="str">
            <v>Retro5Med</v>
          </cell>
          <cell r="D86">
            <v>4.2999999999999997E-2</v>
          </cell>
          <cell r="E86">
            <v>5.279714228027832E-2</v>
          </cell>
          <cell r="F86">
            <v>6.4608251467478173E-2</v>
          </cell>
          <cell r="G86">
            <v>7.4999999999999997E-2</v>
          </cell>
          <cell r="H86">
            <v>8.5546997470333563E-2</v>
          </cell>
          <cell r="I86">
            <v>0.10001472303820647</v>
          </cell>
          <cell r="J86">
            <v>0.10971770435235073</v>
          </cell>
          <cell r="K86">
            <v>0.11208438511970376</v>
          </cell>
          <cell r="L86">
            <v>0.10562608162722853</v>
          </cell>
          <cell r="M86">
            <v>9.0794563997872335E-2</v>
          </cell>
          <cell r="N86">
            <v>7.0260666991849297E-2</v>
          </cell>
          <cell r="O86">
            <v>4.8218360404944538E-2</v>
          </cell>
          <cell r="P86">
            <v>2.8854234614640095E-2</v>
          </cell>
          <cell r="Q86">
            <v>1.4773964924806759E-2</v>
          </cell>
          <cell r="R86">
            <v>6.3385343681182649E-3</v>
          </cell>
          <cell r="S86">
            <v>2.2268577196306039E-3</v>
          </cell>
          <cell r="T86">
            <v>6.2471001963848583E-4</v>
          </cell>
          <cell r="U86">
            <v>1.3615841889635938E-4</v>
          </cell>
          <cell r="V86">
            <v>2.2380636622298944E-5</v>
          </cell>
          <cell r="W86">
            <v>2.68643837586513E-6</v>
          </cell>
          <cell r="X86"/>
        </row>
        <row r="87">
          <cell r="A87" t="str">
            <v>HVAC</v>
          </cell>
          <cell r="B87" t="str">
            <v>Controls Commissioning and Sizing - New</v>
          </cell>
          <cell r="C87" t="str">
            <v>LO5Med</v>
          </cell>
          <cell r="D87">
            <v>4.2999999999999997E-2</v>
          </cell>
          <cell r="E87">
            <v>9.5797142280278316E-2</v>
          </cell>
          <cell r="F87">
            <v>0.16040539374775648</v>
          </cell>
          <cell r="G87">
            <v>0.23540539374775649</v>
          </cell>
          <cell r="H87">
            <v>0.32095239121809005</v>
          </cell>
          <cell r="I87">
            <v>0.42096711425629652</v>
          </cell>
          <cell r="J87">
            <v>0.53068481860864725</v>
          </cell>
          <cell r="K87">
            <v>0.642769203728351</v>
          </cell>
          <cell r="L87">
            <v>0.74839528535557953</v>
          </cell>
          <cell r="M87">
            <v>0.83918984935345187</v>
          </cell>
          <cell r="N87">
            <v>0.90945051634530116</v>
          </cell>
          <cell r="O87">
            <v>0.9576688767502457</v>
          </cell>
          <cell r="P87">
            <v>0.9865231113648858</v>
          </cell>
          <cell r="Q87">
            <v>1.0012970762896924</v>
          </cell>
          <cell r="R87">
            <v>1.0076356106578106</v>
          </cell>
          <cell r="S87">
            <v>1.0098624683774413</v>
          </cell>
          <cell r="T87">
            <v>1.0104871783970797</v>
          </cell>
          <cell r="U87">
            <v>1.010623336815976</v>
          </cell>
          <cell r="V87">
            <v>1.0106457174525985</v>
          </cell>
          <cell r="W87">
            <v>1.0106484038909742</v>
          </cell>
          <cell r="X87"/>
        </row>
        <row r="88">
          <cell r="A88" t="str">
            <v>HVAC</v>
          </cell>
          <cell r="B88" t="str">
            <v>Controls Commissioning and Sizing - NR</v>
          </cell>
          <cell r="C88" t="str">
            <v>LO5Med</v>
          </cell>
          <cell r="D88">
            <v>4.2999999999999997E-2</v>
          </cell>
          <cell r="E88">
            <v>9.5797142280278316E-2</v>
          </cell>
          <cell r="F88">
            <v>0.16040539374775648</v>
          </cell>
          <cell r="G88">
            <v>0.23540539374775649</v>
          </cell>
          <cell r="H88">
            <v>0.32095239121809005</v>
          </cell>
          <cell r="I88">
            <v>0.42096711425629652</v>
          </cell>
          <cell r="J88">
            <v>0.53068481860864725</v>
          </cell>
          <cell r="K88">
            <v>0.642769203728351</v>
          </cell>
          <cell r="L88">
            <v>0.74839528535557953</v>
          </cell>
          <cell r="M88">
            <v>0.83918984935345187</v>
          </cell>
          <cell r="N88">
            <v>0.90945051634530116</v>
          </cell>
          <cell r="O88">
            <v>0.9576688767502457</v>
          </cell>
          <cell r="P88">
            <v>0.9865231113648858</v>
          </cell>
          <cell r="Q88">
            <v>1.0012970762896924</v>
          </cell>
          <cell r="R88">
            <v>1.0076356106578106</v>
          </cell>
          <cell r="S88">
            <v>1.0098624683774413</v>
          </cell>
          <cell r="T88">
            <v>1.0104871783970797</v>
          </cell>
          <cell r="U88">
            <v>1.010623336815976</v>
          </cell>
          <cell r="V88">
            <v>1.0106457174525985</v>
          </cell>
          <cell r="W88">
            <v>1.0106484038909742</v>
          </cell>
          <cell r="X88"/>
        </row>
        <row r="89">
          <cell r="A89" t="str">
            <v>HVAC</v>
          </cell>
          <cell r="B89" t="str">
            <v>ResWx - Retro</v>
          </cell>
          <cell r="C89" t="str">
            <v>Retro12Med</v>
          </cell>
          <cell r="D89">
            <v>0.10937459468255628</v>
          </cell>
          <cell r="E89">
            <v>0.10937459468255628</v>
          </cell>
          <cell r="F89">
            <v>0.10937459468255628</v>
          </cell>
          <cell r="G89">
            <v>0.10937459468255628</v>
          </cell>
          <cell r="H89">
            <v>0.10937459468255628</v>
          </cell>
          <cell r="I89">
            <v>9.8437135214300656E-2</v>
          </cell>
          <cell r="J89">
            <v>7.874970817144053E-2</v>
          </cell>
          <cell r="K89">
            <v>6.2999766537152418E-2</v>
          </cell>
          <cell r="L89">
            <v>5.0399813229721938E-2</v>
          </cell>
          <cell r="M89">
            <v>4.0319850583777551E-2</v>
          </cell>
          <cell r="N89">
            <v>3.225588046702204E-2</v>
          </cell>
          <cell r="O89">
            <v>2.5804704373617631E-2</v>
          </cell>
          <cell r="P89">
            <v>2.0643763498894106E-2</v>
          </cell>
          <cell r="Q89">
            <v>1.6515010799115284E-2</v>
          </cell>
          <cell r="R89">
            <v>1.3212008639292228E-2</v>
          </cell>
          <cell r="S89">
            <v>1.0569606911433781E-2</v>
          </cell>
          <cell r="T89">
            <v>7.2092823794611682E-5</v>
          </cell>
          <cell r="U89">
            <v>2.5747437069512102E-5</v>
          </cell>
          <cell r="V89">
            <v>8.7775353646568632E-6</v>
          </cell>
          <cell r="W89">
            <v>2.8622397928446119E-6</v>
          </cell>
          <cell r="X89"/>
        </row>
        <row r="90">
          <cell r="D90"/>
          <cell r="E90"/>
          <cell r="F90"/>
          <cell r="G90"/>
          <cell r="H90"/>
          <cell r="I90"/>
          <cell r="J90"/>
          <cell r="K90"/>
          <cell r="L90"/>
          <cell r="M90"/>
          <cell r="N90"/>
          <cell r="O90"/>
          <cell r="P90"/>
          <cell r="Q90"/>
          <cell r="R90"/>
          <cell r="S90"/>
          <cell r="T90"/>
          <cell r="U90"/>
          <cell r="V90"/>
          <cell r="W90"/>
          <cell r="X90"/>
        </row>
        <row r="91">
          <cell r="D91"/>
          <cell r="E91"/>
          <cell r="F91"/>
          <cell r="G91"/>
          <cell r="H91"/>
          <cell r="I91"/>
          <cell r="J91"/>
          <cell r="K91"/>
          <cell r="L91"/>
          <cell r="M91"/>
          <cell r="N91"/>
          <cell r="O91"/>
          <cell r="P91"/>
          <cell r="Q91"/>
          <cell r="R91"/>
          <cell r="S91"/>
          <cell r="T91"/>
          <cell r="U91"/>
          <cell r="V91"/>
          <cell r="W91"/>
          <cell r="X91"/>
        </row>
        <row r="92">
          <cell r="D92"/>
          <cell r="E92"/>
          <cell r="F92"/>
          <cell r="G92"/>
          <cell r="H92"/>
          <cell r="I92"/>
          <cell r="J92"/>
          <cell r="K92"/>
          <cell r="L92"/>
          <cell r="M92"/>
          <cell r="N92"/>
          <cell r="O92"/>
          <cell r="P92"/>
          <cell r="Q92"/>
          <cell r="R92"/>
          <cell r="S92"/>
          <cell r="T92"/>
          <cell r="U92"/>
          <cell r="V92"/>
          <cell r="W92"/>
          <cell r="X92"/>
        </row>
        <row r="93">
          <cell r="D93"/>
          <cell r="E93"/>
          <cell r="F93"/>
          <cell r="G93"/>
          <cell r="H93"/>
          <cell r="I93"/>
          <cell r="J93"/>
          <cell r="K93"/>
          <cell r="L93"/>
          <cell r="M93"/>
          <cell r="N93"/>
          <cell r="O93"/>
          <cell r="P93"/>
          <cell r="Q93"/>
          <cell r="R93"/>
          <cell r="S93"/>
          <cell r="T93"/>
          <cell r="U93"/>
          <cell r="V93"/>
          <cell r="W93"/>
          <cell r="X93"/>
        </row>
        <row r="94">
          <cell r="D94"/>
          <cell r="E94"/>
          <cell r="F94"/>
          <cell r="G94"/>
          <cell r="H94"/>
          <cell r="I94"/>
          <cell r="J94"/>
          <cell r="K94"/>
          <cell r="L94"/>
          <cell r="M94"/>
          <cell r="N94"/>
          <cell r="O94"/>
          <cell r="P94"/>
          <cell r="Q94"/>
          <cell r="R94"/>
          <cell r="S94"/>
          <cell r="T94"/>
          <cell r="U94"/>
          <cell r="V94"/>
          <cell r="W94"/>
          <cell r="X94"/>
        </row>
        <row r="95">
          <cell r="D95"/>
          <cell r="E95"/>
          <cell r="F95"/>
          <cell r="G95"/>
          <cell r="H95"/>
          <cell r="I95"/>
          <cell r="J95"/>
          <cell r="K95"/>
          <cell r="L95"/>
          <cell r="M95"/>
          <cell r="N95"/>
          <cell r="O95"/>
          <cell r="P95"/>
          <cell r="Q95"/>
          <cell r="R95"/>
          <cell r="S95"/>
          <cell r="T95"/>
          <cell r="U95"/>
          <cell r="V95"/>
          <cell r="W95"/>
          <cell r="X95"/>
        </row>
        <row r="96">
          <cell r="D96"/>
          <cell r="E96"/>
          <cell r="F96"/>
          <cell r="G96"/>
          <cell r="H96"/>
          <cell r="I96"/>
          <cell r="J96"/>
          <cell r="K96"/>
          <cell r="L96"/>
          <cell r="M96"/>
          <cell r="N96"/>
          <cell r="O96"/>
          <cell r="P96"/>
          <cell r="Q96"/>
          <cell r="R96"/>
          <cell r="S96"/>
          <cell r="T96"/>
          <cell r="U96"/>
          <cell r="V96"/>
          <cell r="W96"/>
          <cell r="X96"/>
        </row>
        <row r="97">
          <cell r="D97"/>
          <cell r="E97"/>
          <cell r="F97"/>
          <cell r="G97"/>
          <cell r="H97"/>
          <cell r="I97"/>
          <cell r="J97"/>
          <cell r="K97"/>
          <cell r="L97"/>
          <cell r="M97"/>
          <cell r="N97"/>
          <cell r="O97"/>
          <cell r="P97"/>
          <cell r="Q97"/>
          <cell r="R97"/>
          <cell r="S97"/>
          <cell r="T97"/>
          <cell r="U97"/>
          <cell r="V97"/>
          <cell r="W97"/>
          <cell r="X97"/>
        </row>
        <row r="98">
          <cell r="D98"/>
          <cell r="E98"/>
          <cell r="F98"/>
          <cell r="G98"/>
          <cell r="H98"/>
          <cell r="I98"/>
          <cell r="J98"/>
          <cell r="K98"/>
          <cell r="L98"/>
          <cell r="M98"/>
          <cell r="N98"/>
          <cell r="O98"/>
          <cell r="P98"/>
          <cell r="Q98"/>
          <cell r="R98"/>
          <cell r="S98"/>
          <cell r="T98"/>
          <cell r="U98"/>
          <cell r="V98"/>
          <cell r="W98"/>
          <cell r="X98"/>
        </row>
        <row r="99">
          <cell r="D99"/>
          <cell r="E99"/>
          <cell r="F99"/>
          <cell r="G99"/>
          <cell r="H99"/>
          <cell r="I99"/>
          <cell r="J99"/>
          <cell r="K99"/>
          <cell r="L99"/>
          <cell r="M99"/>
          <cell r="N99"/>
          <cell r="O99"/>
          <cell r="P99"/>
          <cell r="Q99"/>
          <cell r="R99"/>
          <cell r="S99"/>
          <cell r="T99"/>
          <cell r="U99"/>
          <cell r="V99"/>
          <cell r="W99"/>
          <cell r="X99"/>
        </row>
        <row r="100">
          <cell r="D100"/>
          <cell r="E100"/>
          <cell r="F100"/>
          <cell r="G100"/>
          <cell r="H100"/>
          <cell r="I100"/>
          <cell r="J100"/>
          <cell r="K100"/>
          <cell r="L100"/>
          <cell r="M100"/>
          <cell r="N100"/>
          <cell r="O100"/>
          <cell r="P100"/>
          <cell r="Q100"/>
          <cell r="R100"/>
          <cell r="S100"/>
          <cell r="T100"/>
          <cell r="U100"/>
          <cell r="V100"/>
          <cell r="W100"/>
          <cell r="X100"/>
        </row>
      </sheetData>
      <sheetData sheetId="10"/>
      <sheetData sheetId="11">
        <row r="10">
          <cell r="B10" t="str">
            <v>Vars</v>
          </cell>
          <cell r="C10" t="str">
            <v>Single Family</v>
          </cell>
          <cell r="D10" t="str">
            <v>Multifamily - Low Rise</v>
          </cell>
          <cell r="E10" t="str">
            <v>Multifamily - High Rise</v>
          </cell>
          <cell r="F10" t="str">
            <v>Manufactured</v>
          </cell>
        </row>
        <row r="11">
          <cell r="B11" t="str">
            <v>Electric FAF - HZ1CZ1</v>
          </cell>
          <cell r="C11">
            <v>6.8910359437455118E-2</v>
          </cell>
          <cell r="D11">
            <v>2.9671514740017984E-2</v>
          </cell>
          <cell r="E11">
            <v>2.9671514740017984E-2</v>
          </cell>
          <cell r="F11">
            <v>0.68310644913823848</v>
          </cell>
        </row>
        <row r="12">
          <cell r="B12" t="str">
            <v>Electric FAF - HZ1CZ23</v>
          </cell>
          <cell r="C12">
            <v>5.5704832325126567E-2</v>
          </cell>
          <cell r="D12">
            <v>0</v>
          </cell>
          <cell r="E12">
            <v>0</v>
          </cell>
          <cell r="F12">
            <v>0.53068387215316171</v>
          </cell>
        </row>
        <row r="13">
          <cell r="B13" t="str">
            <v>Electric FAF - HZ23CZ1</v>
          </cell>
          <cell r="C13">
            <v>6.6557500117039647E-2</v>
          </cell>
          <cell r="D13">
            <v>0</v>
          </cell>
          <cell r="E13">
            <v>0</v>
          </cell>
          <cell r="F13">
            <v>0.29641575914254098</v>
          </cell>
        </row>
        <row r="14">
          <cell r="B14" t="str">
            <v>Electric FAF - HZ23CZ23</v>
          </cell>
          <cell r="C14">
            <v>4.1453999442898203E-2</v>
          </cell>
          <cell r="D14">
            <v>0</v>
          </cell>
          <cell r="E14">
            <v>0</v>
          </cell>
          <cell r="F14">
            <v>0.49242118699820225</v>
          </cell>
        </row>
        <row r="15">
          <cell r="B15" t="str">
            <v>Electric FAF - HZ1</v>
          </cell>
          <cell r="C15">
            <v>6.3764394229545662E-2</v>
          </cell>
          <cell r="D15">
            <v>2.279607208754721E-2</v>
          </cell>
          <cell r="E15">
            <v>2.279607208754721E-2</v>
          </cell>
          <cell r="F15">
            <v>0.6103855317692306</v>
          </cell>
        </row>
        <row r="16">
          <cell r="B16" t="str">
            <v>Electric FAF - HZ23</v>
          </cell>
          <cell r="C16">
            <v>4.8202841751037277E-2</v>
          </cell>
          <cell r="D16">
            <v>0</v>
          </cell>
          <cell r="E16">
            <v>0</v>
          </cell>
          <cell r="F16">
            <v>0.42117367880782697</v>
          </cell>
        </row>
        <row r="17">
          <cell r="B17" t="str">
            <v>Electric FAF - Region</v>
          </cell>
          <cell r="C17">
            <v>5.9888429585079297E-2</v>
          </cell>
          <cell r="D17">
            <v>1.96145349060163E-2</v>
          </cell>
          <cell r="E17">
            <v>1.96145349060163E-2</v>
          </cell>
          <cell r="F17">
            <v>0.54052539788177201</v>
          </cell>
        </row>
        <row r="18">
          <cell r="B18" t="str">
            <v>Electric FAF w/ CAC - HZ1CZ1</v>
          </cell>
          <cell r="C18">
            <v>1.5601272192892677E-2</v>
          </cell>
          <cell r="D18">
            <v>0</v>
          </cell>
          <cell r="E18">
            <v>0</v>
          </cell>
          <cell r="F18">
            <v>0.15868069027846163</v>
          </cell>
        </row>
        <row r="19">
          <cell r="B19" t="str">
            <v>Electric FAF w/ CAC - HZ1CZ23</v>
          </cell>
          <cell r="C19">
            <v>0</v>
          </cell>
          <cell r="D19">
            <v>0</v>
          </cell>
          <cell r="E19">
            <v>0</v>
          </cell>
          <cell r="F19">
            <v>4.8523578535561704E-2</v>
          </cell>
        </row>
        <row r="20">
          <cell r="B20" t="str">
            <v>Electric FAF w/ CAC - HZ23CZ1</v>
          </cell>
          <cell r="C20">
            <v>0</v>
          </cell>
          <cell r="D20">
            <v>0</v>
          </cell>
          <cell r="E20">
            <v>0</v>
          </cell>
          <cell r="F20">
            <v>8.6847892074621388E-2</v>
          </cell>
        </row>
        <row r="21">
          <cell r="B21" t="str">
            <v>Electric FAF w/ CAC - HZ23CZ23</v>
          </cell>
          <cell r="C21">
            <v>0</v>
          </cell>
          <cell r="D21">
            <v>0</v>
          </cell>
          <cell r="E21">
            <v>0</v>
          </cell>
          <cell r="F21">
            <v>6.4577174474630405E-2</v>
          </cell>
        </row>
        <row r="22">
          <cell r="B22" t="str">
            <v>Heat Pump - HZ1CZ1</v>
          </cell>
          <cell r="C22">
            <v>0.13597821666189061</v>
          </cell>
          <cell r="D22">
            <v>1.0945836048995988E-3</v>
          </cell>
          <cell r="E22">
            <v>1.0945836048995988E-3</v>
          </cell>
          <cell r="F22">
            <v>0.11042200533666623</v>
          </cell>
        </row>
        <row r="23">
          <cell r="B23" t="str">
            <v>Heat Pump - HZ1CZ23</v>
          </cell>
          <cell r="C23">
            <v>0.23487960154215734</v>
          </cell>
          <cell r="D23">
            <v>4.9999998343195358E-2</v>
          </cell>
          <cell r="E23">
            <v>4.9999998343195358E-2</v>
          </cell>
          <cell r="F23">
            <v>0.3014354043468136</v>
          </cell>
        </row>
        <row r="24">
          <cell r="B24" t="str">
            <v>Heat Pump - HZ23CZ1</v>
          </cell>
          <cell r="C24">
            <v>5.8367674105625697E-2</v>
          </cell>
          <cell r="D24">
            <v>0</v>
          </cell>
          <cell r="E24">
            <v>0</v>
          </cell>
          <cell r="F24">
            <v>1.6598912836278519E-2</v>
          </cell>
        </row>
        <row r="25">
          <cell r="B25" t="str">
            <v>Heat Pump - HZ23CZ23</v>
          </cell>
          <cell r="C25">
            <v>0.12819607887593021</v>
          </cell>
          <cell r="D25">
            <v>0</v>
          </cell>
          <cell r="E25">
            <v>0</v>
          </cell>
          <cell r="F25">
            <v>7.8940309013942875E-2</v>
          </cell>
        </row>
        <row r="26">
          <cell r="B26" t="str">
            <v>Heat Pump - HZ1</v>
          </cell>
          <cell r="C26">
            <v>0.17451837346735202</v>
          </cell>
          <cell r="D26">
            <v>1.2426879154171162E-2</v>
          </cell>
          <cell r="E26">
            <v>1.2426879154171162E-2</v>
          </cell>
          <cell r="F26">
            <v>0.20155463070325005</v>
          </cell>
        </row>
        <row r="27">
          <cell r="B27" t="str">
            <v>Heat Pump - HZ23</v>
          </cell>
          <cell r="C27">
            <v>0.10942336273004506</v>
          </cell>
          <cell r="D27">
            <v>0</v>
          </cell>
          <cell r="E27">
            <v>0</v>
          </cell>
          <cell r="F27">
            <v>5.6279359348618191E-2</v>
          </cell>
        </row>
        <row r="28">
          <cell r="B28" t="str">
            <v>Heat Pump - Region</v>
          </cell>
          <cell r="C28">
            <v>0.15830495514052295</v>
          </cell>
          <cell r="D28">
            <v>1.0692519922126772E-2</v>
          </cell>
          <cell r="E28">
            <v>1.0692519922126772E-2</v>
          </cell>
          <cell r="F28">
            <v>0.14791660671834839</v>
          </cell>
        </row>
        <row r="29">
          <cell r="B29" t="str">
            <v>Electric Zonal - HZ1CZ1</v>
          </cell>
          <cell r="C29">
            <v>0.1649901802637759</v>
          </cell>
          <cell r="D29">
            <v>0.85383980263040493</v>
          </cell>
          <cell r="E29">
            <v>0.85383980263040493</v>
          </cell>
          <cell r="F29">
            <v>3.0024948086295324E-2</v>
          </cell>
        </row>
        <row r="30">
          <cell r="B30" t="str">
            <v>Electric Zonal - HZ1CZ23</v>
          </cell>
          <cell r="C30">
            <v>9.8631712913821959E-2</v>
          </cell>
          <cell r="D30">
            <v>0.73333333554240632</v>
          </cell>
          <cell r="E30">
            <v>0.73333333554240632</v>
          </cell>
          <cell r="F30">
            <v>2.9788775817665265E-2</v>
          </cell>
        </row>
        <row r="31">
          <cell r="B31" t="str">
            <v>Electric Zonal - HZ23CZ1</v>
          </cell>
          <cell r="C31">
            <v>0.12476331328161443</v>
          </cell>
          <cell r="D31">
            <v>0.59999998409467525</v>
          </cell>
          <cell r="E31">
            <v>0.59999998409467525</v>
          </cell>
          <cell r="F31">
            <v>3.3197825672557038E-2</v>
          </cell>
        </row>
        <row r="32">
          <cell r="B32" t="str">
            <v>Electric Zonal - HZ23CZ23</v>
          </cell>
          <cell r="C32">
            <v>0.1649470283041021</v>
          </cell>
          <cell r="D32">
            <v>0.77777778759587934</v>
          </cell>
          <cell r="E32">
            <v>0.77777778759587934</v>
          </cell>
          <cell r="F32">
            <v>3.9084849826646118E-2</v>
          </cell>
        </row>
        <row r="33">
          <cell r="B33" t="str">
            <v>Electric Zonal - HZ1</v>
          </cell>
          <cell r="C33">
            <v>0.1391314348060306</v>
          </cell>
          <cell r="D33">
            <v>0.82591620954879041</v>
          </cell>
          <cell r="E33">
            <v>0.82591620954879041</v>
          </cell>
          <cell r="F33">
            <v>2.9912270132860779E-2</v>
          </cell>
        </row>
        <row r="34">
          <cell r="B34" t="str">
            <v>Electric Zonal - HZ23</v>
          </cell>
          <cell r="C34">
            <v>0.15414401084601026</v>
          </cell>
          <cell r="D34">
            <v>0.71428571563820797</v>
          </cell>
          <cell r="E34">
            <v>0.71428571563820797</v>
          </cell>
          <cell r="F34">
            <v>3.6944930507961368E-2</v>
          </cell>
        </row>
        <row r="35">
          <cell r="B35" t="str">
            <v>Electric Zonal - Region</v>
          </cell>
          <cell r="C35">
            <v>0.14287066416850494</v>
          </cell>
          <cell r="D35">
            <v>0.81033648311148054</v>
          </cell>
          <cell r="E35">
            <v>0.81033648311148054</v>
          </cell>
          <cell r="F35">
            <v>3.2508844225339915E-2</v>
          </cell>
        </row>
        <row r="36">
          <cell r="B36" t="str">
            <v>DHP - HZ1CZ1</v>
          </cell>
          <cell r="C36">
            <v>3.2261403645206709E-2</v>
          </cell>
          <cell r="D36">
            <v>2.3692380398754449E-2</v>
          </cell>
          <cell r="E36">
            <v>2.3692380398754449E-2</v>
          </cell>
          <cell r="F36">
            <v>1.2931050080460879E-2</v>
          </cell>
        </row>
        <row r="37">
          <cell r="B37" t="str">
            <v>DHP - HZ1CZ23</v>
          </cell>
          <cell r="C37">
            <v>1.0644758975689617E-2</v>
          </cell>
          <cell r="D37">
            <v>0</v>
          </cell>
          <cell r="E37">
            <v>0</v>
          </cell>
          <cell r="F37">
            <v>0</v>
          </cell>
        </row>
        <row r="38">
          <cell r="B38" t="str">
            <v>DHP - HZ23CZ1</v>
          </cell>
          <cell r="C38">
            <v>0</v>
          </cell>
          <cell r="D38">
            <v>0</v>
          </cell>
          <cell r="E38">
            <v>0</v>
          </cell>
          <cell r="F38">
            <v>2.3801185576297144E-2</v>
          </cell>
        </row>
        <row r="39">
          <cell r="B39" t="str">
            <v>DHP - HZ23CZ23</v>
          </cell>
          <cell r="C39">
            <v>2.8613550828090885E-3</v>
          </cell>
          <cell r="D39">
            <v>0</v>
          </cell>
          <cell r="E39">
            <v>0</v>
          </cell>
          <cell r="F39">
            <v>9.4794076514498494E-3</v>
          </cell>
        </row>
        <row r="40">
          <cell r="B40" t="str">
            <v>DHP - HZ1</v>
          </cell>
          <cell r="C40">
            <v>2.3837771598196254E-2</v>
          </cell>
          <cell r="D40">
            <v>1.8202414545664333E-2</v>
          </cell>
          <cell r="E40">
            <v>1.8202414545664333E-2</v>
          </cell>
          <cell r="F40">
            <v>6.761637103748332E-3</v>
          </cell>
        </row>
        <row r="41">
          <cell r="B41" t="str">
            <v>DHP - HZ23</v>
          </cell>
          <cell r="C41">
            <v>2.0921064233437379E-3</v>
          </cell>
          <cell r="D41">
            <v>0</v>
          </cell>
          <cell r="E41">
            <v>0</v>
          </cell>
          <cell r="F41">
            <v>1.4685339962430082E-2</v>
          </cell>
        </row>
        <row r="42">
          <cell r="B42" t="str">
            <v>DHP - Region</v>
          </cell>
          <cell r="C42">
            <v>1.8421510623943455E-2</v>
          </cell>
          <cell r="D42">
            <v>1.5661991860200661E-2</v>
          </cell>
          <cell r="E42">
            <v>1.5661991860200661E-2</v>
          </cell>
          <cell r="F42">
            <v>9.6871987634867523E-3</v>
          </cell>
        </row>
        <row r="43">
          <cell r="B43" t="str">
            <v>Central AC - CZ1</v>
          </cell>
          <cell r="C43">
            <v>8.7547645191238574E-2</v>
          </cell>
          <cell r="D43">
            <v>1.2325175673207357E-2</v>
          </cell>
          <cell r="E43">
            <v>1.2325175673207357E-2</v>
          </cell>
          <cell r="F43">
            <v>0.14076353391268348</v>
          </cell>
        </row>
        <row r="44">
          <cell r="B44" t="str">
            <v>Central AC - CZ23</v>
          </cell>
          <cell r="C44">
            <v>0.27842841395843276</v>
          </cell>
          <cell r="D44">
            <v>6.8965519290222155E-2</v>
          </cell>
          <cell r="E44">
            <v>6.8965519290222155E-2</v>
          </cell>
          <cell r="F44">
            <v>0.17641272113455647</v>
          </cell>
        </row>
        <row r="45">
          <cell r="B45" t="str">
            <v>Room A/C - CZ1</v>
          </cell>
          <cell r="C45">
            <v>3.8197963209166262E-2</v>
          </cell>
          <cell r="D45">
            <v>5.3226756579866766E-2</v>
          </cell>
          <cell r="E45">
            <v>5.3226756579866766E-2</v>
          </cell>
          <cell r="F45">
            <v>0.21069287259219041</v>
          </cell>
        </row>
        <row r="46">
          <cell r="B46" t="str">
            <v>Room A/C - CZ23</v>
          </cell>
          <cell r="C46">
            <v>9.88884449045868E-2</v>
          </cell>
          <cell r="D46">
            <v>0.10344827665008544</v>
          </cell>
          <cell r="E46">
            <v>0.10344827665008544</v>
          </cell>
          <cell r="F46">
            <v>0.16156829862253547</v>
          </cell>
        </row>
        <row r="47">
          <cell r="B47" t="str">
            <v>Electric WH</v>
          </cell>
          <cell r="C47">
            <v>0.55200000000000005</v>
          </cell>
          <cell r="D47">
            <v>0.94699999999999995</v>
          </cell>
          <cell r="E47">
            <v>0.94699999999999995</v>
          </cell>
          <cell r="F47">
            <v>0.88900000000000001</v>
          </cell>
        </row>
        <row r="48">
          <cell r="B48" t="str">
            <v>DWH &lt;55 inside</v>
          </cell>
          <cell r="C48">
            <v>0.34060273187152323</v>
          </cell>
          <cell r="D48">
            <v>0.69037391065424225</v>
          </cell>
          <cell r="E48">
            <v>0.69037391065424225</v>
          </cell>
          <cell r="F48">
            <v>0.64044035004660882</v>
          </cell>
        </row>
        <row r="49">
          <cell r="B49" t="str">
            <v>DHW &lt;55 outside buffer</v>
          </cell>
          <cell r="C49">
            <v>0.13278888545034082</v>
          </cell>
          <cell r="D49">
            <v>0</v>
          </cell>
          <cell r="E49">
            <v>0</v>
          </cell>
          <cell r="F49">
            <v>3.5084497934898207E-2</v>
          </cell>
        </row>
        <row r="50">
          <cell r="B50" t="str">
            <v>DHW &lt; 55 outside unbuffer</v>
          </cell>
          <cell r="C50">
            <v>0</v>
          </cell>
          <cell r="D50">
            <v>0</v>
          </cell>
          <cell r="E50">
            <v>0</v>
          </cell>
          <cell r="F50">
            <v>0.19050866802895391</v>
          </cell>
        </row>
        <row r="51">
          <cell r="B51" t="str">
            <v>DHW &gt;55 inside</v>
          </cell>
          <cell r="C51">
            <v>4.0633005829326954E-2</v>
          </cell>
          <cell r="D51">
            <v>5.571349522752414E-2</v>
          </cell>
          <cell r="E51">
            <v>5.571349522752414E-2</v>
          </cell>
          <cell r="F51">
            <v>0</v>
          </cell>
        </row>
        <row r="52">
          <cell r="B52" t="str">
            <v>DHW &gt;55 outside buffer</v>
          </cell>
          <cell r="C52">
            <v>1.9105116539180608E-2</v>
          </cell>
          <cell r="D52">
            <v>0</v>
          </cell>
          <cell r="E52">
            <v>0</v>
          </cell>
          <cell r="F52">
            <v>0</v>
          </cell>
        </row>
        <row r="53">
          <cell r="B53" t="str">
            <v>DHW &gt;55 outside unbuffer</v>
          </cell>
          <cell r="C53">
            <v>7.8395734639023578E-4</v>
          </cell>
          <cell r="D53">
            <v>0</v>
          </cell>
          <cell r="E53">
            <v>0</v>
          </cell>
          <cell r="F53">
            <v>0</v>
          </cell>
        </row>
        <row r="54">
          <cell r="B54" t="str">
            <v>Refrigerator</v>
          </cell>
          <cell r="C54">
            <v>1.2831400506742725</v>
          </cell>
          <cell r="D54">
            <v>1.0236201688615751</v>
          </cell>
          <cell r="E54">
            <v>1.0236201688615751</v>
          </cell>
          <cell r="F54">
            <v>1.1963734390534748</v>
          </cell>
        </row>
        <row r="55">
          <cell r="B55" t="str">
            <v>Freezer</v>
          </cell>
          <cell r="C55">
            <v>0.52766223341265472</v>
          </cell>
          <cell r="D55">
            <v>4.7085148422193572E-2</v>
          </cell>
          <cell r="E55">
            <v>4.7085148422193572E-2</v>
          </cell>
          <cell r="F55">
            <v>0.44147575101117187</v>
          </cell>
        </row>
        <row r="56">
          <cell r="B56" t="str">
            <v>Clothes Washer</v>
          </cell>
          <cell r="C56">
            <v>0.98546930096285335</v>
          </cell>
          <cell r="D56">
            <v>0.46477658924872384</v>
          </cell>
          <cell r="E56">
            <v>0.46477658924872384</v>
          </cell>
          <cell r="F56">
            <v>0.95368270905809616</v>
          </cell>
        </row>
        <row r="57">
          <cell r="B57" t="str">
            <v>Clothes Dryer</v>
          </cell>
          <cell r="C57">
            <v>0.93640551858187504</v>
          </cell>
          <cell r="D57">
            <v>0.46266057162974022</v>
          </cell>
          <cell r="E57">
            <v>0.46266057162974022</v>
          </cell>
          <cell r="F57">
            <v>0.88480083438048951</v>
          </cell>
        </row>
        <row r="58">
          <cell r="B58" t="str">
            <v>Dishwasher</v>
          </cell>
          <cell r="C58">
            <v>0.87764489634961651</v>
          </cell>
          <cell r="D58">
            <v>0.78113749066870952</v>
          </cell>
          <cell r="E58">
            <v>0.78113749066870952</v>
          </cell>
          <cell r="F58">
            <v>0.76196535734220561</v>
          </cell>
        </row>
        <row r="59">
          <cell r="B59" t="str">
            <v>Microwave</v>
          </cell>
          <cell r="C59">
            <v>0.95</v>
          </cell>
          <cell r="D59">
            <v>0.95</v>
          </cell>
          <cell r="E59">
            <v>0.95</v>
          </cell>
          <cell r="F59">
            <v>0.95</v>
          </cell>
        </row>
        <row r="60">
          <cell r="B60" t="str">
            <v>Electric Oven</v>
          </cell>
          <cell r="C60">
            <v>0.86895503473004965</v>
          </cell>
          <cell r="D60">
            <v>0.96585088459989477</v>
          </cell>
          <cell r="E60">
            <v>0.96585088459989477</v>
          </cell>
          <cell r="F60">
            <v>0.89920410170315002</v>
          </cell>
        </row>
        <row r="61">
          <cell r="B61" t="str">
            <v>TV</v>
          </cell>
          <cell r="C61">
            <v>2.2906090340948593</v>
          </cell>
          <cell r="D61">
            <v>1.5145007606068333</v>
          </cell>
          <cell r="E61">
            <v>1.5145007606068333</v>
          </cell>
          <cell r="F61">
            <v>2.0454162110233622</v>
          </cell>
        </row>
        <row r="62">
          <cell r="B62" t="str">
            <v>Set top box</v>
          </cell>
          <cell r="C62">
            <v>1.0654190989347723</v>
          </cell>
          <cell r="D62">
            <v>1.038434724492763</v>
          </cell>
          <cell r="E62">
            <v>1.038434724492763</v>
          </cell>
          <cell r="F62">
            <v>1.3170555258448295</v>
          </cell>
        </row>
        <row r="63">
          <cell r="B63" t="str">
            <v>Computer</v>
          </cell>
          <cell r="C63">
            <v>1.6655502145549572</v>
          </cell>
          <cell r="D63">
            <v>0.71239882016544165</v>
          </cell>
          <cell r="E63">
            <v>0.71239882016544165</v>
          </cell>
          <cell r="F63">
            <v>1.1331497454290105</v>
          </cell>
        </row>
        <row r="64">
          <cell r="B64" t="str">
            <v>Monitor</v>
          </cell>
          <cell r="C64">
            <v>1.0109839382712824</v>
          </cell>
          <cell r="D64">
            <v>0.45062457275939666</v>
          </cell>
          <cell r="E64">
            <v>0.45062457275939666</v>
          </cell>
          <cell r="F64">
            <v>0.72198913200149617</v>
          </cell>
        </row>
        <row r="65">
          <cell r="B65" t="str">
            <v>EISA nx</v>
          </cell>
          <cell r="C65">
            <v>0.73183262488926393</v>
          </cell>
          <cell r="D65">
            <v>0.41826483853544827</v>
          </cell>
          <cell r="E65">
            <v>0.41826483853544827</v>
          </cell>
          <cell r="F65">
            <v>0.81140182193357802</v>
          </cell>
        </row>
        <row r="66">
          <cell r="B66" t="str">
            <v>EISA x</v>
          </cell>
          <cell r="C66">
            <v>0.26816737511073607</v>
          </cell>
          <cell r="D66">
            <v>0.58148897029728519</v>
          </cell>
          <cell r="E66">
            <v>0.58148897029728519</v>
          </cell>
          <cell r="F66">
            <v>0.18859817806642193</v>
          </cell>
        </row>
        <row r="67">
          <cell r="B67" t="str">
            <v>WallSqft</v>
          </cell>
          <cell r="C67">
            <v>1802.7725325176218</v>
          </cell>
          <cell r="D67">
            <v>487</v>
          </cell>
          <cell r="E67"/>
          <cell r="F67">
            <v>1216.4209797598855</v>
          </cell>
        </row>
        <row r="68">
          <cell r="B68" t="str">
            <v>AtticSqft</v>
          </cell>
          <cell r="C68">
            <v>1431.3235818765609</v>
          </cell>
          <cell r="D68">
            <v>407</v>
          </cell>
          <cell r="E68"/>
          <cell r="F68">
            <v>1280</v>
          </cell>
        </row>
        <row r="69">
          <cell r="B69" t="str">
            <v>FloorSqft</v>
          </cell>
          <cell r="C69">
            <v>1431.3235818765609</v>
          </cell>
          <cell r="D69">
            <v>390</v>
          </cell>
          <cell r="E69"/>
          <cell r="F69">
            <v>1280</v>
          </cell>
        </row>
        <row r="70">
          <cell r="B70" t="str">
            <v>WindowSqft</v>
          </cell>
          <cell r="C70">
            <v>178.91544773457011</v>
          </cell>
          <cell r="D70">
            <v>174</v>
          </cell>
          <cell r="E70"/>
          <cell r="F70">
            <v>160</v>
          </cell>
        </row>
        <row r="71">
          <cell r="B71" t="str">
            <v>HomeSqft</v>
          </cell>
          <cell r="C71">
            <v>2006</v>
          </cell>
          <cell r="D71">
            <v>1150</v>
          </cell>
          <cell r="E71">
            <v>1150</v>
          </cell>
          <cell r="F71">
            <v>1280</v>
          </cell>
        </row>
        <row r="72">
          <cell r="B72" t="str">
            <v>Lighting</v>
          </cell>
          <cell r="C72">
            <v>63</v>
          </cell>
          <cell r="D72">
            <v>23</v>
          </cell>
          <cell r="E72">
            <v>23</v>
          </cell>
          <cell r="F72">
            <v>34.5</v>
          </cell>
        </row>
        <row r="73">
          <cell r="B73"/>
          <cell r="C73"/>
          <cell r="D73"/>
          <cell r="E73"/>
          <cell r="F73"/>
        </row>
        <row r="74">
          <cell r="B74"/>
          <cell r="C74"/>
          <cell r="D74"/>
          <cell r="E74"/>
          <cell r="F74"/>
        </row>
        <row r="75">
          <cell r="B75"/>
          <cell r="C75"/>
          <cell r="D75"/>
          <cell r="E75"/>
          <cell r="F75"/>
        </row>
        <row r="76">
          <cell r="B76"/>
          <cell r="C76"/>
          <cell r="D76"/>
          <cell r="E76"/>
          <cell r="F76"/>
        </row>
        <row r="77">
          <cell r="B77"/>
          <cell r="C77"/>
          <cell r="D77"/>
          <cell r="E77"/>
          <cell r="F77"/>
        </row>
        <row r="78">
          <cell r="B78"/>
          <cell r="C78"/>
          <cell r="D78"/>
          <cell r="E78"/>
          <cell r="F78"/>
        </row>
        <row r="79">
          <cell r="B79"/>
          <cell r="C79"/>
          <cell r="D79"/>
          <cell r="E79"/>
          <cell r="F79"/>
        </row>
        <row r="80">
          <cell r="B80"/>
          <cell r="C80"/>
          <cell r="D80"/>
          <cell r="E80"/>
          <cell r="F80"/>
        </row>
        <row r="81">
          <cell r="B81"/>
          <cell r="C81"/>
          <cell r="D81"/>
          <cell r="E81"/>
          <cell r="F81"/>
        </row>
        <row r="82">
          <cell r="B82"/>
          <cell r="C82"/>
          <cell r="D82"/>
          <cell r="E82"/>
          <cell r="F82"/>
        </row>
        <row r="83">
          <cell r="B83"/>
          <cell r="C83"/>
          <cell r="D83"/>
          <cell r="E83"/>
          <cell r="F83"/>
        </row>
        <row r="84">
          <cell r="C84"/>
          <cell r="F84"/>
        </row>
        <row r="87">
          <cell r="B87" t="str">
            <v>Vars</v>
          </cell>
          <cell r="C87" t="str">
            <v>Single Family</v>
          </cell>
          <cell r="D87" t="str">
            <v>Multifamily - Low Rise</v>
          </cell>
          <cell r="E87" t="str">
            <v>Multifamily - High Rise</v>
          </cell>
          <cell r="F87" t="str">
            <v>Manufactured</v>
          </cell>
        </row>
        <row r="88">
          <cell r="B88" t="str">
            <v>Electric FAF - HZ1CZ1</v>
          </cell>
          <cell r="C88">
            <v>1.8379055706406227E-2</v>
          </cell>
          <cell r="D88">
            <v>2.9671514740017984E-2</v>
          </cell>
          <cell r="E88">
            <v>2.9671514740017984E-2</v>
          </cell>
          <cell r="F88">
            <v>0.68310644913823848</v>
          </cell>
        </row>
        <row r="89">
          <cell r="B89" t="str">
            <v>Electric FAF - HZ1CZ23</v>
          </cell>
          <cell r="C89">
            <v>2.412923495568365E-2</v>
          </cell>
          <cell r="D89">
            <v>0</v>
          </cell>
          <cell r="E89">
            <v>0</v>
          </cell>
          <cell r="F89">
            <v>0.53068387215316171</v>
          </cell>
        </row>
        <row r="90">
          <cell r="B90" t="str">
            <v>Electric FAF - HZ23CZ1</v>
          </cell>
          <cell r="C90">
            <v>1.4117647058823532E-2</v>
          </cell>
          <cell r="D90">
            <v>0</v>
          </cell>
          <cell r="E90">
            <v>0</v>
          </cell>
          <cell r="F90">
            <v>0.29641575914254098</v>
          </cell>
        </row>
        <row r="91">
          <cell r="B91" t="str">
            <v>Electric FAF - HZ23CZ23</v>
          </cell>
          <cell r="C91">
            <v>0.14117647058823535</v>
          </cell>
          <cell r="D91">
            <v>0</v>
          </cell>
          <cell r="E91">
            <v>0</v>
          </cell>
          <cell r="F91">
            <v>0.49242118699820225</v>
          </cell>
        </row>
        <row r="92">
          <cell r="B92" t="str">
            <v>Electric FAF - HZ1</v>
          </cell>
          <cell r="C92">
            <v>2.0048426314096562E-2</v>
          </cell>
          <cell r="D92">
            <v>2.279607208754721E-2</v>
          </cell>
          <cell r="E92">
            <v>2.279607208754721E-2</v>
          </cell>
          <cell r="F92">
            <v>0.6103855317692306</v>
          </cell>
        </row>
        <row r="93">
          <cell r="B93" t="str">
            <v>Electric FAF - HZ23</v>
          </cell>
          <cell r="C93">
            <v>8.8458324594873558E-2</v>
          </cell>
          <cell r="D93">
            <v>0</v>
          </cell>
          <cell r="E93">
            <v>0</v>
          </cell>
          <cell r="F93">
            <v>0.42117367880782697</v>
          </cell>
        </row>
        <row r="94">
          <cell r="B94" t="str">
            <v>Electric FAF - Region</v>
          </cell>
          <cell r="C94">
            <v>2.1766292465668989E-2</v>
          </cell>
          <cell r="D94">
            <v>1.96145349060163E-2</v>
          </cell>
          <cell r="E94">
            <v>1.96145349060163E-2</v>
          </cell>
          <cell r="F94">
            <v>0.54052539788177201</v>
          </cell>
        </row>
        <row r="95">
          <cell r="B95" t="str">
            <v>Electric FAF w/ CAC - HZ1CZ1</v>
          </cell>
          <cell r="C95">
            <v>0.13310430527104683</v>
          </cell>
          <cell r="D95">
            <v>0</v>
          </cell>
          <cell r="E95">
            <v>0</v>
          </cell>
          <cell r="F95">
            <v>0.15868069027846163</v>
          </cell>
        </row>
        <row r="96">
          <cell r="B96" t="str">
            <v>Electric FAF w/ CAC - HZ1CZ23</v>
          </cell>
          <cell r="C96">
            <v>0.12117534162825606</v>
          </cell>
          <cell r="D96">
            <v>0</v>
          </cell>
          <cell r="E96">
            <v>0</v>
          </cell>
          <cell r="F96">
            <v>4.8523578535561704E-2</v>
          </cell>
        </row>
        <row r="97">
          <cell r="B97" t="str">
            <v>Electric FAF w/ CAC - HZ23CZ1</v>
          </cell>
          <cell r="C97">
            <v>1.9503476240466618E-2</v>
          </cell>
          <cell r="D97">
            <v>0</v>
          </cell>
          <cell r="E97">
            <v>0</v>
          </cell>
          <cell r="F97">
            <v>8.6847892074621388E-2</v>
          </cell>
        </row>
        <row r="98">
          <cell r="B98" t="str">
            <v>Electric FAF w/ CAC - HZ23CZ23</v>
          </cell>
          <cell r="C98">
            <v>3.0407952417464763E-2</v>
          </cell>
          <cell r="D98">
            <v>0</v>
          </cell>
          <cell r="E98">
            <v>0</v>
          </cell>
          <cell r="F98">
            <v>6.4577174474630405E-2</v>
          </cell>
        </row>
        <row r="99">
          <cell r="B99" t="str">
            <v>Heat Pump - HZ1CZ1</v>
          </cell>
          <cell r="C99">
            <v>7.4095770994953139E-2</v>
          </cell>
          <cell r="D99">
            <v>1.0945836048995988E-3</v>
          </cell>
          <cell r="E99">
            <v>1.0945836048995988E-3</v>
          </cell>
          <cell r="F99">
            <v>0.11042200533666623</v>
          </cell>
        </row>
        <row r="100">
          <cell r="B100" t="str">
            <v>Heat Pump - HZ1CZ23</v>
          </cell>
          <cell r="C100">
            <v>0.1235678638282882</v>
          </cell>
          <cell r="D100">
            <v>4.9999998343195358E-2</v>
          </cell>
          <cell r="E100">
            <v>4.9999998343195358E-2</v>
          </cell>
          <cell r="F100">
            <v>0.3014354043468136</v>
          </cell>
        </row>
        <row r="101">
          <cell r="B101" t="str">
            <v>Heat Pump - HZ23CZ1</v>
          </cell>
          <cell r="C101">
            <v>0.11294117647058827</v>
          </cell>
          <cell r="D101">
            <v>0</v>
          </cell>
          <cell r="E101">
            <v>0</v>
          </cell>
          <cell r="F101">
            <v>1.6598912836278519E-2</v>
          </cell>
        </row>
        <row r="102">
          <cell r="B102" t="str">
            <v>Heat Pump - HZ23CZ23</v>
          </cell>
          <cell r="C102">
            <v>0</v>
          </cell>
          <cell r="D102">
            <v>0</v>
          </cell>
          <cell r="E102">
            <v>0</v>
          </cell>
          <cell r="F102">
            <v>7.8940309013942875E-2</v>
          </cell>
        </row>
        <row r="103">
          <cell r="B103" t="str">
            <v>Heat Pump - HZ1</v>
          </cell>
          <cell r="C103">
            <v>8.8458324594873558E-2</v>
          </cell>
          <cell r="D103">
            <v>1.2426879154171162E-2</v>
          </cell>
          <cell r="E103">
            <v>1.2426879154171162E-2</v>
          </cell>
          <cell r="F103">
            <v>0.20155463070325005</v>
          </cell>
        </row>
        <row r="104">
          <cell r="B104" t="str">
            <v>Heat Pump - HZ23</v>
          </cell>
          <cell r="C104">
            <v>9.6333066453162572E-2</v>
          </cell>
          <cell r="D104">
            <v>0</v>
          </cell>
          <cell r="E104">
            <v>0</v>
          </cell>
          <cell r="F104">
            <v>5.6279359348618191E-2</v>
          </cell>
        </row>
        <row r="105">
          <cell r="B105" t="str">
            <v>Heat Pump - Region</v>
          </cell>
          <cell r="C105">
            <v>8.9373362312324317E-2</v>
          </cell>
          <cell r="D105">
            <v>1.0692519922126772E-2</v>
          </cell>
          <cell r="E105">
            <v>1.0692519922126772E-2</v>
          </cell>
          <cell r="F105">
            <v>0.14791660671834839</v>
          </cell>
        </row>
        <row r="106">
          <cell r="B106" t="str">
            <v>Electric Zonal - HZ1CZ1</v>
          </cell>
          <cell r="C106">
            <v>6.1965327738795109E-2</v>
          </cell>
          <cell r="D106">
            <v>0.85383980263040493</v>
          </cell>
          <cell r="E106">
            <v>0.85383980263040493</v>
          </cell>
          <cell r="F106">
            <v>3.0024948086295324E-2</v>
          </cell>
        </row>
        <row r="107">
          <cell r="B107" t="str">
            <v>Electric Zonal - HZ1CZ23</v>
          </cell>
          <cell r="C107">
            <v>6.7430556561826104E-3</v>
          </cell>
          <cell r="D107">
            <v>0.73333333554240632</v>
          </cell>
          <cell r="E107">
            <v>0.73333333554240632</v>
          </cell>
          <cell r="F107">
            <v>2.9788775817665265E-2</v>
          </cell>
        </row>
        <row r="108">
          <cell r="B108" t="str">
            <v>Electric Zonal - HZ23CZ1</v>
          </cell>
          <cell r="C108">
            <v>1.4117647058823532E-2</v>
          </cell>
          <cell r="D108">
            <v>0.59999998409467525</v>
          </cell>
          <cell r="E108">
            <v>0.59999998409467525</v>
          </cell>
          <cell r="F108">
            <v>3.3197825672557038E-2</v>
          </cell>
        </row>
        <row r="109">
          <cell r="B109" t="str">
            <v>Electric Zonal - HZ23CZ23</v>
          </cell>
          <cell r="C109">
            <v>0</v>
          </cell>
          <cell r="D109">
            <v>0.77777778759587934</v>
          </cell>
          <cell r="E109">
            <v>0.77777778759587934</v>
          </cell>
          <cell r="F109">
            <v>3.9084849826646118E-2</v>
          </cell>
        </row>
        <row r="110">
          <cell r="B110" t="str">
            <v>Electric Zonal - HZ1</v>
          </cell>
          <cell r="C110">
            <v>2.0048426314096562E-2</v>
          </cell>
          <cell r="D110">
            <v>0.82591620954879041</v>
          </cell>
          <cell r="E110">
            <v>0.82591620954879041</v>
          </cell>
          <cell r="F110">
            <v>2.9912270132860779E-2</v>
          </cell>
        </row>
        <row r="111">
          <cell r="B111" t="str">
            <v>Electric Zonal - HZ23</v>
          </cell>
          <cell r="C111">
            <v>1.204163330664532E-2</v>
          </cell>
          <cell r="D111">
            <v>0.71428571563820797</v>
          </cell>
          <cell r="E111">
            <v>0.71428571563820797</v>
          </cell>
          <cell r="F111">
            <v>3.6944930507961368E-2</v>
          </cell>
        </row>
        <row r="112">
          <cell r="B112" t="str">
            <v>Electric Zonal - Region</v>
          </cell>
          <cell r="C112">
            <v>4.1178226016708668E-2</v>
          </cell>
          <cell r="D112">
            <v>0.81033648311148054</v>
          </cell>
          <cell r="E112">
            <v>0.81033648311148054</v>
          </cell>
          <cell r="F112">
            <v>3.2508844225339915E-2</v>
          </cell>
        </row>
        <row r="113">
          <cell r="B113" t="str">
            <v>DHP - HZ1CZ1</v>
          </cell>
          <cell r="C113">
            <v>0</v>
          </cell>
          <cell r="D113">
            <v>2.3692380398754449E-2</v>
          </cell>
          <cell r="E113">
            <v>2.3692380398754449E-2</v>
          </cell>
          <cell r="F113">
            <v>1.2931050080460879E-2</v>
          </cell>
        </row>
        <row r="114">
          <cell r="B114" t="str">
            <v>DHP - HZ1CZ23</v>
          </cell>
          <cell r="C114">
            <v>0</v>
          </cell>
          <cell r="D114">
            <v>0</v>
          </cell>
          <cell r="E114">
            <v>0</v>
          </cell>
          <cell r="F114">
            <v>0</v>
          </cell>
        </row>
        <row r="115">
          <cell r="B115" t="str">
            <v>DHP - HZ23CZ1</v>
          </cell>
          <cell r="C115">
            <v>0</v>
          </cell>
          <cell r="D115">
            <v>0</v>
          </cell>
          <cell r="E115">
            <v>0</v>
          </cell>
          <cell r="F115">
            <v>2.3801185576297144E-2</v>
          </cell>
        </row>
        <row r="116">
          <cell r="B116" t="str">
            <v>DHP - HZ23CZ23</v>
          </cell>
          <cell r="C116">
            <v>0</v>
          </cell>
          <cell r="D116">
            <v>0</v>
          </cell>
          <cell r="E116">
            <v>0</v>
          </cell>
          <cell r="F116">
            <v>9.4794076514498494E-3</v>
          </cell>
        </row>
        <row r="117">
          <cell r="B117" t="str">
            <v>DHP - HZ1</v>
          </cell>
          <cell r="C117">
            <v>0</v>
          </cell>
          <cell r="D117">
            <v>1.8202414545664333E-2</v>
          </cell>
          <cell r="E117">
            <v>1.8202414545664333E-2</v>
          </cell>
          <cell r="F117">
            <v>6.761637103748332E-3</v>
          </cell>
        </row>
        <row r="118">
          <cell r="B118" t="str">
            <v>DHP - HZ23</v>
          </cell>
          <cell r="C118">
            <v>0</v>
          </cell>
          <cell r="D118">
            <v>0</v>
          </cell>
          <cell r="E118">
            <v>0</v>
          </cell>
          <cell r="F118">
            <v>1.4685339962430082E-2</v>
          </cell>
        </row>
        <row r="119">
          <cell r="B119" t="str">
            <v>DHP - Region</v>
          </cell>
          <cell r="C119">
            <v>0</v>
          </cell>
          <cell r="D119">
            <v>1.5661991860200661E-2</v>
          </cell>
          <cell r="E119">
            <v>1.5661991860200661E-2</v>
          </cell>
          <cell r="F119">
            <v>9.6871987634867523E-3</v>
          </cell>
        </row>
        <row r="120">
          <cell r="B120" t="str">
            <v>Central AC - CZ1</v>
          </cell>
          <cell r="C120">
            <v>0.99177648564154341</v>
          </cell>
          <cell r="D120">
            <v>1.2325175673207357E-2</v>
          </cell>
          <cell r="E120">
            <v>1.2325175673207357E-2</v>
          </cell>
          <cell r="F120">
            <v>0.14076353391268348</v>
          </cell>
        </row>
        <row r="121">
          <cell r="B121" t="str">
            <v>Central AC - CZ23</v>
          </cell>
          <cell r="C121">
            <v>0.97720135258324703</v>
          </cell>
          <cell r="D121">
            <v>6.8965519290222155E-2</v>
          </cell>
          <cell r="E121">
            <v>6.8965519290222155E-2</v>
          </cell>
          <cell r="F121">
            <v>0.17641272113455647</v>
          </cell>
        </row>
        <row r="122">
          <cell r="B122" t="str">
            <v>Room A/C - CZ1</v>
          </cell>
          <cell r="C122">
            <v>8.2235143584565747E-3</v>
          </cell>
          <cell r="D122">
            <v>5.3226756579866766E-2</v>
          </cell>
          <cell r="E122">
            <v>5.3226756579866766E-2</v>
          </cell>
          <cell r="F122">
            <v>0.21069287259219041</v>
          </cell>
        </row>
        <row r="123">
          <cell r="B123" t="str">
            <v>Room A/C - CZ23</v>
          </cell>
          <cell r="C123">
            <v>2.2798647416753057E-2</v>
          </cell>
          <cell r="D123">
            <v>0.10344827665008544</v>
          </cell>
          <cell r="E123">
            <v>0.10344827665008544</v>
          </cell>
          <cell r="F123">
            <v>0.16156829862253547</v>
          </cell>
        </row>
        <row r="124">
          <cell r="B124" t="str">
            <v>Electric WH</v>
          </cell>
          <cell r="C124">
            <v>0.55200000000000005</v>
          </cell>
          <cell r="D124">
            <v>0.94699999999999995</v>
          </cell>
          <cell r="E124">
            <v>0.94699999999999995</v>
          </cell>
          <cell r="F124">
            <v>0.88900000000000001</v>
          </cell>
        </row>
        <row r="125">
          <cell r="B125" t="str">
            <v xml:space="preserve">DHW &lt;55 </v>
          </cell>
          <cell r="C125">
            <v>0.58017916240221834</v>
          </cell>
          <cell r="D125"/>
          <cell r="E125"/>
          <cell r="F125"/>
        </row>
        <row r="126">
          <cell r="B126" t="str">
            <v>DHW &gt;55</v>
          </cell>
          <cell r="C126">
            <v>0.4198208375977816</v>
          </cell>
          <cell r="D126"/>
          <cell r="E126"/>
          <cell r="F126"/>
        </row>
        <row r="127">
          <cell r="B127" t="str">
            <v>Refrigerator</v>
          </cell>
          <cell r="C127">
            <v>1.2831400506742725</v>
          </cell>
          <cell r="D127">
            <v>1.0236201688615751</v>
          </cell>
          <cell r="E127">
            <v>1.0236201688615751</v>
          </cell>
          <cell r="F127">
            <v>1.1963734390534748</v>
          </cell>
        </row>
        <row r="128">
          <cell r="B128" t="str">
            <v>Freezer</v>
          </cell>
          <cell r="C128">
            <v>0.52766223341265472</v>
          </cell>
          <cell r="D128">
            <v>4.7085148422193572E-2</v>
          </cell>
          <cell r="E128">
            <v>4.7085148422193572E-2</v>
          </cell>
          <cell r="F128">
            <v>0.44147575101117187</v>
          </cell>
        </row>
        <row r="129">
          <cell r="B129" t="str">
            <v>Clothes Washer</v>
          </cell>
          <cell r="C129">
            <v>0.98546930096285335</v>
          </cell>
          <cell r="D129">
            <v>0.46477658924872384</v>
          </cell>
          <cell r="E129">
            <v>0.46477658924872384</v>
          </cell>
          <cell r="F129">
            <v>0.95368270905809616</v>
          </cell>
        </row>
        <row r="130">
          <cell r="B130" t="str">
            <v>Clothes Dryer</v>
          </cell>
          <cell r="C130">
            <v>0.93640551858187504</v>
          </cell>
          <cell r="D130">
            <v>0.46266057162974022</v>
          </cell>
          <cell r="E130">
            <v>0.46266057162974022</v>
          </cell>
          <cell r="F130">
            <v>0.88480083438048951</v>
          </cell>
        </row>
        <row r="131">
          <cell r="B131" t="str">
            <v>Dishwasher</v>
          </cell>
          <cell r="C131">
            <v>0.87764489634961651</v>
          </cell>
          <cell r="D131">
            <v>0.78113749066870952</v>
          </cell>
          <cell r="E131">
            <v>0.78113749066870952</v>
          </cell>
          <cell r="F131">
            <v>0.76196535734220561</v>
          </cell>
        </row>
        <row r="132">
          <cell r="B132" t="str">
            <v>Microwave</v>
          </cell>
          <cell r="C132">
            <v>0.95</v>
          </cell>
          <cell r="D132">
            <v>0.95</v>
          </cell>
          <cell r="E132">
            <v>0.95</v>
          </cell>
          <cell r="F132">
            <v>0.95</v>
          </cell>
        </row>
        <row r="133">
          <cell r="B133" t="str">
            <v>Electric Oven</v>
          </cell>
          <cell r="C133">
            <v>0.86895503473004965</v>
          </cell>
          <cell r="D133">
            <v>0.96585088459989477</v>
          </cell>
          <cell r="E133">
            <v>0.96585088459989477</v>
          </cell>
          <cell r="F133">
            <v>0.89920410170315002</v>
          </cell>
        </row>
        <row r="134">
          <cell r="B134" t="str">
            <v>TV</v>
          </cell>
          <cell r="C134">
            <v>2.6054137843968896</v>
          </cell>
          <cell r="D134">
            <v>1.5145007606068333</v>
          </cell>
          <cell r="E134">
            <v>1.5145007606068333</v>
          </cell>
          <cell r="F134">
            <v>2.0454162110233622</v>
          </cell>
        </row>
        <row r="135">
          <cell r="B135" t="str">
            <v>Set top box</v>
          </cell>
          <cell r="C135">
            <v>1.0654190989347723</v>
          </cell>
          <cell r="D135">
            <v>1.038434724492763</v>
          </cell>
          <cell r="E135">
            <v>1.038434724492763</v>
          </cell>
          <cell r="F135">
            <v>1.3170555258448295</v>
          </cell>
        </row>
        <row r="136">
          <cell r="B136" t="str">
            <v>Computer</v>
          </cell>
          <cell r="C136">
            <v>1.6074234662188889</v>
          </cell>
          <cell r="D136">
            <v>0.71239882016544165</v>
          </cell>
          <cell r="E136">
            <v>0.71239882016544165</v>
          </cell>
          <cell r="F136">
            <v>1.1331497454290105</v>
          </cell>
        </row>
        <row r="137">
          <cell r="B137" t="str">
            <v>Monitor</v>
          </cell>
          <cell r="C137">
            <v>1.0109839382712824</v>
          </cell>
          <cell r="D137">
            <v>0.45062457275939666</v>
          </cell>
          <cell r="E137">
            <v>0.45062457275939666</v>
          </cell>
          <cell r="F137">
            <v>0.72198913200149617</v>
          </cell>
        </row>
        <row r="138">
          <cell r="B138" t="str">
            <v>EISA nx</v>
          </cell>
          <cell r="C138">
            <v>0.73183262488926393</v>
          </cell>
          <cell r="D138">
            <v>0.41826483853544827</v>
          </cell>
          <cell r="E138">
            <v>0.41826483853544827</v>
          </cell>
          <cell r="F138">
            <v>0.81140182193357802</v>
          </cell>
        </row>
        <row r="139">
          <cell r="B139" t="str">
            <v>EISA x</v>
          </cell>
          <cell r="C139">
            <v>0.26816737511073607</v>
          </cell>
          <cell r="D139">
            <v>0.58148897029728519</v>
          </cell>
          <cell r="E139">
            <v>0.58148897029728519</v>
          </cell>
          <cell r="F139">
            <v>0.18859817806642193</v>
          </cell>
        </row>
        <row r="140">
          <cell r="B140" t="str">
            <v>WallSqft</v>
          </cell>
          <cell r="C140">
            <v>583.40896061568401</v>
          </cell>
          <cell r="D140"/>
          <cell r="E140"/>
          <cell r="F140"/>
        </row>
        <row r="141">
          <cell r="B141" t="str">
            <v>AtticSqft</v>
          </cell>
          <cell r="C141">
            <v>1177.7370772549227</v>
          </cell>
          <cell r="D141"/>
          <cell r="E141"/>
          <cell r="F141"/>
        </row>
        <row r="142">
          <cell r="B142" t="str">
            <v>FloorSqft</v>
          </cell>
          <cell r="C142">
            <v>1177.7370772549227</v>
          </cell>
          <cell r="D142"/>
          <cell r="E142"/>
          <cell r="F142"/>
        </row>
        <row r="143">
          <cell r="B143" t="str">
            <v>WindowSqft</v>
          </cell>
          <cell r="C143">
            <v>147.21713465686534</v>
          </cell>
          <cell r="D143"/>
          <cell r="E143"/>
          <cell r="F143"/>
        </row>
        <row r="144">
          <cell r="B144" t="str">
            <v>HomeSqft</v>
          </cell>
          <cell r="C144">
            <v>2355.4741545098454</v>
          </cell>
          <cell r="D144"/>
          <cell r="E144"/>
          <cell r="F144"/>
        </row>
        <row r="145">
          <cell r="B145" t="str">
            <v>Lighting</v>
          </cell>
          <cell r="C145">
            <v>77</v>
          </cell>
          <cell r="D145">
            <v>23</v>
          </cell>
          <cell r="E145">
            <v>23</v>
          </cell>
          <cell r="F145">
            <v>34.5</v>
          </cell>
        </row>
        <row r="146">
          <cell r="B146"/>
          <cell r="C146"/>
          <cell r="D146"/>
          <cell r="E146"/>
          <cell r="F146"/>
        </row>
        <row r="147">
          <cell r="B147"/>
          <cell r="C147"/>
          <cell r="D147"/>
          <cell r="E147"/>
          <cell r="F147"/>
        </row>
        <row r="148">
          <cell r="B148"/>
          <cell r="C148"/>
          <cell r="D148"/>
          <cell r="E148"/>
          <cell r="F148"/>
        </row>
        <row r="149">
          <cell r="B149"/>
          <cell r="C149"/>
          <cell r="D149"/>
          <cell r="E149"/>
          <cell r="F149"/>
        </row>
        <row r="150">
          <cell r="B150"/>
          <cell r="C150"/>
          <cell r="D150"/>
          <cell r="E150"/>
          <cell r="F150"/>
        </row>
      </sheetData>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http://www1.eere.energy.gov/buildings/appliance_standards/pdfs/dw_dfr_tsd_ch8_rev.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www1.eere.energy.gov/buildings/appliance_standards/residential/pdfs/dw_dfr_tsd_ch5.pdf" TargetMode="External"/><Relationship Id="rId3" Type="http://schemas.openxmlformats.org/officeDocument/2006/relationships/hyperlink" Target="http://www.nwcouncil.org/energy/rtf/measures/support/Local%20Settings/Local%20Settings/Local%20Settings/AppData/My%20Documents/Downloads/ResSFWx_SEEMRuns_rev2_xl2003.xls" TargetMode="External"/><Relationship Id="rId7" Type="http://schemas.openxmlformats.org/officeDocument/2006/relationships/hyperlink" Target="http://www1.eere.energy.gov/buildings/appliance_standards/residential/pdfs/dw_dfr_tsd_ch5.pdf" TargetMode="External"/><Relationship Id="rId2" Type="http://schemas.openxmlformats.org/officeDocument/2006/relationships/hyperlink" Target="http://www.nwcouncil.org/energy/rtf/measures/support/Local%20Settings/Local%20Settings/Local%20Settings/AppData/My%20Documents/Downloads/ResSFWx_SEEMRuns_rev2_xl2003.xls" TargetMode="External"/><Relationship Id="rId1" Type="http://schemas.openxmlformats.org/officeDocument/2006/relationships/hyperlink" Target="http://www.nwcouncil.org/energy/rtf/measures/support/Local%20Settings/Local%20Settings/Local%20Settings/AppData/My%20Documents/Downloads/ResSFWx_SEEMRuns_rev2_xl2003.xls" TargetMode="External"/><Relationship Id="rId6" Type="http://schemas.openxmlformats.org/officeDocument/2006/relationships/hyperlink" Target="http://www1.eere.energy.gov/buildings/appliance_standards/residential/pdfs/dw_dfr_tsd_ch5.pdf" TargetMode="External"/><Relationship Id="rId5" Type="http://schemas.openxmlformats.org/officeDocument/2006/relationships/hyperlink" Target="http://www.nwcouncil.org/energy/rtf/measures/support/Local%20Settings/Local%20Settings/Local%20Settings/AppData/My%20Documents/Downloads/ResSFWx_SEEMRuns_rev2_xl2003.xls" TargetMode="External"/><Relationship Id="rId4" Type="http://schemas.openxmlformats.org/officeDocument/2006/relationships/hyperlink" Target="http://www.nwcouncil.org/energy/rtf/measures/support/Local%20Settings/Local%20Settings/Local%20Settings/AppData/My%20Documents/Downloads/ResSFWx_SEEMRuns_rev2_xl2003.xls" TargetMode="External"/><Relationship Id="rId9"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8.xml.rels><?xml version="1.0" encoding="UTF-8" standalone="yes"?>
<Relationships xmlns="http://schemas.openxmlformats.org/package/2006/relationships"><Relationship Id="rId3" Type="http://schemas.openxmlformats.org/officeDocument/2006/relationships/hyperlink" Target="http://www.cee1.org/resid/seha/dishw/dw-spec.pdf" TargetMode="External"/><Relationship Id="rId7" Type="http://schemas.openxmlformats.org/officeDocument/2006/relationships/comments" Target="../comments6.xml"/><Relationship Id="rId2" Type="http://schemas.openxmlformats.org/officeDocument/2006/relationships/hyperlink" Target="http://www.cee1.org/resid/seha/dishw/dw-spec.pdf" TargetMode="External"/><Relationship Id="rId1" Type="http://schemas.openxmlformats.org/officeDocument/2006/relationships/hyperlink" Target="http://www.cee1.org/resid/seha/dishw/dw-spec.pdf" TargetMode="External"/><Relationship Id="rId6" Type="http://schemas.openxmlformats.org/officeDocument/2006/relationships/vmlDrawing" Target="../drawings/vmlDrawing6.vml"/><Relationship Id="rId5" Type="http://schemas.openxmlformats.org/officeDocument/2006/relationships/drawing" Target="../drawings/drawing4.xml"/><Relationship Id="rId4"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3" Type="http://schemas.openxmlformats.org/officeDocument/2006/relationships/hyperlink" Target="http://www.cee1.org/resid/seha/dishw/dw-spec.pdf" TargetMode="External"/><Relationship Id="rId7" Type="http://schemas.openxmlformats.org/officeDocument/2006/relationships/comments" Target="../comments7.xml"/><Relationship Id="rId2" Type="http://schemas.openxmlformats.org/officeDocument/2006/relationships/hyperlink" Target="http://www.cee1.org/resid/seha/dishw/dw-spec.pdf" TargetMode="External"/><Relationship Id="rId1" Type="http://schemas.openxmlformats.org/officeDocument/2006/relationships/hyperlink" Target="http://www.cee1.org/resid/seha/dishw/dw-spec.pdf" TargetMode="External"/><Relationship Id="rId6" Type="http://schemas.openxmlformats.org/officeDocument/2006/relationships/vmlDrawing" Target="../drawings/vmlDrawing7.vm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_rels/sheet20.xml.rels><?xml version="1.0" encoding="UTF-8" standalone="yes"?>
<Relationships xmlns="http://schemas.openxmlformats.org/package/2006/relationships"><Relationship Id="rId3" Type="http://schemas.openxmlformats.org/officeDocument/2006/relationships/hyperlink" Target="http://www.cee1.org/resid/seha/dishw/dw-spec.pdf" TargetMode="External"/><Relationship Id="rId7" Type="http://schemas.openxmlformats.org/officeDocument/2006/relationships/comments" Target="../comments8.xml"/><Relationship Id="rId2" Type="http://schemas.openxmlformats.org/officeDocument/2006/relationships/hyperlink" Target="http://www.cee1.org/resid/seha/dishw/dw-spec.pdf" TargetMode="External"/><Relationship Id="rId1" Type="http://schemas.openxmlformats.org/officeDocument/2006/relationships/hyperlink" Target="http://www.cee1.org/resid/seha/dishw/dw-spec.pdf" TargetMode="External"/><Relationship Id="rId6" Type="http://schemas.openxmlformats.org/officeDocument/2006/relationships/vmlDrawing" Target="../drawings/vmlDrawing8.vml"/><Relationship Id="rId5" Type="http://schemas.openxmlformats.org/officeDocument/2006/relationships/drawing" Target="../drawings/drawing6.xml"/><Relationship Id="rId4"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dimension ref="C1:F13"/>
  <sheetViews>
    <sheetView workbookViewId="0">
      <selection activeCell="D14" sqref="D14"/>
    </sheetView>
  </sheetViews>
  <sheetFormatPr defaultRowHeight="12.75"/>
  <cols>
    <col min="1" max="1" width="9.140625" style="566"/>
    <col min="2" max="2" width="26.7109375" style="566" customWidth="1"/>
    <col min="3" max="3" width="37.85546875" style="566" customWidth="1"/>
    <col min="4" max="4" width="39.140625" style="566" customWidth="1"/>
    <col min="5" max="5" width="31" style="566" customWidth="1"/>
    <col min="6" max="6" width="20.7109375" style="566" customWidth="1"/>
    <col min="7" max="257" width="9.140625" style="566"/>
    <col min="258" max="258" width="26.7109375" style="566" customWidth="1"/>
    <col min="259" max="259" width="73.7109375" style="566" customWidth="1"/>
    <col min="260" max="260" width="58.42578125" style="566" customWidth="1"/>
    <col min="261" max="261" width="28.85546875" style="566" customWidth="1"/>
    <col min="262" max="513" width="9.140625" style="566"/>
    <col min="514" max="514" width="26.7109375" style="566" customWidth="1"/>
    <col min="515" max="515" width="73.7109375" style="566" customWidth="1"/>
    <col min="516" max="516" width="58.42578125" style="566" customWidth="1"/>
    <col min="517" max="517" width="28.85546875" style="566" customWidth="1"/>
    <col min="518" max="769" width="9.140625" style="566"/>
    <col min="770" max="770" width="26.7109375" style="566" customWidth="1"/>
    <col min="771" max="771" width="73.7109375" style="566" customWidth="1"/>
    <col min="772" max="772" width="58.42578125" style="566" customWidth="1"/>
    <col min="773" max="773" width="28.85546875" style="566" customWidth="1"/>
    <col min="774" max="1025" width="9.140625" style="566"/>
    <col min="1026" max="1026" width="26.7109375" style="566" customWidth="1"/>
    <col min="1027" max="1027" width="73.7109375" style="566" customWidth="1"/>
    <col min="1028" max="1028" width="58.42578125" style="566" customWidth="1"/>
    <col min="1029" max="1029" width="28.85546875" style="566" customWidth="1"/>
    <col min="1030" max="1281" width="9.140625" style="566"/>
    <col min="1282" max="1282" width="26.7109375" style="566" customWidth="1"/>
    <col min="1283" max="1283" width="73.7109375" style="566" customWidth="1"/>
    <col min="1284" max="1284" width="58.42578125" style="566" customWidth="1"/>
    <col min="1285" max="1285" width="28.85546875" style="566" customWidth="1"/>
    <col min="1286" max="1537" width="9.140625" style="566"/>
    <col min="1538" max="1538" width="26.7109375" style="566" customWidth="1"/>
    <col min="1539" max="1539" width="73.7109375" style="566" customWidth="1"/>
    <col min="1540" max="1540" width="58.42578125" style="566" customWidth="1"/>
    <col min="1541" max="1541" width="28.85546875" style="566" customWidth="1"/>
    <col min="1542" max="1793" width="9.140625" style="566"/>
    <col min="1794" max="1794" width="26.7109375" style="566" customWidth="1"/>
    <col min="1795" max="1795" width="73.7109375" style="566" customWidth="1"/>
    <col min="1796" max="1796" width="58.42578125" style="566" customWidth="1"/>
    <col min="1797" max="1797" width="28.85546875" style="566" customWidth="1"/>
    <col min="1798" max="2049" width="9.140625" style="566"/>
    <col min="2050" max="2050" width="26.7109375" style="566" customWidth="1"/>
    <col min="2051" max="2051" width="73.7109375" style="566" customWidth="1"/>
    <col min="2052" max="2052" width="58.42578125" style="566" customWidth="1"/>
    <col min="2053" max="2053" width="28.85546875" style="566" customWidth="1"/>
    <col min="2054" max="2305" width="9.140625" style="566"/>
    <col min="2306" max="2306" width="26.7109375" style="566" customWidth="1"/>
    <col min="2307" max="2307" width="73.7109375" style="566" customWidth="1"/>
    <col min="2308" max="2308" width="58.42578125" style="566" customWidth="1"/>
    <col min="2309" max="2309" width="28.85546875" style="566" customWidth="1"/>
    <col min="2310" max="2561" width="9.140625" style="566"/>
    <col min="2562" max="2562" width="26.7109375" style="566" customWidth="1"/>
    <col min="2563" max="2563" width="73.7109375" style="566" customWidth="1"/>
    <col min="2564" max="2564" width="58.42578125" style="566" customWidth="1"/>
    <col min="2565" max="2565" width="28.85546875" style="566" customWidth="1"/>
    <col min="2566" max="2817" width="9.140625" style="566"/>
    <col min="2818" max="2818" width="26.7109375" style="566" customWidth="1"/>
    <col min="2819" max="2819" width="73.7109375" style="566" customWidth="1"/>
    <col min="2820" max="2820" width="58.42578125" style="566" customWidth="1"/>
    <col min="2821" max="2821" width="28.85546875" style="566" customWidth="1"/>
    <col min="2822" max="3073" width="9.140625" style="566"/>
    <col min="3074" max="3074" width="26.7109375" style="566" customWidth="1"/>
    <col min="3075" max="3075" width="73.7109375" style="566" customWidth="1"/>
    <col min="3076" max="3076" width="58.42578125" style="566" customWidth="1"/>
    <col min="3077" max="3077" width="28.85546875" style="566" customWidth="1"/>
    <col min="3078" max="3329" width="9.140625" style="566"/>
    <col min="3330" max="3330" width="26.7109375" style="566" customWidth="1"/>
    <col min="3331" max="3331" width="73.7109375" style="566" customWidth="1"/>
    <col min="3332" max="3332" width="58.42578125" style="566" customWidth="1"/>
    <col min="3333" max="3333" width="28.85546875" style="566" customWidth="1"/>
    <col min="3334" max="3585" width="9.140625" style="566"/>
    <col min="3586" max="3586" width="26.7109375" style="566" customWidth="1"/>
    <col min="3587" max="3587" width="73.7109375" style="566" customWidth="1"/>
    <col min="3588" max="3588" width="58.42578125" style="566" customWidth="1"/>
    <col min="3589" max="3589" width="28.85546875" style="566" customWidth="1"/>
    <col min="3590" max="3841" width="9.140625" style="566"/>
    <col min="3842" max="3842" width="26.7109375" style="566" customWidth="1"/>
    <col min="3843" max="3843" width="73.7109375" style="566" customWidth="1"/>
    <col min="3844" max="3844" width="58.42578125" style="566" customWidth="1"/>
    <col min="3845" max="3845" width="28.85546875" style="566" customWidth="1"/>
    <col min="3846" max="4097" width="9.140625" style="566"/>
    <col min="4098" max="4098" width="26.7109375" style="566" customWidth="1"/>
    <col min="4099" max="4099" width="73.7109375" style="566" customWidth="1"/>
    <col min="4100" max="4100" width="58.42578125" style="566" customWidth="1"/>
    <col min="4101" max="4101" width="28.85546875" style="566" customWidth="1"/>
    <col min="4102" max="4353" width="9.140625" style="566"/>
    <col min="4354" max="4354" width="26.7109375" style="566" customWidth="1"/>
    <col min="4355" max="4355" width="73.7109375" style="566" customWidth="1"/>
    <col min="4356" max="4356" width="58.42578125" style="566" customWidth="1"/>
    <col min="4357" max="4357" width="28.85546875" style="566" customWidth="1"/>
    <col min="4358" max="4609" width="9.140625" style="566"/>
    <col min="4610" max="4610" width="26.7109375" style="566" customWidth="1"/>
    <col min="4611" max="4611" width="73.7109375" style="566" customWidth="1"/>
    <col min="4612" max="4612" width="58.42578125" style="566" customWidth="1"/>
    <col min="4613" max="4613" width="28.85546875" style="566" customWidth="1"/>
    <col min="4614" max="4865" width="9.140625" style="566"/>
    <col min="4866" max="4866" width="26.7109375" style="566" customWidth="1"/>
    <col min="4867" max="4867" width="73.7109375" style="566" customWidth="1"/>
    <col min="4868" max="4868" width="58.42578125" style="566" customWidth="1"/>
    <col min="4869" max="4869" width="28.85546875" style="566" customWidth="1"/>
    <col min="4870" max="5121" width="9.140625" style="566"/>
    <col min="5122" max="5122" width="26.7109375" style="566" customWidth="1"/>
    <col min="5123" max="5123" width="73.7109375" style="566" customWidth="1"/>
    <col min="5124" max="5124" width="58.42578125" style="566" customWidth="1"/>
    <col min="5125" max="5125" width="28.85546875" style="566" customWidth="1"/>
    <col min="5126" max="5377" width="9.140625" style="566"/>
    <col min="5378" max="5378" width="26.7109375" style="566" customWidth="1"/>
    <col min="5379" max="5379" width="73.7109375" style="566" customWidth="1"/>
    <col min="5380" max="5380" width="58.42578125" style="566" customWidth="1"/>
    <col min="5381" max="5381" width="28.85546875" style="566" customWidth="1"/>
    <col min="5382" max="5633" width="9.140625" style="566"/>
    <col min="5634" max="5634" width="26.7109375" style="566" customWidth="1"/>
    <col min="5635" max="5635" width="73.7109375" style="566" customWidth="1"/>
    <col min="5636" max="5636" width="58.42578125" style="566" customWidth="1"/>
    <col min="5637" max="5637" width="28.85546875" style="566" customWidth="1"/>
    <col min="5638" max="5889" width="9.140625" style="566"/>
    <col min="5890" max="5890" width="26.7109375" style="566" customWidth="1"/>
    <col min="5891" max="5891" width="73.7109375" style="566" customWidth="1"/>
    <col min="5892" max="5892" width="58.42578125" style="566" customWidth="1"/>
    <col min="5893" max="5893" width="28.85546875" style="566" customWidth="1"/>
    <col min="5894" max="6145" width="9.140625" style="566"/>
    <col min="6146" max="6146" width="26.7109375" style="566" customWidth="1"/>
    <col min="6147" max="6147" width="73.7109375" style="566" customWidth="1"/>
    <col min="6148" max="6148" width="58.42578125" style="566" customWidth="1"/>
    <col min="6149" max="6149" width="28.85546875" style="566" customWidth="1"/>
    <col min="6150" max="6401" width="9.140625" style="566"/>
    <col min="6402" max="6402" width="26.7109375" style="566" customWidth="1"/>
    <col min="6403" max="6403" width="73.7109375" style="566" customWidth="1"/>
    <col min="6404" max="6404" width="58.42578125" style="566" customWidth="1"/>
    <col min="6405" max="6405" width="28.85546875" style="566" customWidth="1"/>
    <col min="6406" max="6657" width="9.140625" style="566"/>
    <col min="6658" max="6658" width="26.7109375" style="566" customWidth="1"/>
    <col min="6659" max="6659" width="73.7109375" style="566" customWidth="1"/>
    <col min="6660" max="6660" width="58.42578125" style="566" customWidth="1"/>
    <col min="6661" max="6661" width="28.85546875" style="566" customWidth="1"/>
    <col min="6662" max="6913" width="9.140625" style="566"/>
    <col min="6914" max="6914" width="26.7109375" style="566" customWidth="1"/>
    <col min="6915" max="6915" width="73.7109375" style="566" customWidth="1"/>
    <col min="6916" max="6916" width="58.42578125" style="566" customWidth="1"/>
    <col min="6917" max="6917" width="28.85546875" style="566" customWidth="1"/>
    <col min="6918" max="7169" width="9.140625" style="566"/>
    <col min="7170" max="7170" width="26.7109375" style="566" customWidth="1"/>
    <col min="7171" max="7171" width="73.7109375" style="566" customWidth="1"/>
    <col min="7172" max="7172" width="58.42578125" style="566" customWidth="1"/>
    <col min="7173" max="7173" width="28.85546875" style="566" customWidth="1"/>
    <col min="7174" max="7425" width="9.140625" style="566"/>
    <col min="7426" max="7426" width="26.7109375" style="566" customWidth="1"/>
    <col min="7427" max="7427" width="73.7109375" style="566" customWidth="1"/>
    <col min="7428" max="7428" width="58.42578125" style="566" customWidth="1"/>
    <col min="7429" max="7429" width="28.85546875" style="566" customWidth="1"/>
    <col min="7430" max="7681" width="9.140625" style="566"/>
    <col min="7682" max="7682" width="26.7109375" style="566" customWidth="1"/>
    <col min="7683" max="7683" width="73.7109375" style="566" customWidth="1"/>
    <col min="7684" max="7684" width="58.42578125" style="566" customWidth="1"/>
    <col min="7685" max="7685" width="28.85546875" style="566" customWidth="1"/>
    <col min="7686" max="7937" width="9.140625" style="566"/>
    <col min="7938" max="7938" width="26.7109375" style="566" customWidth="1"/>
    <col min="7939" max="7939" width="73.7109375" style="566" customWidth="1"/>
    <col min="7940" max="7940" width="58.42578125" style="566" customWidth="1"/>
    <col min="7941" max="7941" width="28.85546875" style="566" customWidth="1"/>
    <col min="7942" max="8193" width="9.140625" style="566"/>
    <col min="8194" max="8194" width="26.7109375" style="566" customWidth="1"/>
    <col min="8195" max="8195" width="73.7109375" style="566" customWidth="1"/>
    <col min="8196" max="8196" width="58.42578125" style="566" customWidth="1"/>
    <col min="8197" max="8197" width="28.85546875" style="566" customWidth="1"/>
    <col min="8198" max="8449" width="9.140625" style="566"/>
    <col min="8450" max="8450" width="26.7109375" style="566" customWidth="1"/>
    <col min="8451" max="8451" width="73.7109375" style="566" customWidth="1"/>
    <col min="8452" max="8452" width="58.42578125" style="566" customWidth="1"/>
    <col min="8453" max="8453" width="28.85546875" style="566" customWidth="1"/>
    <col min="8454" max="8705" width="9.140625" style="566"/>
    <col min="8706" max="8706" width="26.7109375" style="566" customWidth="1"/>
    <col min="8707" max="8707" width="73.7109375" style="566" customWidth="1"/>
    <col min="8708" max="8708" width="58.42578125" style="566" customWidth="1"/>
    <col min="8709" max="8709" width="28.85546875" style="566" customWidth="1"/>
    <col min="8710" max="8961" width="9.140625" style="566"/>
    <col min="8962" max="8962" width="26.7109375" style="566" customWidth="1"/>
    <col min="8963" max="8963" width="73.7109375" style="566" customWidth="1"/>
    <col min="8964" max="8964" width="58.42578125" style="566" customWidth="1"/>
    <col min="8965" max="8965" width="28.85546875" style="566" customWidth="1"/>
    <col min="8966" max="9217" width="9.140625" style="566"/>
    <col min="9218" max="9218" width="26.7109375" style="566" customWidth="1"/>
    <col min="9219" max="9219" width="73.7109375" style="566" customWidth="1"/>
    <col min="9220" max="9220" width="58.42578125" style="566" customWidth="1"/>
    <col min="9221" max="9221" width="28.85546875" style="566" customWidth="1"/>
    <col min="9222" max="9473" width="9.140625" style="566"/>
    <col min="9474" max="9474" width="26.7109375" style="566" customWidth="1"/>
    <col min="9475" max="9475" width="73.7109375" style="566" customWidth="1"/>
    <col min="9476" max="9476" width="58.42578125" style="566" customWidth="1"/>
    <col min="9477" max="9477" width="28.85546875" style="566" customWidth="1"/>
    <col min="9478" max="9729" width="9.140625" style="566"/>
    <col min="9730" max="9730" width="26.7109375" style="566" customWidth="1"/>
    <col min="9731" max="9731" width="73.7109375" style="566" customWidth="1"/>
    <col min="9732" max="9732" width="58.42578125" style="566" customWidth="1"/>
    <col min="9733" max="9733" width="28.85546875" style="566" customWidth="1"/>
    <col min="9734" max="9985" width="9.140625" style="566"/>
    <col min="9986" max="9986" width="26.7109375" style="566" customWidth="1"/>
    <col min="9987" max="9987" width="73.7109375" style="566" customWidth="1"/>
    <col min="9988" max="9988" width="58.42578125" style="566" customWidth="1"/>
    <col min="9989" max="9989" width="28.85546875" style="566" customWidth="1"/>
    <col min="9990" max="10241" width="9.140625" style="566"/>
    <col min="10242" max="10242" width="26.7109375" style="566" customWidth="1"/>
    <col min="10243" max="10243" width="73.7109375" style="566" customWidth="1"/>
    <col min="10244" max="10244" width="58.42578125" style="566" customWidth="1"/>
    <col min="10245" max="10245" width="28.85546875" style="566" customWidth="1"/>
    <col min="10246" max="10497" width="9.140625" style="566"/>
    <col min="10498" max="10498" width="26.7109375" style="566" customWidth="1"/>
    <col min="10499" max="10499" width="73.7109375" style="566" customWidth="1"/>
    <col min="10500" max="10500" width="58.42578125" style="566" customWidth="1"/>
    <col min="10501" max="10501" width="28.85546875" style="566" customWidth="1"/>
    <col min="10502" max="10753" width="9.140625" style="566"/>
    <col min="10754" max="10754" width="26.7109375" style="566" customWidth="1"/>
    <col min="10755" max="10755" width="73.7109375" style="566" customWidth="1"/>
    <col min="10756" max="10756" width="58.42578125" style="566" customWidth="1"/>
    <col min="10757" max="10757" width="28.85546875" style="566" customWidth="1"/>
    <col min="10758" max="11009" width="9.140625" style="566"/>
    <col min="11010" max="11010" width="26.7109375" style="566" customWidth="1"/>
    <col min="11011" max="11011" width="73.7109375" style="566" customWidth="1"/>
    <col min="11012" max="11012" width="58.42578125" style="566" customWidth="1"/>
    <col min="11013" max="11013" width="28.85546875" style="566" customWidth="1"/>
    <col min="11014" max="11265" width="9.140625" style="566"/>
    <col min="11266" max="11266" width="26.7109375" style="566" customWidth="1"/>
    <col min="11267" max="11267" width="73.7109375" style="566" customWidth="1"/>
    <col min="11268" max="11268" width="58.42578125" style="566" customWidth="1"/>
    <col min="11269" max="11269" width="28.85546875" style="566" customWidth="1"/>
    <col min="11270" max="11521" width="9.140625" style="566"/>
    <col min="11522" max="11522" width="26.7109375" style="566" customWidth="1"/>
    <col min="11523" max="11523" width="73.7109375" style="566" customWidth="1"/>
    <col min="11524" max="11524" width="58.42578125" style="566" customWidth="1"/>
    <col min="11525" max="11525" width="28.85546875" style="566" customWidth="1"/>
    <col min="11526" max="11777" width="9.140625" style="566"/>
    <col min="11778" max="11778" width="26.7109375" style="566" customWidth="1"/>
    <col min="11779" max="11779" width="73.7109375" style="566" customWidth="1"/>
    <col min="11780" max="11780" width="58.42578125" style="566" customWidth="1"/>
    <col min="11781" max="11781" width="28.85546875" style="566" customWidth="1"/>
    <col min="11782" max="12033" width="9.140625" style="566"/>
    <col min="12034" max="12034" width="26.7109375" style="566" customWidth="1"/>
    <col min="12035" max="12035" width="73.7109375" style="566" customWidth="1"/>
    <col min="12036" max="12036" width="58.42578125" style="566" customWidth="1"/>
    <col min="12037" max="12037" width="28.85546875" style="566" customWidth="1"/>
    <col min="12038" max="12289" width="9.140625" style="566"/>
    <col min="12290" max="12290" width="26.7109375" style="566" customWidth="1"/>
    <col min="12291" max="12291" width="73.7109375" style="566" customWidth="1"/>
    <col min="12292" max="12292" width="58.42578125" style="566" customWidth="1"/>
    <col min="12293" max="12293" width="28.85546875" style="566" customWidth="1"/>
    <col min="12294" max="12545" width="9.140625" style="566"/>
    <col min="12546" max="12546" width="26.7109375" style="566" customWidth="1"/>
    <col min="12547" max="12547" width="73.7109375" style="566" customWidth="1"/>
    <col min="12548" max="12548" width="58.42578125" style="566" customWidth="1"/>
    <col min="12549" max="12549" width="28.85546875" style="566" customWidth="1"/>
    <col min="12550" max="12801" width="9.140625" style="566"/>
    <col min="12802" max="12802" width="26.7109375" style="566" customWidth="1"/>
    <col min="12803" max="12803" width="73.7109375" style="566" customWidth="1"/>
    <col min="12804" max="12804" width="58.42578125" style="566" customWidth="1"/>
    <col min="12805" max="12805" width="28.85546875" style="566" customWidth="1"/>
    <col min="12806" max="13057" width="9.140625" style="566"/>
    <col min="13058" max="13058" width="26.7109375" style="566" customWidth="1"/>
    <col min="13059" max="13059" width="73.7109375" style="566" customWidth="1"/>
    <col min="13060" max="13060" width="58.42578125" style="566" customWidth="1"/>
    <col min="13061" max="13061" width="28.85546875" style="566" customWidth="1"/>
    <col min="13062" max="13313" width="9.140625" style="566"/>
    <col min="13314" max="13314" width="26.7109375" style="566" customWidth="1"/>
    <col min="13315" max="13315" width="73.7109375" style="566" customWidth="1"/>
    <col min="13316" max="13316" width="58.42578125" style="566" customWidth="1"/>
    <col min="13317" max="13317" width="28.85546875" style="566" customWidth="1"/>
    <col min="13318" max="13569" width="9.140625" style="566"/>
    <col min="13570" max="13570" width="26.7109375" style="566" customWidth="1"/>
    <col min="13571" max="13571" width="73.7109375" style="566" customWidth="1"/>
    <col min="13572" max="13572" width="58.42578125" style="566" customWidth="1"/>
    <col min="13573" max="13573" width="28.85546875" style="566" customWidth="1"/>
    <col min="13574" max="13825" width="9.140625" style="566"/>
    <col min="13826" max="13826" width="26.7109375" style="566" customWidth="1"/>
    <col min="13827" max="13827" width="73.7109375" style="566" customWidth="1"/>
    <col min="13828" max="13828" width="58.42578125" style="566" customWidth="1"/>
    <col min="13829" max="13829" width="28.85546875" style="566" customWidth="1"/>
    <col min="13830" max="14081" width="9.140625" style="566"/>
    <col min="14082" max="14082" width="26.7109375" style="566" customWidth="1"/>
    <col min="14083" max="14083" width="73.7109375" style="566" customWidth="1"/>
    <col min="14084" max="14084" width="58.42578125" style="566" customWidth="1"/>
    <col min="14085" max="14085" width="28.85546875" style="566" customWidth="1"/>
    <col min="14086" max="14337" width="9.140625" style="566"/>
    <col min="14338" max="14338" width="26.7109375" style="566" customWidth="1"/>
    <col min="14339" max="14339" width="73.7109375" style="566" customWidth="1"/>
    <col min="14340" max="14340" width="58.42578125" style="566" customWidth="1"/>
    <col min="14341" max="14341" width="28.85546875" style="566" customWidth="1"/>
    <col min="14342" max="14593" width="9.140625" style="566"/>
    <col min="14594" max="14594" width="26.7109375" style="566" customWidth="1"/>
    <col min="14595" max="14595" width="73.7109375" style="566" customWidth="1"/>
    <col min="14596" max="14596" width="58.42578125" style="566" customWidth="1"/>
    <col min="14597" max="14597" width="28.85546875" style="566" customWidth="1"/>
    <col min="14598" max="14849" width="9.140625" style="566"/>
    <col min="14850" max="14850" width="26.7109375" style="566" customWidth="1"/>
    <col min="14851" max="14851" width="73.7109375" style="566" customWidth="1"/>
    <col min="14852" max="14852" width="58.42578125" style="566" customWidth="1"/>
    <col min="14853" max="14853" width="28.85546875" style="566" customWidth="1"/>
    <col min="14854" max="15105" width="9.140625" style="566"/>
    <col min="15106" max="15106" width="26.7109375" style="566" customWidth="1"/>
    <col min="15107" max="15107" width="73.7109375" style="566" customWidth="1"/>
    <col min="15108" max="15108" width="58.42578125" style="566" customWidth="1"/>
    <col min="15109" max="15109" width="28.85546875" style="566" customWidth="1"/>
    <col min="15110" max="15361" width="9.140625" style="566"/>
    <col min="15362" max="15362" width="26.7109375" style="566" customWidth="1"/>
    <col min="15363" max="15363" width="73.7109375" style="566" customWidth="1"/>
    <col min="15364" max="15364" width="58.42578125" style="566" customWidth="1"/>
    <col min="15365" max="15365" width="28.85546875" style="566" customWidth="1"/>
    <col min="15366" max="15617" width="9.140625" style="566"/>
    <col min="15618" max="15618" width="26.7109375" style="566" customWidth="1"/>
    <col min="15619" max="15619" width="73.7109375" style="566" customWidth="1"/>
    <col min="15620" max="15620" width="58.42578125" style="566" customWidth="1"/>
    <col min="15621" max="15621" width="28.85546875" style="566" customWidth="1"/>
    <col min="15622" max="15873" width="9.140625" style="566"/>
    <col min="15874" max="15874" width="26.7109375" style="566" customWidth="1"/>
    <col min="15875" max="15875" width="73.7109375" style="566" customWidth="1"/>
    <col min="15876" max="15876" width="58.42578125" style="566" customWidth="1"/>
    <col min="15877" max="15877" width="28.85546875" style="566" customWidth="1"/>
    <col min="15878" max="16129" width="9.140625" style="566"/>
    <col min="16130" max="16130" width="26.7109375" style="566" customWidth="1"/>
    <col min="16131" max="16131" width="73.7109375" style="566" customWidth="1"/>
    <col min="16132" max="16132" width="58.42578125" style="566" customWidth="1"/>
    <col min="16133" max="16133" width="28.85546875" style="566" customWidth="1"/>
    <col min="16134" max="16384" width="9.140625" style="566"/>
  </cols>
  <sheetData>
    <row r="1" spans="3:6" ht="13.5" thickBot="1"/>
    <row r="2" spans="3:6" s="570" customFormat="1" ht="19.5" thickBot="1">
      <c r="C2" s="567" t="s">
        <v>1078</v>
      </c>
      <c r="D2" s="568" t="s">
        <v>1108</v>
      </c>
      <c r="E2" s="568"/>
      <c r="F2" s="569"/>
    </row>
    <row r="3" spans="3:6" s="570" customFormat="1" ht="15">
      <c r="C3" s="571" t="s">
        <v>1079</v>
      </c>
      <c r="D3" s="571" t="s">
        <v>1080</v>
      </c>
      <c r="E3" s="571" t="s">
        <v>1081</v>
      </c>
      <c r="F3" s="571" t="s">
        <v>1082</v>
      </c>
    </row>
    <row r="4" spans="3:6">
      <c r="C4" s="572" t="s">
        <v>1083</v>
      </c>
      <c r="D4" s="573" t="s">
        <v>1102</v>
      </c>
      <c r="E4" s="573" t="s">
        <v>1297</v>
      </c>
      <c r="F4" s="573"/>
    </row>
    <row r="5" spans="3:6">
      <c r="C5" s="572" t="s">
        <v>1084</v>
      </c>
      <c r="D5" s="574" t="s">
        <v>1298</v>
      </c>
      <c r="E5" s="575"/>
      <c r="F5" s="575" t="s">
        <v>1107</v>
      </c>
    </row>
    <row r="6" spans="3:6">
      <c r="C6" s="572" t="s">
        <v>1085</v>
      </c>
      <c r="D6" s="575" t="s">
        <v>1098</v>
      </c>
      <c r="E6" s="574"/>
      <c r="F6" s="574" t="s">
        <v>1299</v>
      </c>
    </row>
    <row r="7" spans="3:6" ht="25.5">
      <c r="C7" s="572" t="s">
        <v>1086</v>
      </c>
      <c r="D7" s="574" t="s">
        <v>1100</v>
      </c>
      <c r="E7" s="576" t="s">
        <v>1300</v>
      </c>
      <c r="F7" s="574"/>
    </row>
    <row r="8" spans="3:6" s="570" customFormat="1" ht="39.75" customHeight="1">
      <c r="C8" s="577" t="s">
        <v>1087</v>
      </c>
      <c r="D8" s="578" t="s">
        <v>1088</v>
      </c>
      <c r="E8" s="579"/>
      <c r="F8" s="579"/>
    </row>
    <row r="9" spans="3:6">
      <c r="C9" s="572" t="s">
        <v>1089</v>
      </c>
      <c r="D9" s="574" t="s">
        <v>1101</v>
      </c>
      <c r="E9" s="574"/>
      <c r="F9" s="574"/>
    </row>
    <row r="10" spans="3:6">
      <c r="C10" s="572" t="s">
        <v>1090</v>
      </c>
      <c r="D10" s="574" t="s">
        <v>1103</v>
      </c>
      <c r="E10" s="574"/>
      <c r="F10" s="574"/>
    </row>
    <row r="11" spans="3:6">
      <c r="C11" s="572" t="s">
        <v>1091</v>
      </c>
      <c r="D11" s="574" t="s">
        <v>1104</v>
      </c>
      <c r="E11" s="574"/>
      <c r="F11" s="574"/>
    </row>
    <row r="12" spans="3:6">
      <c r="C12" s="572" t="s">
        <v>1092</v>
      </c>
      <c r="D12" s="574" t="s">
        <v>1105</v>
      </c>
      <c r="E12" s="574" t="s">
        <v>1301</v>
      </c>
      <c r="F12" s="574"/>
    </row>
    <row r="13" spans="3:6" ht="38.25">
      <c r="C13" s="572" t="s">
        <v>1093</v>
      </c>
      <c r="D13" s="574" t="s">
        <v>1351</v>
      </c>
      <c r="E13" s="574" t="s">
        <v>1106</v>
      </c>
      <c r="F13" s="574"/>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8"/>
  <dimension ref="B1:AD75"/>
  <sheetViews>
    <sheetView workbookViewId="0">
      <selection activeCell="G16" sqref="G16"/>
    </sheetView>
  </sheetViews>
  <sheetFormatPr defaultColWidth="8.85546875" defaultRowHeight="15"/>
  <cols>
    <col min="1" max="1" width="1.42578125" style="372" customWidth="1"/>
    <col min="2" max="2" width="7" style="372" customWidth="1"/>
    <col min="3" max="3" width="5.42578125" style="372" customWidth="1"/>
    <col min="4" max="4" width="22.42578125" style="508" customWidth="1"/>
    <col min="5" max="5" width="40.7109375" style="508" customWidth="1"/>
    <col min="6" max="7" width="17.42578125" style="509" customWidth="1"/>
    <col min="8" max="8" width="32.85546875" style="372" customWidth="1"/>
    <col min="9" max="9" width="13.42578125" style="372" customWidth="1"/>
    <col min="10" max="12" width="29" style="372" customWidth="1"/>
    <col min="13" max="13" width="41.42578125" style="372" customWidth="1"/>
    <col min="14" max="14" width="4" style="372" customWidth="1"/>
    <col min="15" max="16384" width="8.85546875" style="372"/>
  </cols>
  <sheetData>
    <row r="1" spans="2:30" ht="29.25" customHeight="1">
      <c r="B1" s="367"/>
      <c r="C1" s="368"/>
      <c r="D1" s="369"/>
      <c r="E1" s="369"/>
      <c r="F1" s="370"/>
      <c r="G1" s="370"/>
      <c r="H1" s="369"/>
      <c r="I1" s="369"/>
      <c r="J1" s="369"/>
      <c r="K1" s="369"/>
      <c r="L1" s="369"/>
      <c r="M1" s="369"/>
      <c r="N1" s="371"/>
      <c r="W1" s="372" t="s">
        <v>787</v>
      </c>
      <c r="X1" s="372" t="s">
        <v>712</v>
      </c>
      <c r="Y1" s="372" t="s">
        <v>788</v>
      </c>
      <c r="AB1" s="372" t="s">
        <v>789</v>
      </c>
      <c r="AD1" s="372" t="s">
        <v>790</v>
      </c>
    </row>
    <row r="2" spans="2:30" ht="21" customHeight="1">
      <c r="B2" s="373"/>
      <c r="C2" s="374" t="s">
        <v>791</v>
      </c>
      <c r="D2" s="375"/>
      <c r="E2" s="375"/>
      <c r="F2" s="376"/>
      <c r="G2" s="376"/>
      <c r="H2" s="377"/>
      <c r="I2" s="377"/>
      <c r="J2" s="377"/>
      <c r="K2" s="377"/>
      <c r="L2" s="377"/>
      <c r="M2" s="377"/>
      <c r="N2" s="378"/>
      <c r="W2" s="372" t="s">
        <v>792</v>
      </c>
      <c r="X2" s="372" t="s">
        <v>722</v>
      </c>
      <c r="Y2" s="372" t="s">
        <v>793</v>
      </c>
      <c r="AB2" s="372" t="s">
        <v>794</v>
      </c>
      <c r="AD2" s="372" t="s">
        <v>795</v>
      </c>
    </row>
    <row r="3" spans="2:30" ht="18.75">
      <c r="B3" s="379"/>
      <c r="C3" s="380"/>
      <c r="D3" s="381"/>
      <c r="E3" s="381"/>
      <c r="F3" s="376"/>
      <c r="G3" s="376"/>
      <c r="H3" s="377"/>
      <c r="I3" s="377"/>
      <c r="J3" s="377"/>
      <c r="K3" s="377"/>
      <c r="L3" s="377"/>
      <c r="M3" s="377"/>
      <c r="N3" s="378"/>
      <c r="W3" s="372" t="s">
        <v>796</v>
      </c>
      <c r="X3" s="372" t="s">
        <v>797</v>
      </c>
      <c r="Y3" s="372" t="s">
        <v>798</v>
      </c>
      <c r="AB3" s="372" t="s">
        <v>799</v>
      </c>
      <c r="AD3" s="372" t="s">
        <v>800</v>
      </c>
    </row>
    <row r="4" spans="2:30" ht="18.75">
      <c r="B4" s="379"/>
      <c r="C4" s="377" t="s">
        <v>801</v>
      </c>
      <c r="D4" s="375"/>
      <c r="E4" s="382" t="s">
        <v>802</v>
      </c>
      <c r="F4" s="383"/>
      <c r="G4" s="384" t="s">
        <v>803</v>
      </c>
      <c r="H4" s="385" t="s">
        <v>804</v>
      </c>
      <c r="I4" s="377"/>
      <c r="J4" s="377"/>
      <c r="K4" s="377"/>
      <c r="L4" s="377"/>
      <c r="M4" s="377"/>
      <c r="N4" s="378"/>
      <c r="W4" s="372" t="s">
        <v>800</v>
      </c>
      <c r="X4" s="372" t="s">
        <v>800</v>
      </c>
      <c r="Y4" s="372" t="s">
        <v>797</v>
      </c>
    </row>
    <row r="5" spans="2:30" ht="30" customHeight="1">
      <c r="B5" s="379"/>
      <c r="C5" s="377" t="s">
        <v>805</v>
      </c>
      <c r="D5" s="375"/>
      <c r="E5" s="382" t="s">
        <v>95</v>
      </c>
      <c r="F5" s="383"/>
      <c r="G5" s="384" t="s">
        <v>806</v>
      </c>
      <c r="H5" s="386">
        <v>41241</v>
      </c>
      <c r="I5" s="377"/>
      <c r="J5" s="377"/>
      <c r="K5" s="377"/>
      <c r="L5" s="377"/>
      <c r="M5" s="377"/>
      <c r="N5" s="378"/>
      <c r="W5" s="372" t="s">
        <v>807</v>
      </c>
    </row>
    <row r="6" spans="2:30" ht="45.75" customHeight="1">
      <c r="B6" s="379"/>
      <c r="C6" s="387" t="s">
        <v>808</v>
      </c>
      <c r="D6" s="387"/>
      <c r="E6" s="382">
        <v>15.4</v>
      </c>
      <c r="F6" s="383"/>
      <c r="G6" s="384" t="s">
        <v>809</v>
      </c>
      <c r="H6" s="385"/>
      <c r="I6" s="377"/>
      <c r="J6" s="377"/>
      <c r="K6" s="377"/>
      <c r="L6" s="377"/>
      <c r="M6" s="377"/>
      <c r="N6" s="378"/>
    </row>
    <row r="7" spans="2:30" ht="32.25" customHeight="1">
      <c r="B7" s="379"/>
      <c r="C7" s="387"/>
      <c r="D7" s="387"/>
      <c r="E7" s="381"/>
      <c r="F7" s="383"/>
      <c r="G7" s="384" t="s">
        <v>810</v>
      </c>
      <c r="H7" s="385" t="s">
        <v>811</v>
      </c>
      <c r="I7" s="377"/>
      <c r="J7" s="377"/>
      <c r="K7" s="377"/>
      <c r="L7" s="377"/>
      <c r="M7" s="377"/>
      <c r="N7" s="378"/>
    </row>
    <row r="8" spans="2:30" ht="27" customHeight="1">
      <c r="B8" s="379"/>
      <c r="C8" s="388" t="s">
        <v>812</v>
      </c>
      <c r="D8" s="381"/>
      <c r="E8" s="381"/>
      <c r="F8" s="389"/>
      <c r="G8" s="389"/>
      <c r="H8" s="377"/>
      <c r="I8" s="377"/>
      <c r="J8" s="377"/>
      <c r="K8" s="377"/>
      <c r="L8" s="377"/>
      <c r="M8" s="377"/>
      <c r="N8" s="378"/>
    </row>
    <row r="9" spans="2:30" ht="18.75">
      <c r="B9" s="379"/>
      <c r="C9" s="380"/>
      <c r="D9" s="381"/>
      <c r="E9" s="381"/>
      <c r="F9" s="376"/>
      <c r="G9" s="376"/>
      <c r="H9" s="377"/>
      <c r="I9" s="377"/>
      <c r="J9" s="377"/>
      <c r="K9" s="377"/>
      <c r="L9" s="377"/>
      <c r="M9" s="377"/>
      <c r="N9" s="378"/>
    </row>
    <row r="10" spans="2:30">
      <c r="B10" s="373"/>
      <c r="C10" s="390"/>
      <c r="D10" s="391"/>
      <c r="E10" s="392"/>
      <c r="F10" s="393" t="s">
        <v>813</v>
      </c>
      <c r="G10" s="394"/>
      <c r="H10" s="395"/>
      <c r="I10" s="396" t="s">
        <v>692</v>
      </c>
      <c r="J10" s="397"/>
      <c r="K10" s="398" t="s">
        <v>814</v>
      </c>
      <c r="L10" s="399"/>
      <c r="M10" s="400" t="s">
        <v>815</v>
      </c>
      <c r="N10" s="378"/>
    </row>
    <row r="11" spans="2:30" ht="30.75">
      <c r="B11" s="373"/>
      <c r="C11" s="401" t="s">
        <v>816</v>
      </c>
      <c r="D11" s="391"/>
      <c r="E11" s="392"/>
      <c r="F11" s="393" t="s">
        <v>817</v>
      </c>
      <c r="G11" s="394"/>
      <c r="H11" s="395"/>
      <c r="I11" s="402" t="s">
        <v>818</v>
      </c>
      <c r="J11" s="403" t="s">
        <v>819</v>
      </c>
      <c r="K11" s="404" t="s">
        <v>820</v>
      </c>
      <c r="L11" s="404" t="s">
        <v>821</v>
      </c>
      <c r="M11" s="405" t="s">
        <v>822</v>
      </c>
      <c r="N11" s="378"/>
    </row>
    <row r="12" spans="2:30" ht="56.25" customHeight="1">
      <c r="B12" s="406" t="s">
        <v>823</v>
      </c>
      <c r="C12" s="401"/>
      <c r="D12" s="375"/>
      <c r="E12" s="375"/>
      <c r="F12" s="407" t="s">
        <v>824</v>
      </c>
      <c r="G12" s="407" t="s">
        <v>825</v>
      </c>
      <c r="H12" s="408" t="s">
        <v>826</v>
      </c>
      <c r="I12" s="409" t="s">
        <v>827</v>
      </c>
      <c r="J12" s="409" t="s">
        <v>828</v>
      </c>
      <c r="K12" s="410" t="s">
        <v>829</v>
      </c>
      <c r="L12" s="410" t="s">
        <v>830</v>
      </c>
      <c r="M12" s="411" t="s">
        <v>831</v>
      </c>
      <c r="N12" s="378"/>
    </row>
    <row r="13" spans="2:30" ht="23.25">
      <c r="B13" s="406"/>
      <c r="C13" s="412" t="s">
        <v>832</v>
      </c>
      <c r="D13" s="413"/>
      <c r="E13" s="413"/>
      <c r="F13" s="414" t="s">
        <v>833</v>
      </c>
      <c r="G13" s="414" t="s">
        <v>833</v>
      </c>
      <c r="H13" s="415" t="s">
        <v>834</v>
      </c>
      <c r="I13" s="415" t="s">
        <v>834</v>
      </c>
      <c r="J13" s="415" t="s">
        <v>834</v>
      </c>
      <c r="K13" s="415" t="s">
        <v>834</v>
      </c>
      <c r="L13" s="415" t="s">
        <v>834</v>
      </c>
      <c r="M13" s="415" t="s">
        <v>834</v>
      </c>
      <c r="N13" s="378"/>
    </row>
    <row r="14" spans="2:30">
      <c r="B14" s="416" t="s">
        <v>835</v>
      </c>
      <c r="C14" s="390"/>
      <c r="D14" s="417" t="s">
        <v>836</v>
      </c>
      <c r="E14" s="418" t="s">
        <v>837</v>
      </c>
      <c r="F14" s="419" t="s">
        <v>789</v>
      </c>
      <c r="G14" s="419" t="s">
        <v>807</v>
      </c>
      <c r="H14" s="420" t="s">
        <v>838</v>
      </c>
      <c r="I14" s="421"/>
      <c r="J14" s="421"/>
      <c r="K14" s="421"/>
      <c r="L14" s="421"/>
      <c r="M14" s="421"/>
      <c r="N14" s="378"/>
    </row>
    <row r="15" spans="2:30" ht="39">
      <c r="B15" s="422" t="s">
        <v>787</v>
      </c>
      <c r="C15" s="390"/>
      <c r="D15" s="417" t="s">
        <v>839</v>
      </c>
      <c r="E15" s="423" t="s">
        <v>840</v>
      </c>
      <c r="F15" s="419" t="s">
        <v>789</v>
      </c>
      <c r="G15" s="419" t="s">
        <v>807</v>
      </c>
      <c r="H15" s="424"/>
      <c r="I15" s="425"/>
      <c r="J15" s="425"/>
      <c r="K15" s="425"/>
      <c r="L15" s="425"/>
      <c r="M15" s="425"/>
      <c r="N15" s="378"/>
    </row>
    <row r="16" spans="2:30" s="437" customFormat="1" ht="89.25">
      <c r="B16" s="426" t="s">
        <v>787</v>
      </c>
      <c r="C16" s="427"/>
      <c r="D16" s="428" t="s">
        <v>841</v>
      </c>
      <c r="E16" s="429" t="s">
        <v>842</v>
      </c>
      <c r="F16" s="430" t="s">
        <v>799</v>
      </c>
      <c r="G16" s="430" t="s">
        <v>792</v>
      </c>
      <c r="H16" s="431" t="s">
        <v>843</v>
      </c>
      <c r="I16" s="432" t="s">
        <v>844</v>
      </c>
      <c r="J16" s="432" t="s">
        <v>845</v>
      </c>
      <c r="K16" s="433" t="s">
        <v>846</v>
      </c>
      <c r="L16" s="434" t="s">
        <v>847</v>
      </c>
      <c r="M16" s="435" t="s">
        <v>848</v>
      </c>
      <c r="N16" s="436"/>
    </row>
    <row r="17" spans="2:14" ht="64.5">
      <c r="B17" s="422" t="s">
        <v>792</v>
      </c>
      <c r="C17" s="390"/>
      <c r="D17" s="417" t="s">
        <v>849</v>
      </c>
      <c r="E17" s="423" t="s">
        <v>850</v>
      </c>
      <c r="F17" s="419"/>
      <c r="G17" s="419"/>
      <c r="H17" s="425"/>
      <c r="I17" s="425"/>
      <c r="J17" s="425"/>
      <c r="K17" s="425"/>
      <c r="L17" s="425"/>
      <c r="M17" s="425"/>
      <c r="N17" s="378"/>
    </row>
    <row r="18" spans="2:14">
      <c r="B18" s="422" t="s">
        <v>792</v>
      </c>
      <c r="C18" s="390"/>
      <c r="D18" s="417" t="s">
        <v>851</v>
      </c>
      <c r="E18" s="423" t="s">
        <v>852</v>
      </c>
      <c r="F18" s="419"/>
      <c r="G18" s="419"/>
      <c r="H18" s="425"/>
      <c r="I18" s="425"/>
      <c r="J18" s="425"/>
      <c r="K18" s="425"/>
      <c r="L18" s="425"/>
      <c r="M18" s="425"/>
      <c r="N18" s="378"/>
    </row>
    <row r="19" spans="2:14" ht="51.75">
      <c r="B19" s="438" t="s">
        <v>792</v>
      </c>
      <c r="C19" s="439"/>
      <c r="D19" s="391" t="s">
        <v>853</v>
      </c>
      <c r="E19" s="423" t="s">
        <v>854</v>
      </c>
      <c r="F19" s="419"/>
      <c r="G19" s="419"/>
      <c r="H19" s="425"/>
      <c r="I19" s="425"/>
      <c r="J19" s="425"/>
      <c r="K19" s="425"/>
      <c r="L19" s="425"/>
      <c r="M19" s="425"/>
      <c r="N19" s="378"/>
    </row>
    <row r="20" spans="2:14" ht="39">
      <c r="B20" s="438" t="s">
        <v>792</v>
      </c>
      <c r="C20" s="439"/>
      <c r="D20" s="391" t="s">
        <v>855</v>
      </c>
      <c r="E20" s="423" t="s">
        <v>856</v>
      </c>
      <c r="F20" s="419"/>
      <c r="G20" s="419"/>
      <c r="H20" s="425"/>
      <c r="I20" s="425"/>
      <c r="J20" s="425"/>
      <c r="K20" s="425"/>
      <c r="L20" s="425"/>
      <c r="M20" s="425"/>
      <c r="N20" s="378"/>
    </row>
    <row r="21" spans="2:14" ht="26.25">
      <c r="B21" s="438" t="s">
        <v>857</v>
      </c>
      <c r="C21" s="439"/>
      <c r="D21" s="391" t="s">
        <v>858</v>
      </c>
      <c r="E21" s="440" t="s">
        <v>859</v>
      </c>
      <c r="F21" s="419"/>
      <c r="G21" s="419"/>
      <c r="H21" s="425"/>
      <c r="I21" s="425"/>
      <c r="J21" s="425"/>
      <c r="K21" s="425"/>
      <c r="L21" s="425"/>
      <c r="M21" s="425"/>
      <c r="N21" s="378"/>
    </row>
    <row r="22" spans="2:14" ht="26.25">
      <c r="B22" s="422" t="s">
        <v>860</v>
      </c>
      <c r="C22" s="390"/>
      <c r="D22" s="417" t="s">
        <v>861</v>
      </c>
      <c r="E22" s="423" t="s">
        <v>862</v>
      </c>
      <c r="F22" s="419"/>
      <c r="G22" s="419"/>
      <c r="H22" s="425"/>
      <c r="I22" s="425"/>
      <c r="J22" s="425"/>
      <c r="K22" s="425"/>
      <c r="L22" s="425"/>
      <c r="M22" s="425"/>
      <c r="N22" s="378"/>
    </row>
    <row r="23" spans="2:14" ht="26.25">
      <c r="B23" s="422" t="s">
        <v>860</v>
      </c>
      <c r="C23" s="390"/>
      <c r="D23" s="417" t="s">
        <v>863</v>
      </c>
      <c r="E23" s="423" t="s">
        <v>864</v>
      </c>
      <c r="F23" s="419"/>
      <c r="G23" s="419"/>
      <c r="H23" s="425"/>
      <c r="I23" s="425"/>
      <c r="J23" s="425"/>
      <c r="K23" s="425"/>
      <c r="L23" s="425"/>
      <c r="M23" s="425"/>
      <c r="N23" s="378"/>
    </row>
    <row r="24" spans="2:14">
      <c r="B24" s="422" t="s">
        <v>860</v>
      </c>
      <c r="C24" s="390"/>
      <c r="D24" s="417" t="s">
        <v>865</v>
      </c>
      <c r="E24" s="423" t="s">
        <v>866</v>
      </c>
      <c r="F24" s="419"/>
      <c r="G24" s="419"/>
      <c r="H24" s="425"/>
      <c r="I24" s="425"/>
      <c r="J24" s="425"/>
      <c r="K24" s="425"/>
      <c r="L24" s="425"/>
      <c r="M24" s="425"/>
      <c r="N24" s="378"/>
    </row>
    <row r="25" spans="2:14" ht="39">
      <c r="B25" s="422"/>
      <c r="C25" s="390"/>
      <c r="D25" s="417" t="s">
        <v>867</v>
      </c>
      <c r="E25" s="423" t="s">
        <v>868</v>
      </c>
      <c r="F25" s="419"/>
      <c r="G25" s="419"/>
      <c r="H25" s="425"/>
      <c r="I25" s="425"/>
      <c r="J25" s="425"/>
      <c r="K25" s="425"/>
      <c r="L25" s="425"/>
      <c r="M25" s="425"/>
      <c r="N25" s="378"/>
    </row>
    <row r="26" spans="2:14">
      <c r="B26" s="438" t="s">
        <v>860</v>
      </c>
      <c r="C26" s="439"/>
      <c r="D26" s="391" t="s">
        <v>869</v>
      </c>
      <c r="E26" s="423" t="s">
        <v>870</v>
      </c>
      <c r="F26" s="419"/>
      <c r="G26" s="419"/>
      <c r="H26" s="425"/>
      <c r="I26" s="425"/>
      <c r="J26" s="425"/>
      <c r="K26" s="425"/>
      <c r="L26" s="425"/>
      <c r="M26" s="425"/>
      <c r="N26" s="378"/>
    </row>
    <row r="27" spans="2:14">
      <c r="B27" s="441"/>
      <c r="C27" s="439"/>
      <c r="D27" s="391" t="s">
        <v>871</v>
      </c>
      <c r="E27" s="440" t="s">
        <v>872</v>
      </c>
      <c r="F27" s="419"/>
      <c r="G27" s="419"/>
      <c r="H27" s="425"/>
      <c r="I27" s="425"/>
      <c r="J27" s="425"/>
      <c r="K27" s="425"/>
      <c r="L27" s="425"/>
      <c r="M27" s="425"/>
      <c r="N27" s="378"/>
    </row>
    <row r="28" spans="2:14">
      <c r="B28" s="373"/>
      <c r="C28" s="439"/>
      <c r="D28" s="391"/>
      <c r="E28" s="392"/>
      <c r="F28" s="442"/>
      <c r="G28" s="442"/>
      <c r="H28" s="439"/>
      <c r="I28" s="439"/>
      <c r="J28" s="439"/>
      <c r="K28" s="439"/>
      <c r="L28" s="439"/>
      <c r="M28" s="439"/>
      <c r="N28" s="378"/>
    </row>
    <row r="29" spans="2:14" ht="30">
      <c r="B29" s="373"/>
      <c r="C29" s="439"/>
      <c r="D29" s="391"/>
      <c r="E29" s="443"/>
      <c r="F29" s="444" t="s">
        <v>873</v>
      </c>
      <c r="G29" s="444" t="s">
        <v>874</v>
      </c>
      <c r="H29" s="445" t="s">
        <v>875</v>
      </c>
      <c r="I29" s="446" t="s">
        <v>876</v>
      </c>
      <c r="J29" s="447"/>
      <c r="K29" s="448"/>
      <c r="L29" s="448"/>
      <c r="M29" s="449"/>
      <c r="N29" s="378"/>
    </row>
    <row r="30" spans="2:14">
      <c r="B30" s="373"/>
      <c r="C30" s="412" t="s">
        <v>877</v>
      </c>
      <c r="D30" s="450"/>
      <c r="E30" s="451"/>
      <c r="F30" s="452"/>
      <c r="G30" s="419"/>
      <c r="H30" s="424"/>
      <c r="I30" s="424"/>
      <c r="J30" s="453"/>
      <c r="K30" s="453"/>
      <c r="L30" s="453"/>
      <c r="M30" s="454"/>
      <c r="N30" s="378"/>
    </row>
    <row r="31" spans="2:14">
      <c r="B31" s="373"/>
      <c r="C31" s="390"/>
      <c r="D31" s="392"/>
      <c r="E31" s="392"/>
      <c r="F31" s="442"/>
      <c r="G31" s="442"/>
      <c r="H31" s="439"/>
      <c r="I31" s="439"/>
      <c r="J31" s="439"/>
      <c r="K31" s="439"/>
      <c r="L31" s="439"/>
      <c r="M31" s="439"/>
      <c r="N31" s="378"/>
    </row>
    <row r="32" spans="2:14">
      <c r="B32" s="373"/>
      <c r="C32" s="390"/>
      <c r="D32" s="392"/>
      <c r="E32" s="392"/>
      <c r="F32" s="455"/>
      <c r="G32" s="455"/>
      <c r="H32" s="439"/>
      <c r="I32" s="439"/>
      <c r="J32" s="439"/>
      <c r="K32" s="439"/>
      <c r="L32" s="439"/>
      <c r="M32" s="439"/>
      <c r="N32" s="378"/>
    </row>
    <row r="33" spans="2:18">
      <c r="B33" s="373"/>
      <c r="C33" s="390"/>
      <c r="D33" s="392"/>
      <c r="E33" s="392"/>
      <c r="F33" s="456" t="s">
        <v>878</v>
      </c>
      <c r="G33" s="457"/>
      <c r="H33" s="458"/>
      <c r="I33" s="459" t="s">
        <v>692</v>
      </c>
      <c r="J33" s="460"/>
      <c r="K33" s="461" t="s">
        <v>814</v>
      </c>
      <c r="L33" s="462"/>
      <c r="M33" s="463" t="s">
        <v>815</v>
      </c>
      <c r="N33" s="378"/>
    </row>
    <row r="34" spans="2:18" ht="45.75">
      <c r="B34" s="373"/>
      <c r="C34" s="401" t="s">
        <v>879</v>
      </c>
      <c r="D34" s="392"/>
      <c r="E34" s="392"/>
      <c r="F34" s="464" t="s">
        <v>696</v>
      </c>
      <c r="G34" s="465" t="s">
        <v>880</v>
      </c>
      <c r="H34" s="465"/>
      <c r="I34" s="403" t="s">
        <v>881</v>
      </c>
      <c r="J34" s="403" t="s">
        <v>819</v>
      </c>
      <c r="K34" s="404" t="s">
        <v>820</v>
      </c>
      <c r="L34" s="404" t="s">
        <v>821</v>
      </c>
      <c r="M34" s="405" t="s">
        <v>822</v>
      </c>
      <c r="N34" s="378"/>
    </row>
    <row r="35" spans="2:18" ht="52.5">
      <c r="B35" s="466" t="s">
        <v>882</v>
      </c>
      <c r="C35" s="401"/>
      <c r="D35" s="467"/>
      <c r="E35" s="467"/>
      <c r="F35" s="468" t="s">
        <v>883</v>
      </c>
      <c r="G35" s="469" t="s">
        <v>884</v>
      </c>
      <c r="H35" s="469"/>
      <c r="I35" s="470" t="s">
        <v>885</v>
      </c>
      <c r="J35" s="470" t="s">
        <v>828</v>
      </c>
      <c r="K35" s="471" t="s">
        <v>886</v>
      </c>
      <c r="L35" s="471" t="s">
        <v>887</v>
      </c>
      <c r="M35" s="411" t="s">
        <v>831</v>
      </c>
      <c r="N35" s="378"/>
    </row>
    <row r="36" spans="2:18" ht="26.25">
      <c r="B36" s="466"/>
      <c r="C36" s="472" t="s">
        <v>888</v>
      </c>
      <c r="D36" s="473"/>
      <c r="E36" s="473"/>
      <c r="F36" s="414" t="s">
        <v>833</v>
      </c>
      <c r="G36" s="474" t="s">
        <v>834</v>
      </c>
      <c r="H36" s="475"/>
      <c r="I36" s="415" t="s">
        <v>834</v>
      </c>
      <c r="J36" s="415" t="s">
        <v>834</v>
      </c>
      <c r="K36" s="415" t="s">
        <v>834</v>
      </c>
      <c r="L36" s="415" t="s">
        <v>834</v>
      </c>
      <c r="M36" s="476" t="s">
        <v>834</v>
      </c>
      <c r="N36" s="378"/>
    </row>
    <row r="37" spans="2:18" ht="51.75">
      <c r="B37" s="373"/>
      <c r="C37" s="390"/>
      <c r="D37" s="391" t="s">
        <v>836</v>
      </c>
      <c r="E37" s="477" t="s">
        <v>889</v>
      </c>
      <c r="F37" s="419"/>
      <c r="G37" s="478"/>
      <c r="H37" s="479"/>
      <c r="I37" s="425"/>
      <c r="J37" s="425"/>
      <c r="K37" s="425"/>
      <c r="L37" s="425"/>
      <c r="M37" s="425"/>
      <c r="N37" s="378"/>
      <c r="R37" s="480"/>
    </row>
    <row r="38" spans="2:18" ht="39">
      <c r="B38" s="373"/>
      <c r="C38" s="390"/>
      <c r="D38" s="391" t="s">
        <v>839</v>
      </c>
      <c r="E38" s="481" t="s">
        <v>890</v>
      </c>
      <c r="F38" s="419"/>
      <c r="G38" s="478"/>
      <c r="H38" s="479"/>
      <c r="I38" s="425"/>
      <c r="J38" s="425"/>
      <c r="K38" s="425"/>
      <c r="L38" s="425"/>
      <c r="M38" s="425"/>
      <c r="N38" s="378"/>
      <c r="R38" s="480"/>
    </row>
    <row r="39" spans="2:18" ht="26.25">
      <c r="B39" s="373"/>
      <c r="C39" s="390"/>
      <c r="D39" s="391" t="s">
        <v>841</v>
      </c>
      <c r="E39" s="482" t="s">
        <v>891</v>
      </c>
      <c r="F39" s="419"/>
      <c r="G39" s="478"/>
      <c r="H39" s="479"/>
      <c r="I39" s="425"/>
      <c r="J39" s="425"/>
      <c r="K39" s="425"/>
      <c r="L39" s="425"/>
      <c r="M39" s="425"/>
      <c r="N39" s="378"/>
      <c r="R39" s="480"/>
    </row>
    <row r="40" spans="2:18" ht="51.75">
      <c r="B40" s="373"/>
      <c r="C40" s="390"/>
      <c r="D40" s="391" t="s">
        <v>849</v>
      </c>
      <c r="E40" s="483" t="s">
        <v>892</v>
      </c>
      <c r="F40" s="419"/>
      <c r="G40" s="478"/>
      <c r="H40" s="479"/>
      <c r="I40" s="425"/>
      <c r="J40" s="425"/>
      <c r="K40" s="425"/>
      <c r="L40" s="425"/>
      <c r="M40" s="425"/>
      <c r="N40" s="378"/>
      <c r="R40" s="480"/>
    </row>
    <row r="41" spans="2:18" ht="39">
      <c r="B41" s="373"/>
      <c r="C41" s="390"/>
      <c r="D41" s="391" t="s">
        <v>851</v>
      </c>
      <c r="E41" s="484" t="s">
        <v>893</v>
      </c>
      <c r="F41" s="419"/>
      <c r="G41" s="478"/>
      <c r="H41" s="479"/>
      <c r="I41" s="425"/>
      <c r="J41" s="425"/>
      <c r="K41" s="425"/>
      <c r="L41" s="425"/>
      <c r="M41" s="425"/>
      <c r="N41" s="378"/>
    </row>
    <row r="42" spans="2:18" ht="39">
      <c r="B42" s="373"/>
      <c r="C42" s="390"/>
      <c r="D42" s="391" t="s">
        <v>853</v>
      </c>
      <c r="E42" s="484" t="s">
        <v>894</v>
      </c>
      <c r="F42" s="419"/>
      <c r="G42" s="478"/>
      <c r="H42" s="479"/>
      <c r="I42" s="425"/>
      <c r="J42" s="425"/>
      <c r="K42" s="425"/>
      <c r="L42" s="425"/>
      <c r="M42" s="425"/>
      <c r="N42" s="378"/>
    </row>
    <row r="43" spans="2:18" ht="39">
      <c r="B43" s="373"/>
      <c r="C43" s="390"/>
      <c r="D43" s="391" t="s">
        <v>855</v>
      </c>
      <c r="E43" s="484" t="s">
        <v>895</v>
      </c>
      <c r="F43" s="419"/>
      <c r="G43" s="478"/>
      <c r="H43" s="479"/>
      <c r="I43" s="425"/>
      <c r="J43" s="425"/>
      <c r="K43" s="425"/>
      <c r="L43" s="425"/>
      <c r="M43" s="425"/>
      <c r="N43" s="378"/>
    </row>
    <row r="44" spans="2:18" ht="39">
      <c r="B44" s="373"/>
      <c r="C44" s="390"/>
      <c r="D44" s="391" t="s">
        <v>858</v>
      </c>
      <c r="E44" s="482" t="s">
        <v>896</v>
      </c>
      <c r="F44" s="419"/>
      <c r="G44" s="478"/>
      <c r="H44" s="479"/>
      <c r="I44" s="425"/>
      <c r="J44" s="425"/>
      <c r="K44" s="425"/>
      <c r="L44" s="425"/>
      <c r="M44" s="425"/>
      <c r="N44" s="378"/>
    </row>
    <row r="45" spans="2:18" ht="26.25">
      <c r="B45" s="373"/>
      <c r="C45" s="390"/>
      <c r="D45" s="391" t="s">
        <v>849</v>
      </c>
      <c r="E45" s="477" t="s">
        <v>897</v>
      </c>
      <c r="F45" s="419"/>
      <c r="G45" s="478"/>
      <c r="H45" s="479"/>
      <c r="I45" s="425"/>
      <c r="J45" s="425"/>
      <c r="K45" s="425"/>
      <c r="L45" s="425"/>
      <c r="M45" s="425"/>
      <c r="N45" s="378"/>
    </row>
    <row r="46" spans="2:18" ht="26.25">
      <c r="B46" s="373"/>
      <c r="C46" s="390"/>
      <c r="D46" s="391" t="s">
        <v>851</v>
      </c>
      <c r="E46" s="477" t="s">
        <v>898</v>
      </c>
      <c r="F46" s="419"/>
      <c r="G46" s="478"/>
      <c r="H46" s="479"/>
      <c r="I46" s="425"/>
      <c r="J46" s="425"/>
      <c r="K46" s="425"/>
      <c r="L46" s="425"/>
      <c r="M46" s="425"/>
      <c r="N46" s="378"/>
    </row>
    <row r="47" spans="2:18" ht="26.25">
      <c r="B47" s="373"/>
      <c r="C47" s="390"/>
      <c r="D47" s="391" t="s">
        <v>853</v>
      </c>
      <c r="E47" s="477" t="s">
        <v>899</v>
      </c>
      <c r="F47" s="419"/>
      <c r="G47" s="478"/>
      <c r="H47" s="479"/>
      <c r="I47" s="425"/>
      <c r="J47" s="425"/>
      <c r="K47" s="425"/>
      <c r="L47" s="425"/>
      <c r="M47" s="425"/>
      <c r="N47" s="378"/>
    </row>
    <row r="48" spans="2:18" ht="39">
      <c r="B48" s="373"/>
      <c r="C48" s="390"/>
      <c r="D48" s="391" t="s">
        <v>855</v>
      </c>
      <c r="E48" s="477" t="s">
        <v>900</v>
      </c>
      <c r="F48" s="419"/>
      <c r="G48" s="478"/>
      <c r="H48" s="479"/>
      <c r="I48" s="425"/>
      <c r="J48" s="425"/>
      <c r="K48" s="425"/>
      <c r="L48" s="425"/>
      <c r="M48" s="425"/>
      <c r="N48" s="378"/>
    </row>
    <row r="49" spans="2:14" ht="26.25">
      <c r="B49" s="373"/>
      <c r="C49" s="390"/>
      <c r="D49" s="391" t="s">
        <v>858</v>
      </c>
      <c r="E49" s="477" t="s">
        <v>901</v>
      </c>
      <c r="F49" s="419"/>
      <c r="G49" s="478"/>
      <c r="H49" s="479"/>
      <c r="I49" s="425"/>
      <c r="J49" s="425"/>
      <c r="K49" s="425"/>
      <c r="L49" s="425"/>
      <c r="M49" s="425"/>
      <c r="N49" s="378"/>
    </row>
    <row r="50" spans="2:14" ht="39">
      <c r="B50" s="373"/>
      <c r="C50" s="390"/>
      <c r="D50" s="391" t="s">
        <v>861</v>
      </c>
      <c r="E50" s="477" t="s">
        <v>902</v>
      </c>
      <c r="F50" s="419"/>
      <c r="G50" s="478"/>
      <c r="H50" s="479"/>
      <c r="I50" s="425"/>
      <c r="J50" s="425"/>
      <c r="K50" s="425"/>
      <c r="L50" s="425"/>
      <c r="M50" s="425"/>
      <c r="N50" s="378"/>
    </row>
    <row r="51" spans="2:14" ht="39">
      <c r="B51" s="373"/>
      <c r="C51" s="390"/>
      <c r="D51" s="391" t="s">
        <v>863</v>
      </c>
      <c r="E51" s="477" t="s">
        <v>903</v>
      </c>
      <c r="F51" s="419"/>
      <c r="G51" s="478"/>
      <c r="H51" s="479"/>
      <c r="I51" s="425"/>
      <c r="J51" s="425"/>
      <c r="K51" s="425"/>
      <c r="L51" s="425"/>
      <c r="M51" s="425"/>
      <c r="N51" s="378"/>
    </row>
    <row r="52" spans="2:14" ht="39">
      <c r="B52" s="373"/>
      <c r="C52" s="390"/>
      <c r="D52" s="391" t="s">
        <v>865</v>
      </c>
      <c r="E52" s="477" t="s">
        <v>904</v>
      </c>
      <c r="F52" s="419"/>
      <c r="G52" s="478"/>
      <c r="H52" s="479"/>
      <c r="I52" s="425"/>
      <c r="J52" s="425"/>
      <c r="K52" s="425"/>
      <c r="L52" s="425"/>
      <c r="M52" s="425"/>
      <c r="N52" s="378"/>
    </row>
    <row r="53" spans="2:14" ht="26.25">
      <c r="B53" s="373"/>
      <c r="C53" s="390"/>
      <c r="D53" s="391" t="s">
        <v>867</v>
      </c>
      <c r="E53" s="477" t="s">
        <v>905</v>
      </c>
      <c r="F53" s="419"/>
      <c r="G53" s="478"/>
      <c r="H53" s="479"/>
      <c r="I53" s="425"/>
      <c r="J53" s="425"/>
      <c r="K53" s="425"/>
      <c r="L53" s="425"/>
      <c r="M53" s="425"/>
      <c r="N53" s="378"/>
    </row>
    <row r="54" spans="2:14" ht="39">
      <c r="B54" s="373"/>
      <c r="C54" s="390"/>
      <c r="D54" s="391" t="s">
        <v>861</v>
      </c>
      <c r="E54" s="477" t="s">
        <v>906</v>
      </c>
      <c r="F54" s="419"/>
      <c r="G54" s="478"/>
      <c r="H54" s="479"/>
      <c r="I54" s="425"/>
      <c r="J54" s="425"/>
      <c r="K54" s="425"/>
      <c r="L54" s="425"/>
      <c r="M54" s="425"/>
      <c r="N54" s="378"/>
    </row>
    <row r="55" spans="2:14" ht="26.25">
      <c r="B55" s="373"/>
      <c r="C55" s="390"/>
      <c r="D55" s="391" t="s">
        <v>863</v>
      </c>
      <c r="E55" s="477" t="s">
        <v>907</v>
      </c>
      <c r="F55" s="419"/>
      <c r="G55" s="478"/>
      <c r="H55" s="479"/>
      <c r="I55" s="425"/>
      <c r="J55" s="425"/>
      <c r="K55" s="425"/>
      <c r="L55" s="425"/>
      <c r="M55" s="425"/>
      <c r="N55" s="378"/>
    </row>
    <row r="56" spans="2:14" ht="26.25">
      <c r="B56" s="373"/>
      <c r="C56" s="390"/>
      <c r="D56" s="391" t="s">
        <v>865</v>
      </c>
      <c r="E56" s="477" t="s">
        <v>908</v>
      </c>
      <c r="F56" s="419"/>
      <c r="G56" s="478"/>
      <c r="H56" s="479"/>
      <c r="I56" s="425"/>
      <c r="J56" s="425"/>
      <c r="K56" s="425"/>
      <c r="L56" s="425"/>
      <c r="M56" s="425"/>
      <c r="N56" s="378"/>
    </row>
    <row r="57" spans="2:14">
      <c r="B57" s="373"/>
      <c r="C57" s="390"/>
      <c r="D57" s="391" t="s">
        <v>867</v>
      </c>
      <c r="E57" s="477" t="s">
        <v>872</v>
      </c>
      <c r="F57" s="419"/>
      <c r="G57" s="478"/>
      <c r="H57" s="479"/>
      <c r="I57" s="425"/>
      <c r="J57" s="425"/>
      <c r="K57" s="425"/>
      <c r="L57" s="425"/>
      <c r="M57" s="425"/>
      <c r="N57" s="378"/>
    </row>
    <row r="58" spans="2:14">
      <c r="B58" s="373"/>
      <c r="C58" s="390"/>
      <c r="D58" s="391"/>
      <c r="E58" s="392"/>
      <c r="F58" s="442"/>
      <c r="G58" s="442"/>
      <c r="H58" s="439"/>
      <c r="I58" s="439"/>
      <c r="J58" s="439"/>
      <c r="K58" s="439"/>
      <c r="L58" s="439"/>
      <c r="M58" s="439"/>
      <c r="N58" s="378"/>
    </row>
    <row r="59" spans="2:14">
      <c r="B59" s="373"/>
      <c r="C59" s="439"/>
      <c r="D59" s="391"/>
      <c r="E59" s="443"/>
      <c r="F59" s="444" t="s">
        <v>873</v>
      </c>
      <c r="G59" s="445" t="s">
        <v>909</v>
      </c>
      <c r="H59" s="446" t="s">
        <v>910</v>
      </c>
      <c r="I59" s="446"/>
      <c r="J59" s="447"/>
      <c r="K59" s="448"/>
      <c r="L59" s="448"/>
      <c r="M59" s="449"/>
      <c r="N59" s="378"/>
    </row>
    <row r="60" spans="2:14">
      <c r="B60" s="373"/>
      <c r="C60" s="412" t="s">
        <v>911</v>
      </c>
      <c r="D60" s="450"/>
      <c r="E60" s="451"/>
      <c r="F60" s="452"/>
      <c r="G60" s="424"/>
      <c r="H60" s="485"/>
      <c r="I60" s="486"/>
      <c r="J60" s="486"/>
      <c r="K60" s="486"/>
      <c r="L60" s="486"/>
      <c r="M60" s="487"/>
      <c r="N60" s="378"/>
    </row>
    <row r="61" spans="2:14">
      <c r="B61" s="373"/>
      <c r="C61" s="390"/>
      <c r="D61" s="392"/>
      <c r="E61" s="392"/>
      <c r="F61" s="488"/>
      <c r="G61" s="442"/>
      <c r="H61" s="439"/>
      <c r="I61" s="439"/>
      <c r="J61" s="439"/>
      <c r="K61" s="439"/>
      <c r="L61" s="439"/>
      <c r="M61" s="439"/>
      <c r="N61" s="378"/>
    </row>
    <row r="62" spans="2:14" ht="18.75">
      <c r="B62" s="373"/>
      <c r="C62" s="401" t="s">
        <v>912</v>
      </c>
      <c r="D62" s="392"/>
      <c r="E62" s="392"/>
      <c r="F62" s="488"/>
      <c r="G62" s="442"/>
      <c r="H62" s="439"/>
      <c r="I62" s="439"/>
      <c r="J62" s="439"/>
      <c r="K62" s="439"/>
      <c r="L62" s="439"/>
      <c r="M62" s="439"/>
      <c r="N62" s="378"/>
    </row>
    <row r="63" spans="2:14" ht="18.75">
      <c r="B63" s="373"/>
      <c r="C63" s="401"/>
      <c r="D63" s="392"/>
      <c r="E63" s="392"/>
      <c r="F63" s="488"/>
      <c r="G63" s="442"/>
      <c r="H63" s="439"/>
      <c r="I63" s="439"/>
      <c r="J63" s="439"/>
      <c r="K63" s="439"/>
      <c r="L63" s="439"/>
      <c r="M63" s="439"/>
      <c r="N63" s="378"/>
    </row>
    <row r="64" spans="2:14" ht="30">
      <c r="B64" s="373"/>
      <c r="C64" s="439"/>
      <c r="D64" s="391"/>
      <c r="E64" s="443"/>
      <c r="F64" s="444" t="s">
        <v>913</v>
      </c>
      <c r="G64" s="445" t="s">
        <v>909</v>
      </c>
      <c r="H64" s="446" t="s">
        <v>914</v>
      </c>
      <c r="I64" s="446"/>
      <c r="J64" s="447"/>
      <c r="K64" s="448"/>
      <c r="L64" s="448"/>
      <c r="M64" s="449"/>
      <c r="N64" s="378"/>
    </row>
    <row r="65" spans="2:14" ht="26.25">
      <c r="B65" s="373"/>
      <c r="C65" s="472" t="s">
        <v>915</v>
      </c>
      <c r="D65" s="489"/>
      <c r="E65" s="490"/>
      <c r="F65" s="452"/>
      <c r="G65" s="424"/>
      <c r="H65" s="485"/>
      <c r="I65" s="486"/>
      <c r="J65" s="486"/>
      <c r="K65" s="486"/>
      <c r="L65" s="486"/>
      <c r="M65" s="487"/>
      <c r="N65" s="378"/>
    </row>
    <row r="66" spans="2:14">
      <c r="B66" s="373"/>
      <c r="C66" s="390"/>
      <c r="D66" s="391"/>
      <c r="E66" s="392"/>
      <c r="F66" s="442"/>
      <c r="G66" s="442"/>
      <c r="H66" s="439"/>
      <c r="I66" s="439"/>
      <c r="J66" s="439"/>
      <c r="K66" s="439"/>
      <c r="L66" s="439"/>
      <c r="M66" s="439"/>
      <c r="N66" s="378"/>
    </row>
    <row r="67" spans="2:14">
      <c r="B67" s="373"/>
      <c r="C67" s="377"/>
      <c r="D67" s="375"/>
      <c r="E67" s="375"/>
      <c r="F67" s="488"/>
      <c r="G67" s="488"/>
      <c r="H67" s="439"/>
      <c r="I67" s="439"/>
      <c r="J67" s="439"/>
      <c r="K67" s="439"/>
      <c r="L67" s="439"/>
      <c r="M67" s="439"/>
      <c r="N67" s="378"/>
    </row>
    <row r="68" spans="2:14" ht="18.75">
      <c r="B68" s="379" t="s">
        <v>916</v>
      </c>
      <c r="C68" s="380"/>
      <c r="D68" s="381"/>
      <c r="E68" s="381"/>
      <c r="F68" s="488"/>
      <c r="G68" s="488"/>
      <c r="H68" s="439"/>
      <c r="I68" s="439"/>
      <c r="J68" s="439"/>
      <c r="K68" s="439"/>
      <c r="L68" s="439"/>
      <c r="M68" s="439"/>
      <c r="N68" s="378"/>
    </row>
    <row r="69" spans="2:14">
      <c r="B69" s="466" t="s">
        <v>917</v>
      </c>
      <c r="C69" s="377"/>
      <c r="D69" s="375"/>
      <c r="E69" s="375"/>
      <c r="F69" s="491" t="s">
        <v>692</v>
      </c>
      <c r="G69" s="491"/>
      <c r="H69" s="492" t="s">
        <v>875</v>
      </c>
      <c r="I69" s="439"/>
      <c r="J69" s="439"/>
      <c r="K69" s="439"/>
      <c r="L69" s="439"/>
      <c r="M69" s="439"/>
      <c r="N69" s="378"/>
    </row>
    <row r="70" spans="2:14">
      <c r="B70" s="466"/>
      <c r="C70" s="493" t="s">
        <v>918</v>
      </c>
      <c r="D70" s="494"/>
      <c r="E70" s="495"/>
      <c r="F70" s="496"/>
      <c r="G70" s="496"/>
      <c r="H70" s="425"/>
      <c r="I70" s="439"/>
      <c r="J70" s="439"/>
      <c r="K70" s="439"/>
      <c r="L70" s="439"/>
      <c r="M70" s="439"/>
      <c r="N70" s="378"/>
    </row>
    <row r="71" spans="2:14">
      <c r="B71" s="373"/>
      <c r="C71" s="497" t="s">
        <v>919</v>
      </c>
      <c r="D71" s="498"/>
      <c r="E71" s="499"/>
      <c r="F71" s="496"/>
      <c r="G71" s="500" t="s">
        <v>920</v>
      </c>
      <c r="H71" s="485"/>
      <c r="I71" s="486"/>
      <c r="J71" s="486"/>
      <c r="K71" s="486"/>
      <c r="L71" s="486"/>
      <c r="M71" s="487"/>
      <c r="N71" s="378"/>
    </row>
    <row r="72" spans="2:14">
      <c r="B72" s="373"/>
      <c r="C72" s="377"/>
      <c r="D72" s="375"/>
      <c r="E72" s="375"/>
      <c r="F72" s="488"/>
      <c r="G72" s="488"/>
      <c r="H72" s="439"/>
      <c r="I72" s="439"/>
      <c r="J72" s="439"/>
      <c r="K72" s="439"/>
      <c r="L72" s="439"/>
      <c r="M72" s="439"/>
      <c r="N72" s="378"/>
    </row>
    <row r="73" spans="2:14">
      <c r="B73" s="466" t="s">
        <v>921</v>
      </c>
      <c r="C73" s="377"/>
      <c r="D73" s="375"/>
      <c r="E73" s="375"/>
      <c r="F73" s="491" t="s">
        <v>922</v>
      </c>
      <c r="G73" s="501"/>
      <c r="H73" s="439"/>
      <c r="I73" s="439"/>
      <c r="J73" s="439"/>
      <c r="K73" s="439"/>
      <c r="L73" s="439"/>
      <c r="M73" s="439"/>
      <c r="N73" s="378"/>
    </row>
    <row r="74" spans="2:14">
      <c r="B74" s="373"/>
      <c r="C74" s="493" t="s">
        <v>923</v>
      </c>
      <c r="D74" s="494"/>
      <c r="E74" s="494"/>
      <c r="F74" s="502"/>
      <c r="G74" s="442"/>
      <c r="H74" s="439"/>
      <c r="I74" s="439"/>
      <c r="J74" s="439"/>
      <c r="K74" s="439"/>
      <c r="L74" s="439"/>
      <c r="M74" s="439"/>
      <c r="N74" s="378"/>
    </row>
    <row r="75" spans="2:14" ht="15.75" thickBot="1">
      <c r="B75" s="503"/>
      <c r="C75" s="504"/>
      <c r="D75" s="505"/>
      <c r="E75" s="505"/>
      <c r="F75" s="506"/>
      <c r="G75" s="506"/>
      <c r="H75" s="504"/>
      <c r="I75" s="504"/>
      <c r="J75" s="504"/>
      <c r="K75" s="504"/>
      <c r="L75" s="504"/>
      <c r="M75" s="504"/>
      <c r="N75" s="507"/>
    </row>
  </sheetData>
  <dataValidations count="5">
    <dataValidation type="list" allowBlank="1" showInputMessage="1" showErrorMessage="1" sqref="F37:G58 F66:G66">
      <formula1>$Y$1:$Y$4</formula1>
    </dataValidation>
    <dataValidation type="list" allowBlank="1" showInputMessage="1" showErrorMessage="1" sqref="G61:G63 G30 G14:G27">
      <formula1>$W$1:$W$5</formula1>
    </dataValidation>
    <dataValidation type="list" allowBlank="1" showInputMessage="1" showErrorMessage="1" sqref="F31:G31">
      <formula1>$X$1:$X$3</formula1>
    </dataValidation>
    <dataValidation type="list" allowBlank="1" showInputMessage="1" showErrorMessage="1" sqref="G28 F14:F28">
      <formula1>$AB$1:$AB$3</formula1>
    </dataValidation>
    <dataValidation type="list" allowBlank="1" showInputMessage="1" showErrorMessage="1" sqref="F74">
      <formula1>$X$1:$X$4</formula1>
    </dataValidation>
  </dataValidations>
  <hyperlinks>
    <hyperlink ref="M16" r:id="rId1" display="http://www1.eere.energy.gov/buildings/appliance_standards/pdfs/dw_dfr_tsd_ch8_rev.pdf"/>
  </hyperlinks>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Sheet9"/>
  <dimension ref="B1:L147"/>
  <sheetViews>
    <sheetView showGridLines="0" topLeftCell="A26" zoomScale="80" zoomScaleNormal="80" workbookViewId="0">
      <selection activeCell="G118" sqref="G118"/>
    </sheetView>
  </sheetViews>
  <sheetFormatPr defaultRowHeight="15"/>
  <cols>
    <col min="1" max="1" width="3.140625" style="232" customWidth="1"/>
    <col min="2" max="2" width="28.28515625" style="232" customWidth="1"/>
    <col min="3" max="3" width="44.42578125" style="232" customWidth="1"/>
    <col min="4" max="4" width="17" style="232" customWidth="1"/>
    <col min="5" max="6" width="22.140625" style="233" customWidth="1"/>
    <col min="7" max="8" width="18.28515625" style="233" customWidth="1"/>
    <col min="9" max="9" width="42.42578125" style="233" customWidth="1"/>
    <col min="10" max="10" width="33.28515625" style="233" customWidth="1"/>
    <col min="11" max="11" width="33" style="233" customWidth="1"/>
    <col min="12" max="12" width="34.5703125" style="232" customWidth="1"/>
    <col min="13" max="16384" width="9.140625" style="232"/>
  </cols>
  <sheetData>
    <row r="1" spans="2:11" ht="15.75" thickBot="1"/>
    <row r="2" spans="2:11" s="238" customFormat="1">
      <c r="B2" s="234" t="s">
        <v>683</v>
      </c>
      <c r="C2" s="235"/>
      <c r="D2" s="235"/>
      <c r="E2" s="236"/>
      <c r="F2" s="237"/>
      <c r="G2" s="237"/>
      <c r="H2" s="237"/>
      <c r="I2" s="237"/>
      <c r="J2" s="237"/>
      <c r="K2" s="237"/>
    </row>
    <row r="3" spans="2:11">
      <c r="B3" s="239" t="s">
        <v>684</v>
      </c>
      <c r="C3" s="240"/>
      <c r="D3" s="240"/>
      <c r="E3" s="241"/>
    </row>
    <row r="4" spans="2:11" ht="102" customHeight="1" thickBot="1">
      <c r="B4" s="653" t="s">
        <v>685</v>
      </c>
      <c r="C4" s="654"/>
      <c r="D4" s="654"/>
      <c r="E4" s="655"/>
    </row>
    <row r="6" spans="2:11" ht="15.75" thickBot="1">
      <c r="B6" s="242" t="s">
        <v>686</v>
      </c>
      <c r="C6" s="233"/>
      <c r="D6" s="233"/>
      <c r="G6" s="232"/>
    </row>
    <row r="7" spans="2:11" ht="21" customHeight="1">
      <c r="B7" s="656" t="s">
        <v>687</v>
      </c>
      <c r="C7" s="657"/>
      <c r="D7" s="657"/>
      <c r="E7" s="657"/>
      <c r="F7" s="657"/>
      <c r="G7" s="657"/>
      <c r="H7" s="658"/>
    </row>
    <row r="8" spans="2:11" ht="21" customHeight="1">
      <c r="B8" s="659"/>
      <c r="C8" s="660"/>
      <c r="D8" s="660"/>
      <c r="E8" s="660"/>
      <c r="F8" s="660"/>
      <c r="G8" s="660"/>
      <c r="H8" s="661"/>
    </row>
    <row r="9" spans="2:11" ht="21" customHeight="1">
      <c r="B9" s="659"/>
      <c r="C9" s="660"/>
      <c r="D9" s="660"/>
      <c r="E9" s="660"/>
      <c r="F9" s="660"/>
      <c r="G9" s="660"/>
      <c r="H9" s="661"/>
    </row>
    <row r="10" spans="2:11" ht="21" customHeight="1">
      <c r="B10" s="659"/>
      <c r="C10" s="660"/>
      <c r="D10" s="660"/>
      <c r="E10" s="660"/>
      <c r="F10" s="660"/>
      <c r="G10" s="660"/>
      <c r="H10" s="661"/>
    </row>
    <row r="11" spans="2:11" ht="21" customHeight="1">
      <c r="B11" s="659"/>
      <c r="C11" s="660"/>
      <c r="D11" s="660"/>
      <c r="E11" s="660"/>
      <c r="F11" s="660"/>
      <c r="G11" s="660"/>
      <c r="H11" s="661"/>
    </row>
    <row r="12" spans="2:11" ht="21" customHeight="1">
      <c r="B12" s="659"/>
      <c r="C12" s="660"/>
      <c r="D12" s="660"/>
      <c r="E12" s="660"/>
      <c r="F12" s="660"/>
      <c r="G12" s="660"/>
      <c r="H12" s="661"/>
    </row>
    <row r="13" spans="2:11" ht="21" customHeight="1">
      <c r="B13" s="659"/>
      <c r="C13" s="660"/>
      <c r="D13" s="660"/>
      <c r="E13" s="660"/>
      <c r="F13" s="660"/>
      <c r="G13" s="660"/>
      <c r="H13" s="661"/>
    </row>
    <row r="14" spans="2:11" ht="21" customHeight="1">
      <c r="B14" s="659"/>
      <c r="C14" s="660"/>
      <c r="D14" s="660"/>
      <c r="E14" s="660"/>
      <c r="F14" s="660"/>
      <c r="G14" s="660"/>
      <c r="H14" s="661"/>
    </row>
    <row r="15" spans="2:11" ht="21" customHeight="1">
      <c r="B15" s="659"/>
      <c r="C15" s="660"/>
      <c r="D15" s="660"/>
      <c r="E15" s="660"/>
      <c r="F15" s="660"/>
      <c r="G15" s="660"/>
      <c r="H15" s="661"/>
    </row>
    <row r="16" spans="2:11" ht="21" customHeight="1">
      <c r="B16" s="659"/>
      <c r="C16" s="660"/>
      <c r="D16" s="660"/>
      <c r="E16" s="660"/>
      <c r="F16" s="660"/>
      <c r="G16" s="660"/>
      <c r="H16" s="661"/>
    </row>
    <row r="17" spans="2:11" ht="21" customHeight="1">
      <c r="B17" s="659"/>
      <c r="C17" s="660"/>
      <c r="D17" s="660"/>
      <c r="E17" s="660"/>
      <c r="F17" s="660"/>
      <c r="G17" s="660"/>
      <c r="H17" s="661"/>
    </row>
    <row r="18" spans="2:11" ht="21" customHeight="1" thickBot="1">
      <c r="B18" s="662"/>
      <c r="C18" s="663"/>
      <c r="D18" s="663"/>
      <c r="E18" s="663"/>
      <c r="F18" s="663"/>
      <c r="G18" s="663"/>
      <c r="H18" s="664"/>
    </row>
    <row r="19" spans="2:11" ht="15.75" thickBot="1"/>
    <row r="20" spans="2:11" ht="47.25" customHeight="1" thickBot="1">
      <c r="B20" s="243" t="s">
        <v>688</v>
      </c>
      <c r="C20" s="244">
        <v>2012</v>
      </c>
      <c r="E20" s="232"/>
      <c r="F20" s="232"/>
      <c r="G20" s="232"/>
      <c r="H20" s="232"/>
      <c r="I20" s="232"/>
      <c r="J20" s="232"/>
    </row>
    <row r="21" spans="2:11" ht="16.5" customHeight="1" thickBot="1">
      <c r="B21" s="245"/>
      <c r="E21" s="246"/>
    </row>
    <row r="22" spans="2:11">
      <c r="B22" s="665" t="s">
        <v>689</v>
      </c>
      <c r="C22" s="667" t="s">
        <v>690</v>
      </c>
      <c r="D22" s="247" t="s">
        <v>691</v>
      </c>
      <c r="E22" s="248"/>
      <c r="F22" s="248"/>
      <c r="G22" s="249" t="s">
        <v>692</v>
      </c>
      <c r="H22" s="250"/>
      <c r="I22" s="251" t="s">
        <v>693</v>
      </c>
      <c r="J22" s="252" t="s">
        <v>694</v>
      </c>
      <c r="K22" s="253" t="s">
        <v>695</v>
      </c>
    </row>
    <row r="23" spans="2:11" ht="48" customHeight="1">
      <c r="B23" s="666"/>
      <c r="C23" s="668"/>
      <c r="D23" s="254" t="s">
        <v>696</v>
      </c>
      <c r="E23" s="255" t="s">
        <v>697</v>
      </c>
      <c r="F23" s="256" t="s">
        <v>698</v>
      </c>
      <c r="G23" s="257" t="s">
        <v>699</v>
      </c>
      <c r="H23" s="258" t="s">
        <v>700</v>
      </c>
      <c r="I23" s="259" t="s">
        <v>693</v>
      </c>
      <c r="J23" s="260" t="s">
        <v>694</v>
      </c>
      <c r="K23" s="261" t="s">
        <v>701</v>
      </c>
    </row>
    <row r="24" spans="2:11" ht="91.5" customHeight="1" thickBot="1">
      <c r="B24" s="666"/>
      <c r="C24" s="668"/>
      <c r="D24" s="262" t="s">
        <v>702</v>
      </c>
      <c r="E24" s="263" t="s">
        <v>703</v>
      </c>
      <c r="F24" s="264" t="s">
        <v>704</v>
      </c>
      <c r="G24" s="265" t="s">
        <v>705</v>
      </c>
      <c r="H24" s="266" t="s">
        <v>706</v>
      </c>
      <c r="I24" s="267" t="s">
        <v>707</v>
      </c>
      <c r="J24" s="268" t="s">
        <v>708</v>
      </c>
      <c r="K24" s="269" t="s">
        <v>709</v>
      </c>
    </row>
    <row r="25" spans="2:11" ht="120.75" thickBot="1">
      <c r="B25" s="669" t="s">
        <v>710</v>
      </c>
      <c r="C25" s="270" t="s">
        <v>711</v>
      </c>
      <c r="D25" s="271" t="s">
        <v>712</v>
      </c>
      <c r="E25" s="272" t="s">
        <v>713</v>
      </c>
      <c r="F25" s="273"/>
      <c r="G25" s="274" t="s">
        <v>714</v>
      </c>
      <c r="H25" s="275"/>
      <c r="I25" s="276" t="s">
        <v>715</v>
      </c>
      <c r="J25" s="277" t="s">
        <v>716</v>
      </c>
      <c r="K25" s="278" t="s">
        <v>226</v>
      </c>
    </row>
    <row r="26" spans="2:11" ht="120">
      <c r="B26" s="670"/>
      <c r="C26" s="279" t="s">
        <v>717</v>
      </c>
      <c r="D26" s="280" t="s">
        <v>712</v>
      </c>
      <c r="E26" s="281" t="s">
        <v>718</v>
      </c>
      <c r="F26" s="282"/>
      <c r="G26" s="280" t="s">
        <v>719</v>
      </c>
      <c r="H26" s="283"/>
      <c r="I26" s="284" t="s">
        <v>720</v>
      </c>
      <c r="J26" s="277" t="s">
        <v>716</v>
      </c>
      <c r="K26" s="278" t="s">
        <v>226</v>
      </c>
    </row>
    <row r="27" spans="2:11" ht="15.75" thickBot="1">
      <c r="B27" s="670"/>
      <c r="C27" s="279" t="s">
        <v>721</v>
      </c>
      <c r="D27" s="280" t="s">
        <v>722</v>
      </c>
      <c r="E27" s="281" t="s">
        <v>718</v>
      </c>
      <c r="F27" s="282"/>
      <c r="G27" s="280"/>
      <c r="H27" s="285"/>
      <c r="I27" s="284"/>
      <c r="J27" s="286"/>
      <c r="K27" s="286"/>
    </row>
    <row r="28" spans="2:11" ht="48.75" customHeight="1">
      <c r="B28" s="670"/>
      <c r="C28" s="279" t="s">
        <v>723</v>
      </c>
      <c r="D28" s="280" t="s">
        <v>712</v>
      </c>
      <c r="E28" s="281" t="s">
        <v>718</v>
      </c>
      <c r="F28" s="282"/>
      <c r="G28" s="280" t="s">
        <v>719</v>
      </c>
      <c r="H28" s="283"/>
      <c r="I28" s="284" t="s">
        <v>720</v>
      </c>
      <c r="J28" s="277" t="s">
        <v>716</v>
      </c>
      <c r="K28" s="278" t="s">
        <v>226</v>
      </c>
    </row>
    <row r="29" spans="2:11">
      <c r="B29" s="670"/>
      <c r="C29" s="279" t="s">
        <v>724</v>
      </c>
      <c r="D29" s="280" t="s">
        <v>722</v>
      </c>
      <c r="E29" s="281" t="s">
        <v>718</v>
      </c>
      <c r="F29" s="282"/>
      <c r="G29" s="280"/>
      <c r="H29" s="283"/>
      <c r="I29" s="284"/>
      <c r="J29" s="286"/>
      <c r="K29" s="286"/>
    </row>
    <row r="30" spans="2:11">
      <c r="B30" s="670"/>
      <c r="C30" s="279" t="s">
        <v>725</v>
      </c>
      <c r="D30" s="280" t="s">
        <v>722</v>
      </c>
      <c r="E30" s="281" t="s">
        <v>718</v>
      </c>
      <c r="F30" s="282"/>
      <c r="G30" s="280"/>
      <c r="H30" s="285"/>
      <c r="I30" s="284"/>
      <c r="J30" s="286"/>
      <c r="K30" s="286"/>
    </row>
    <row r="31" spans="2:11">
      <c r="B31" s="670"/>
      <c r="C31" s="279" t="s">
        <v>726</v>
      </c>
      <c r="D31" s="280" t="s">
        <v>722</v>
      </c>
      <c r="E31" s="281" t="s">
        <v>718</v>
      </c>
      <c r="F31" s="282"/>
      <c r="G31" s="280"/>
      <c r="H31" s="285"/>
      <c r="I31" s="284"/>
      <c r="J31" s="286"/>
      <c r="K31" s="286"/>
    </row>
    <row r="32" spans="2:11" ht="15.75" thickBot="1">
      <c r="B32" s="670"/>
      <c r="C32" s="287" t="s">
        <v>727</v>
      </c>
      <c r="D32" s="280" t="s">
        <v>722</v>
      </c>
      <c r="E32" s="281" t="s">
        <v>718</v>
      </c>
      <c r="F32" s="288"/>
      <c r="G32" s="289"/>
      <c r="H32" s="290"/>
      <c r="I32" s="291"/>
      <c r="J32" s="291"/>
      <c r="K32" s="291"/>
    </row>
    <row r="33" spans="2:11">
      <c r="B33" s="642" t="s">
        <v>728</v>
      </c>
      <c r="C33" s="292" t="s">
        <v>729</v>
      </c>
      <c r="D33" s="293"/>
      <c r="E33" s="294"/>
      <c r="F33" s="295"/>
      <c r="G33" s="296"/>
      <c r="H33" s="297"/>
      <c r="I33" s="298"/>
      <c r="J33" s="299"/>
      <c r="K33" s="299"/>
    </row>
    <row r="34" spans="2:11">
      <c r="B34" s="649"/>
      <c r="C34" s="300" t="s">
        <v>730</v>
      </c>
      <c r="D34" s="301"/>
      <c r="E34" s="281"/>
      <c r="F34" s="282"/>
      <c r="G34" s="302"/>
      <c r="H34" s="303"/>
      <c r="I34" s="286"/>
      <c r="J34" s="304"/>
      <c r="K34" s="304"/>
    </row>
    <row r="35" spans="2:11" ht="15.75" thickBot="1">
      <c r="B35" s="650"/>
      <c r="C35" s="305" t="s">
        <v>731</v>
      </c>
      <c r="D35" s="306"/>
      <c r="E35" s="307"/>
      <c r="F35" s="308"/>
      <c r="G35" s="309"/>
      <c r="H35" s="310"/>
      <c r="I35" s="311"/>
      <c r="J35" s="312"/>
      <c r="K35" s="312"/>
    </row>
    <row r="36" spans="2:11" ht="15" customHeight="1">
      <c r="B36" s="642" t="s">
        <v>732</v>
      </c>
      <c r="C36" s="292" t="s">
        <v>733</v>
      </c>
      <c r="D36" s="313"/>
      <c r="E36" s="272"/>
      <c r="F36" s="314"/>
      <c r="G36" s="651" t="s">
        <v>734</v>
      </c>
      <c r="H36" s="652"/>
      <c r="I36" s="631" t="s">
        <v>735</v>
      </c>
      <c r="J36" s="632"/>
      <c r="K36" s="633"/>
    </row>
    <row r="37" spans="2:11">
      <c r="B37" s="644"/>
      <c r="C37" s="300" t="s">
        <v>736</v>
      </c>
      <c r="D37" s="301"/>
      <c r="E37" s="281"/>
      <c r="F37" s="315"/>
      <c r="G37" s="634" t="s">
        <v>734</v>
      </c>
      <c r="H37" s="635"/>
      <c r="I37" s="636" t="s">
        <v>735</v>
      </c>
      <c r="J37" s="637"/>
      <c r="K37" s="638"/>
    </row>
    <row r="38" spans="2:11">
      <c r="B38" s="644"/>
      <c r="C38" s="300" t="s">
        <v>737</v>
      </c>
      <c r="D38" s="301"/>
      <c r="E38" s="281"/>
      <c r="F38" s="315"/>
      <c r="G38" s="280"/>
      <c r="H38" s="283"/>
      <c r="I38" s="316"/>
      <c r="J38" s="281"/>
      <c r="K38" s="282"/>
    </row>
    <row r="39" spans="2:11" ht="15.75" thickBot="1">
      <c r="B39" s="643"/>
      <c r="C39" s="317" t="s">
        <v>738</v>
      </c>
      <c r="D39" s="318"/>
      <c r="E39" s="319"/>
      <c r="F39" s="320"/>
      <c r="G39" s="289"/>
      <c r="H39" s="321"/>
      <c r="I39" s="322"/>
      <c r="J39" s="319"/>
      <c r="K39" s="288"/>
    </row>
    <row r="40" spans="2:11">
      <c r="B40" s="648" t="s">
        <v>739</v>
      </c>
      <c r="C40" s="323" t="s">
        <v>740</v>
      </c>
      <c r="D40" s="296"/>
      <c r="E40" s="294"/>
      <c r="F40" s="295"/>
      <c r="G40" s="296"/>
      <c r="H40" s="297"/>
      <c r="I40" s="324"/>
      <c r="J40" s="299"/>
      <c r="K40" s="299"/>
    </row>
    <row r="41" spans="2:11">
      <c r="B41" s="644"/>
      <c r="C41" s="300" t="s">
        <v>741</v>
      </c>
      <c r="D41" s="280"/>
      <c r="E41" s="281"/>
      <c r="F41" s="282"/>
      <c r="G41" s="280"/>
      <c r="H41" s="283"/>
      <c r="I41" s="284"/>
      <c r="J41" s="304"/>
      <c r="K41" s="304"/>
    </row>
    <row r="42" spans="2:11" ht="15.75" thickBot="1">
      <c r="B42" s="643"/>
      <c r="C42" s="317" t="s">
        <v>742</v>
      </c>
      <c r="D42" s="289"/>
      <c r="E42" s="319"/>
      <c r="F42" s="288"/>
      <c r="G42" s="289"/>
      <c r="H42" s="321"/>
      <c r="I42" s="325"/>
      <c r="J42" s="326"/>
      <c r="K42" s="326"/>
    </row>
    <row r="43" spans="2:11" ht="21.75" thickBot="1">
      <c r="B43" s="327" t="s">
        <v>743</v>
      </c>
      <c r="C43" s="243"/>
      <c r="D43" s="243"/>
      <c r="E43" s="243"/>
      <c r="F43" s="243"/>
      <c r="G43" s="243"/>
      <c r="H43" s="243"/>
      <c r="I43" s="243"/>
      <c r="J43" s="243"/>
      <c r="K43" s="328"/>
    </row>
    <row r="44" spans="2:11" ht="33.75" hidden="1" customHeight="1">
      <c r="B44" s="642" t="s">
        <v>744</v>
      </c>
      <c r="C44" s="292" t="s">
        <v>745</v>
      </c>
      <c r="D44" s="271" t="s">
        <v>722</v>
      </c>
      <c r="E44" s="272" t="s">
        <v>718</v>
      </c>
      <c r="F44" s="273"/>
      <c r="G44" s="271"/>
      <c r="H44" s="329"/>
      <c r="I44" s="330"/>
      <c r="J44" s="277"/>
      <c r="K44" s="331"/>
    </row>
    <row r="45" spans="2:11" ht="33.75" hidden="1" customHeight="1" thickBot="1">
      <c r="B45" s="643"/>
      <c r="C45" s="317" t="s">
        <v>746</v>
      </c>
      <c r="D45" s="332" t="s">
        <v>722</v>
      </c>
      <c r="E45" s="333" t="s">
        <v>718</v>
      </c>
      <c r="F45" s="334"/>
      <c r="G45" s="289"/>
      <c r="H45" s="321"/>
      <c r="I45" s="335"/>
      <c r="J45" s="326"/>
      <c r="K45" s="336"/>
    </row>
    <row r="46" spans="2:11" ht="75.75" hidden="1" customHeight="1" thickBot="1">
      <c r="B46" s="337" t="s">
        <v>747</v>
      </c>
      <c r="C46" s="338" t="s">
        <v>748</v>
      </c>
      <c r="D46" s="339" t="s">
        <v>722</v>
      </c>
      <c r="E46" s="340" t="s">
        <v>718</v>
      </c>
      <c r="F46" s="341"/>
      <c r="G46" s="339"/>
      <c r="H46" s="342"/>
      <c r="I46" s="343"/>
      <c r="J46" s="344"/>
      <c r="K46" s="345"/>
    </row>
    <row r="47" spans="2:11" ht="33.75" hidden="1" customHeight="1">
      <c r="B47" s="642" t="s">
        <v>749</v>
      </c>
      <c r="C47" s="292" t="s">
        <v>750</v>
      </c>
      <c r="D47" s="271" t="s">
        <v>722</v>
      </c>
      <c r="E47" s="272" t="s">
        <v>718</v>
      </c>
      <c r="F47" s="273"/>
      <c r="G47" s="271"/>
      <c r="H47" s="329"/>
      <c r="I47" s="330"/>
      <c r="J47" s="277"/>
      <c r="K47" s="331"/>
    </row>
    <row r="48" spans="2:11" ht="33.75" hidden="1" customHeight="1">
      <c r="B48" s="644"/>
      <c r="C48" s="300" t="s">
        <v>751</v>
      </c>
      <c r="D48" s="296" t="s">
        <v>722</v>
      </c>
      <c r="E48" s="294" t="s">
        <v>718</v>
      </c>
      <c r="F48" s="295"/>
      <c r="G48" s="280"/>
      <c r="H48" s="283"/>
      <c r="I48" s="346"/>
      <c r="J48" s="304"/>
      <c r="K48" s="347"/>
    </row>
    <row r="49" spans="2:12" ht="33.75" hidden="1" customHeight="1">
      <c r="B49" s="644"/>
      <c r="C49" s="300" t="s">
        <v>752</v>
      </c>
      <c r="D49" s="296" t="s">
        <v>722</v>
      </c>
      <c r="E49" s="294" t="s">
        <v>718</v>
      </c>
      <c r="F49" s="295"/>
      <c r="G49" s="280"/>
      <c r="H49" s="283"/>
      <c r="I49" s="346"/>
      <c r="J49" s="304"/>
      <c r="K49" s="347"/>
    </row>
    <row r="50" spans="2:12" ht="33.75" hidden="1" customHeight="1">
      <c r="B50" s="644"/>
      <c r="C50" s="300" t="s">
        <v>753</v>
      </c>
      <c r="D50" s="296" t="s">
        <v>722</v>
      </c>
      <c r="E50" s="294" t="s">
        <v>718</v>
      </c>
      <c r="F50" s="295"/>
      <c r="G50" s="280"/>
      <c r="H50" s="283"/>
      <c r="I50" s="346"/>
      <c r="J50" s="304"/>
      <c r="K50" s="347"/>
    </row>
    <row r="51" spans="2:12" ht="33.75" hidden="1" customHeight="1">
      <c r="B51" s="644"/>
      <c r="C51" s="300" t="s">
        <v>754</v>
      </c>
      <c r="D51" s="296" t="s">
        <v>722</v>
      </c>
      <c r="E51" s="294" t="s">
        <v>718</v>
      </c>
      <c r="F51" s="295"/>
      <c r="G51" s="280"/>
      <c r="H51" s="283"/>
      <c r="I51" s="346"/>
      <c r="J51" s="304"/>
      <c r="K51" s="347"/>
    </row>
    <row r="52" spans="2:12" ht="33.75" hidden="1" customHeight="1" thickBot="1">
      <c r="B52" s="643"/>
      <c r="C52" s="317" t="s">
        <v>755</v>
      </c>
      <c r="D52" s="332" t="s">
        <v>722</v>
      </c>
      <c r="E52" s="333" t="s">
        <v>718</v>
      </c>
      <c r="F52" s="334"/>
      <c r="G52" s="289"/>
      <c r="H52" s="321"/>
      <c r="I52" s="335"/>
      <c r="J52" s="326"/>
      <c r="K52" s="336"/>
    </row>
    <row r="53" spans="2:12" ht="33.75" hidden="1" customHeight="1">
      <c r="B53" s="642" t="s">
        <v>756</v>
      </c>
      <c r="C53" s="292" t="s">
        <v>757</v>
      </c>
      <c r="D53" s="271" t="s">
        <v>722</v>
      </c>
      <c r="E53" s="272" t="s">
        <v>718</v>
      </c>
      <c r="F53" s="273"/>
      <c r="G53" s="271"/>
      <c r="H53" s="329"/>
      <c r="I53" s="330"/>
      <c r="J53" s="277"/>
      <c r="K53" s="331"/>
    </row>
    <row r="54" spans="2:12" ht="33.75" hidden="1" customHeight="1">
      <c r="B54" s="644"/>
      <c r="C54" s="300" t="s">
        <v>758</v>
      </c>
      <c r="D54" s="296" t="s">
        <v>722</v>
      </c>
      <c r="E54" s="294" t="s">
        <v>718</v>
      </c>
      <c r="F54" s="295"/>
      <c r="G54" s="280"/>
      <c r="H54" s="283"/>
      <c r="I54" s="346"/>
      <c r="J54" s="304"/>
      <c r="K54" s="347"/>
    </row>
    <row r="55" spans="2:12" ht="33.75" hidden="1" customHeight="1" thickBot="1">
      <c r="B55" s="643"/>
      <c r="C55" s="317" t="s">
        <v>759</v>
      </c>
      <c r="D55" s="332" t="s">
        <v>722</v>
      </c>
      <c r="E55" s="333" t="s">
        <v>718</v>
      </c>
      <c r="F55" s="334"/>
      <c r="G55" s="289"/>
      <c r="H55" s="321"/>
      <c r="I55" s="335"/>
      <c r="J55" s="326"/>
      <c r="K55" s="336"/>
    </row>
    <row r="56" spans="2:12" ht="45.75" hidden="1" customHeight="1">
      <c r="B56" s="642" t="s">
        <v>760</v>
      </c>
      <c r="C56" s="292" t="s">
        <v>761</v>
      </c>
      <c r="D56" s="271" t="s">
        <v>722</v>
      </c>
      <c r="E56" s="272" t="s">
        <v>718</v>
      </c>
      <c r="F56" s="273"/>
      <c r="G56" s="271"/>
      <c r="H56" s="329"/>
      <c r="I56" s="330"/>
      <c r="J56" s="277"/>
      <c r="K56" s="331"/>
    </row>
    <row r="57" spans="2:12" ht="33.75" hidden="1" customHeight="1">
      <c r="B57" s="644"/>
      <c r="C57" s="300" t="s">
        <v>762</v>
      </c>
      <c r="D57" s="296" t="s">
        <v>722</v>
      </c>
      <c r="E57" s="294" t="s">
        <v>718</v>
      </c>
      <c r="F57" s="295"/>
      <c r="G57" s="280"/>
      <c r="H57" s="283"/>
      <c r="I57" s="346"/>
      <c r="J57" s="304"/>
      <c r="K57" s="347"/>
    </row>
    <row r="58" spans="2:12" ht="33.75" hidden="1" customHeight="1" thickBot="1">
      <c r="B58" s="643"/>
      <c r="C58" s="317" t="s">
        <v>763</v>
      </c>
      <c r="D58" s="332" t="s">
        <v>722</v>
      </c>
      <c r="E58" s="333" t="s">
        <v>718</v>
      </c>
      <c r="F58" s="334"/>
      <c r="G58" s="289"/>
      <c r="H58" s="321"/>
      <c r="I58" s="335"/>
      <c r="J58" s="326"/>
      <c r="K58" s="336"/>
    </row>
    <row r="59" spans="2:12" ht="33.75" hidden="1" customHeight="1">
      <c r="B59" s="642" t="s">
        <v>764</v>
      </c>
      <c r="C59" s="292" t="s">
        <v>765</v>
      </c>
      <c r="D59" s="271" t="s">
        <v>722</v>
      </c>
      <c r="E59" s="272" t="s">
        <v>718</v>
      </c>
      <c r="F59" s="273"/>
      <c r="G59" s="271"/>
      <c r="H59" s="329"/>
      <c r="I59" s="330"/>
      <c r="J59" s="277"/>
      <c r="K59" s="331"/>
    </row>
    <row r="60" spans="2:12" ht="33.75" hidden="1" customHeight="1">
      <c r="B60" s="644"/>
      <c r="C60" s="300" t="s">
        <v>766</v>
      </c>
      <c r="D60" s="296" t="s">
        <v>722</v>
      </c>
      <c r="E60" s="294" t="s">
        <v>718</v>
      </c>
      <c r="F60" s="295"/>
      <c r="G60" s="280"/>
      <c r="H60" s="283"/>
      <c r="I60" s="346"/>
      <c r="J60" s="304"/>
      <c r="K60" s="347"/>
    </row>
    <row r="61" spans="2:12" ht="33.75" hidden="1" customHeight="1" thickBot="1">
      <c r="B61" s="643"/>
      <c r="C61" s="317" t="s">
        <v>767</v>
      </c>
      <c r="D61" s="332" t="s">
        <v>722</v>
      </c>
      <c r="E61" s="319" t="s">
        <v>718</v>
      </c>
      <c r="F61" s="288"/>
      <c r="G61" s="289"/>
      <c r="H61" s="321"/>
      <c r="I61" s="335"/>
      <c r="J61" s="326"/>
      <c r="K61" s="336"/>
    </row>
    <row r="62" spans="2:12" ht="15.75" thickBot="1"/>
    <row r="63" spans="2:12" ht="15.75" thickBot="1">
      <c r="B63" s="348"/>
      <c r="C63" s="349"/>
      <c r="D63" s="349"/>
      <c r="E63" s="349"/>
      <c r="F63" s="349"/>
      <c r="G63" s="349"/>
      <c r="H63" s="349"/>
      <c r="I63" s="349"/>
      <c r="J63" s="349"/>
      <c r="K63" s="349"/>
      <c r="L63" s="350"/>
    </row>
    <row r="64" spans="2:12" ht="15.75" thickBot="1">
      <c r="B64" s="645" t="s">
        <v>768</v>
      </c>
      <c r="C64" s="646"/>
      <c r="D64" s="646"/>
      <c r="E64" s="646"/>
      <c r="F64" s="646"/>
      <c r="G64" s="646"/>
      <c r="H64" s="646"/>
      <c r="I64" s="646"/>
      <c r="J64" s="647"/>
      <c r="K64" s="351"/>
      <c r="L64" s="352"/>
    </row>
    <row r="65" spans="2:12" ht="15.75" thickBot="1">
      <c r="B65" s="353"/>
      <c r="C65" s="354"/>
      <c r="D65" s="354"/>
      <c r="E65" s="354"/>
      <c r="F65" s="354"/>
      <c r="G65" s="354"/>
      <c r="H65" s="351"/>
      <c r="I65" s="351"/>
      <c r="J65" s="351"/>
      <c r="K65" s="351"/>
      <c r="L65" s="352"/>
    </row>
    <row r="66" spans="2:12" ht="15.75" hidden="1" customHeight="1" thickBot="1">
      <c r="B66" s="238"/>
      <c r="C66" s="238"/>
      <c r="E66" s="245"/>
      <c r="F66" s="245"/>
      <c r="G66" s="245"/>
      <c r="H66" s="355"/>
      <c r="I66" s="355"/>
      <c r="J66" s="355"/>
      <c r="K66" s="245"/>
      <c r="L66" s="245"/>
    </row>
    <row r="67" spans="2:12" ht="15.75" hidden="1" customHeight="1" thickBot="1">
      <c r="B67" s="356" t="s">
        <v>769</v>
      </c>
      <c r="C67" s="356" t="s">
        <v>770</v>
      </c>
      <c r="D67" s="356" t="s">
        <v>771</v>
      </c>
      <c r="E67" s="242"/>
      <c r="F67" s="357"/>
      <c r="G67" s="357"/>
      <c r="H67" s="358"/>
      <c r="I67" s="358"/>
      <c r="J67" s="358"/>
      <c r="K67" s="358"/>
      <c r="L67" s="242"/>
    </row>
    <row r="68" spans="2:12" ht="15" hidden="1" customHeight="1">
      <c r="B68" s="359" t="s">
        <v>712</v>
      </c>
      <c r="C68" s="359" t="s">
        <v>713</v>
      </c>
      <c r="D68" s="359" t="s">
        <v>711</v>
      </c>
      <c r="E68" s="232"/>
      <c r="F68" s="360"/>
      <c r="G68" s="360"/>
      <c r="H68" s="360"/>
      <c r="I68" s="360"/>
      <c r="J68" s="360"/>
      <c r="K68" s="360"/>
    </row>
    <row r="69" spans="2:12" ht="15" hidden="1" customHeight="1">
      <c r="B69" s="361" t="s">
        <v>722</v>
      </c>
      <c r="C69" s="361" t="s">
        <v>718</v>
      </c>
      <c r="D69" s="361" t="s">
        <v>717</v>
      </c>
      <c r="E69" s="232"/>
      <c r="F69" s="360"/>
      <c r="G69" s="360"/>
      <c r="H69" s="360"/>
      <c r="I69" s="360"/>
      <c r="J69" s="360"/>
      <c r="K69" s="360"/>
    </row>
    <row r="70" spans="2:12" ht="15" hidden="1" customHeight="1">
      <c r="C70" s="361" t="s">
        <v>772</v>
      </c>
      <c r="D70" s="361" t="s">
        <v>721</v>
      </c>
      <c r="E70" s="232"/>
      <c r="F70" s="360"/>
      <c r="G70" s="360"/>
      <c r="H70" s="360"/>
      <c r="I70" s="360"/>
      <c r="J70" s="360"/>
      <c r="K70" s="360"/>
    </row>
    <row r="71" spans="2:12" ht="15" hidden="1" customHeight="1">
      <c r="C71" s="361" t="s">
        <v>773</v>
      </c>
      <c r="D71" s="361" t="s">
        <v>723</v>
      </c>
      <c r="E71" s="232"/>
      <c r="F71" s="360"/>
      <c r="G71" s="360"/>
      <c r="H71" s="360"/>
      <c r="I71" s="360"/>
      <c r="J71" s="360"/>
      <c r="K71" s="360"/>
    </row>
    <row r="72" spans="2:12" ht="15" hidden="1" customHeight="1">
      <c r="C72" s="361" t="s">
        <v>774</v>
      </c>
      <c r="D72" s="361" t="s">
        <v>724</v>
      </c>
      <c r="E72" s="232"/>
      <c r="F72" s="360"/>
      <c r="G72" s="360"/>
      <c r="H72" s="360"/>
      <c r="I72" s="360"/>
      <c r="J72" s="360"/>
      <c r="K72" s="360"/>
    </row>
    <row r="73" spans="2:12" ht="15" hidden="1" customHeight="1">
      <c r="D73" s="361" t="s">
        <v>775</v>
      </c>
      <c r="E73" s="232"/>
      <c r="F73" s="360"/>
      <c r="G73" s="360"/>
      <c r="H73" s="360"/>
      <c r="I73" s="360"/>
      <c r="J73" s="360"/>
      <c r="K73" s="360"/>
    </row>
    <row r="74" spans="2:12" ht="15" hidden="1" customHeight="1">
      <c r="D74" s="361" t="s">
        <v>726</v>
      </c>
      <c r="E74" s="232"/>
      <c r="F74" s="360"/>
      <c r="G74" s="360"/>
      <c r="H74" s="360"/>
      <c r="I74" s="360"/>
      <c r="J74" s="360"/>
      <c r="K74" s="360"/>
    </row>
    <row r="75" spans="2:12" ht="15" hidden="1" customHeight="1">
      <c r="D75" s="361" t="s">
        <v>727</v>
      </c>
      <c r="E75" s="232"/>
      <c r="F75" s="360"/>
      <c r="G75" s="360"/>
      <c r="H75" s="360"/>
      <c r="I75" s="360"/>
      <c r="J75" s="360"/>
      <c r="K75" s="360"/>
    </row>
    <row r="76" spans="2:12" ht="15" hidden="1" customHeight="1">
      <c r="D76" s="361" t="s">
        <v>729</v>
      </c>
      <c r="E76" s="232"/>
      <c r="F76" s="360"/>
      <c r="G76" s="360"/>
      <c r="H76" s="360"/>
      <c r="I76" s="360"/>
      <c r="J76" s="360"/>
      <c r="K76" s="360"/>
    </row>
    <row r="77" spans="2:12" ht="15" hidden="1" customHeight="1">
      <c r="D77" s="361" t="s">
        <v>730</v>
      </c>
      <c r="E77" s="232"/>
      <c r="F77" s="360"/>
      <c r="G77" s="360"/>
      <c r="H77" s="360"/>
      <c r="I77" s="360"/>
      <c r="J77" s="360"/>
      <c r="K77" s="360"/>
    </row>
    <row r="78" spans="2:12" ht="15" hidden="1" customHeight="1">
      <c r="D78" s="361" t="s">
        <v>731</v>
      </c>
      <c r="E78" s="232"/>
      <c r="F78" s="360"/>
      <c r="G78" s="360"/>
      <c r="H78" s="360"/>
      <c r="I78" s="360"/>
      <c r="J78" s="360"/>
      <c r="K78" s="360"/>
    </row>
    <row r="79" spans="2:12" ht="15" hidden="1" customHeight="1">
      <c r="D79" s="361" t="s">
        <v>776</v>
      </c>
      <c r="E79" s="232"/>
      <c r="F79" s="360"/>
      <c r="G79" s="360"/>
      <c r="H79" s="360"/>
      <c r="I79" s="360"/>
      <c r="J79" s="360"/>
      <c r="K79" s="360"/>
    </row>
    <row r="80" spans="2:12" ht="15" hidden="1" customHeight="1">
      <c r="D80" s="361" t="s">
        <v>777</v>
      </c>
      <c r="E80" s="232"/>
      <c r="F80" s="360"/>
      <c r="G80" s="360"/>
      <c r="H80" s="360"/>
      <c r="I80" s="360"/>
      <c r="J80" s="360"/>
      <c r="K80" s="360"/>
    </row>
    <row r="81" spans="4:11" ht="15" hidden="1" customHeight="1">
      <c r="D81" s="361" t="s">
        <v>778</v>
      </c>
      <c r="E81" s="232"/>
      <c r="F81" s="360"/>
      <c r="G81" s="360"/>
      <c r="H81" s="360"/>
      <c r="I81" s="360"/>
      <c r="J81" s="360"/>
      <c r="K81" s="360"/>
    </row>
    <row r="82" spans="4:11" ht="15" hidden="1" customHeight="1">
      <c r="D82" s="361" t="s">
        <v>779</v>
      </c>
      <c r="E82" s="232"/>
      <c r="F82" s="360"/>
      <c r="G82" s="360"/>
      <c r="H82" s="360"/>
      <c r="I82" s="360"/>
      <c r="J82" s="360"/>
      <c r="K82" s="360"/>
    </row>
    <row r="83" spans="4:11" ht="15" hidden="1" customHeight="1">
      <c r="D83" s="361" t="s">
        <v>780</v>
      </c>
      <c r="E83" s="232"/>
      <c r="F83" s="360"/>
      <c r="G83" s="360"/>
      <c r="H83" s="360"/>
      <c r="I83" s="360"/>
      <c r="J83" s="360"/>
      <c r="K83" s="360"/>
    </row>
    <row r="84" spans="4:11" ht="15" hidden="1" customHeight="1">
      <c r="D84" s="361" t="s">
        <v>738</v>
      </c>
      <c r="E84" s="232"/>
      <c r="F84" s="360"/>
      <c r="G84" s="360"/>
      <c r="H84" s="360"/>
      <c r="I84" s="360"/>
      <c r="J84" s="360"/>
      <c r="K84" s="360"/>
    </row>
    <row r="85" spans="4:11" ht="15" hidden="1" customHeight="1">
      <c r="D85" s="361" t="s">
        <v>740</v>
      </c>
      <c r="E85" s="232"/>
      <c r="F85" s="360"/>
      <c r="G85" s="360"/>
      <c r="H85" s="360"/>
      <c r="I85" s="360"/>
      <c r="J85" s="360"/>
      <c r="K85" s="360"/>
    </row>
    <row r="86" spans="4:11" ht="15" hidden="1" customHeight="1">
      <c r="D86" s="361" t="s">
        <v>741</v>
      </c>
      <c r="E86" s="232"/>
      <c r="F86" s="360"/>
      <c r="G86" s="360"/>
      <c r="H86" s="360"/>
      <c r="I86" s="360"/>
      <c r="J86" s="360"/>
      <c r="K86" s="360"/>
    </row>
    <row r="87" spans="4:11" ht="15" hidden="1" customHeight="1">
      <c r="D87" s="361" t="s">
        <v>781</v>
      </c>
      <c r="E87" s="232"/>
      <c r="F87" s="360"/>
      <c r="G87" s="360"/>
      <c r="H87" s="360"/>
      <c r="I87" s="360"/>
      <c r="J87" s="360"/>
      <c r="K87" s="360"/>
    </row>
    <row r="88" spans="4:11" ht="15" hidden="1" customHeight="1">
      <c r="D88" s="361" t="s">
        <v>745</v>
      </c>
      <c r="E88" s="232"/>
      <c r="F88" s="360"/>
      <c r="G88" s="360"/>
      <c r="H88" s="360"/>
      <c r="I88" s="360"/>
      <c r="J88" s="360"/>
      <c r="K88" s="360"/>
    </row>
    <row r="89" spans="4:11" ht="15" hidden="1" customHeight="1">
      <c r="D89" s="361" t="s">
        <v>746</v>
      </c>
      <c r="E89" s="232"/>
      <c r="F89" s="360"/>
      <c r="G89" s="360"/>
      <c r="H89" s="360"/>
      <c r="I89" s="360"/>
      <c r="J89" s="360"/>
      <c r="K89" s="360"/>
    </row>
    <row r="90" spans="4:11" ht="15" hidden="1" customHeight="1">
      <c r="D90" s="361" t="s">
        <v>748</v>
      </c>
      <c r="E90" s="232"/>
      <c r="F90" s="360"/>
      <c r="G90" s="360"/>
      <c r="H90" s="360"/>
      <c r="I90" s="360"/>
      <c r="J90" s="360"/>
      <c r="K90" s="360"/>
    </row>
    <row r="91" spans="4:11" ht="15" hidden="1" customHeight="1">
      <c r="D91" s="361" t="s">
        <v>750</v>
      </c>
      <c r="E91" s="232"/>
      <c r="F91" s="232"/>
      <c r="G91" s="232"/>
      <c r="H91" s="232"/>
      <c r="I91" s="232"/>
      <c r="J91" s="232"/>
      <c r="K91" s="232"/>
    </row>
    <row r="92" spans="4:11" ht="15" hidden="1" customHeight="1">
      <c r="D92" s="361" t="s">
        <v>751</v>
      </c>
      <c r="E92" s="232"/>
      <c r="G92" s="232"/>
      <c r="H92" s="232"/>
      <c r="I92" s="232"/>
      <c r="J92" s="232"/>
      <c r="K92" s="232"/>
    </row>
    <row r="93" spans="4:11" ht="15" hidden="1" customHeight="1">
      <c r="D93" s="361" t="s">
        <v>752</v>
      </c>
      <c r="E93" s="232"/>
      <c r="G93" s="232"/>
      <c r="H93" s="232"/>
      <c r="I93" s="232"/>
      <c r="J93" s="232"/>
      <c r="K93" s="232"/>
    </row>
    <row r="94" spans="4:11" ht="15" hidden="1" customHeight="1">
      <c r="D94" s="361" t="s">
        <v>753</v>
      </c>
      <c r="E94" s="232"/>
      <c r="G94" s="232"/>
      <c r="H94" s="232"/>
      <c r="I94" s="232"/>
      <c r="J94" s="232"/>
      <c r="K94" s="232"/>
    </row>
    <row r="95" spans="4:11" ht="15" hidden="1" customHeight="1">
      <c r="D95" s="361" t="s">
        <v>754</v>
      </c>
      <c r="E95" s="232"/>
      <c r="G95" s="232"/>
      <c r="H95" s="232"/>
      <c r="I95" s="232"/>
      <c r="J95" s="362"/>
      <c r="K95" s="245"/>
    </row>
    <row r="96" spans="4:11" ht="15" hidden="1" customHeight="1">
      <c r="D96" s="361" t="s">
        <v>755</v>
      </c>
      <c r="E96" s="232"/>
      <c r="G96" s="232"/>
      <c r="H96" s="232"/>
      <c r="I96" s="232"/>
      <c r="J96" s="362"/>
      <c r="K96" s="245"/>
    </row>
    <row r="97" spans="3:11" ht="15" hidden="1" customHeight="1">
      <c r="D97" s="361" t="s">
        <v>757</v>
      </c>
      <c r="E97" s="232"/>
      <c r="G97" s="232"/>
      <c r="H97" s="232"/>
      <c r="I97" s="232"/>
      <c r="J97" s="362"/>
      <c r="K97" s="245"/>
    </row>
    <row r="98" spans="3:11" ht="15" hidden="1" customHeight="1">
      <c r="D98" s="361" t="s">
        <v>758</v>
      </c>
      <c r="E98" s="232"/>
      <c r="G98" s="232"/>
      <c r="H98" s="232"/>
      <c r="I98" s="232"/>
      <c r="J98" s="362"/>
      <c r="K98" s="245"/>
    </row>
    <row r="99" spans="3:11" ht="15" hidden="1" customHeight="1">
      <c r="D99" s="361" t="s">
        <v>759</v>
      </c>
      <c r="E99" s="232"/>
      <c r="G99" s="232"/>
      <c r="H99" s="232"/>
      <c r="I99" s="232"/>
      <c r="J99" s="362"/>
      <c r="K99" s="245"/>
    </row>
    <row r="100" spans="3:11" ht="15" hidden="1" customHeight="1">
      <c r="D100" s="361" t="s">
        <v>782</v>
      </c>
      <c r="E100" s="232"/>
      <c r="G100" s="232"/>
      <c r="H100" s="232"/>
      <c r="I100" s="232"/>
      <c r="J100" s="362"/>
      <c r="K100" s="245"/>
    </row>
    <row r="101" spans="3:11" ht="15" hidden="1" customHeight="1">
      <c r="D101" s="361" t="s">
        <v>783</v>
      </c>
      <c r="E101" s="232"/>
      <c r="G101" s="232"/>
      <c r="H101" s="232"/>
      <c r="I101" s="232"/>
      <c r="J101" s="362"/>
      <c r="K101" s="245"/>
    </row>
    <row r="102" spans="3:11" ht="15" hidden="1" customHeight="1">
      <c r="D102" s="361" t="s">
        <v>784</v>
      </c>
      <c r="E102" s="232"/>
      <c r="G102" s="232"/>
      <c r="H102" s="232"/>
      <c r="I102" s="232"/>
      <c r="J102" s="362"/>
      <c r="K102" s="245"/>
    </row>
    <row r="103" spans="3:11" ht="15" hidden="1" customHeight="1">
      <c r="D103" s="361" t="s">
        <v>765</v>
      </c>
      <c r="E103" s="232"/>
      <c r="G103" s="232"/>
      <c r="H103" s="232"/>
      <c r="I103" s="232"/>
      <c r="J103" s="362"/>
      <c r="K103" s="245"/>
    </row>
    <row r="104" spans="3:11" ht="15" hidden="1" customHeight="1">
      <c r="D104" s="361" t="s">
        <v>766</v>
      </c>
      <c r="E104" s="232"/>
      <c r="G104" s="232"/>
      <c r="H104" s="232"/>
      <c r="I104" s="232"/>
      <c r="J104" s="362"/>
      <c r="K104" s="245"/>
    </row>
    <row r="105" spans="3:11" ht="15.75" hidden="1" customHeight="1" thickBot="1">
      <c r="D105" s="363" t="s">
        <v>767</v>
      </c>
      <c r="E105" s="232"/>
      <c r="G105" s="232"/>
      <c r="H105" s="232"/>
      <c r="I105" s="232"/>
      <c r="J105" s="362"/>
      <c r="K105" s="245"/>
    </row>
    <row r="106" spans="3:11" ht="15" hidden="1" customHeight="1">
      <c r="C106" s="639" t="s">
        <v>785</v>
      </c>
      <c r="D106" s="364" t="s">
        <v>786</v>
      </c>
      <c r="E106" s="232"/>
      <c r="G106" s="232"/>
      <c r="H106" s="232"/>
      <c r="I106" s="232"/>
      <c r="J106" s="362"/>
      <c r="K106" s="245"/>
    </row>
    <row r="107" spans="3:11" ht="15" hidden="1" customHeight="1">
      <c r="C107" s="640"/>
      <c r="D107" s="365" t="s">
        <v>786</v>
      </c>
      <c r="E107" s="232"/>
      <c r="G107" s="232"/>
      <c r="H107" s="232"/>
      <c r="I107" s="232"/>
      <c r="J107" s="362"/>
      <c r="K107" s="245"/>
    </row>
    <row r="108" spans="3:11" ht="15" hidden="1" customHeight="1">
      <c r="C108" s="640"/>
      <c r="D108" s="365" t="s">
        <v>786</v>
      </c>
      <c r="E108" s="232"/>
      <c r="G108" s="232"/>
      <c r="H108" s="232"/>
      <c r="I108" s="232"/>
      <c r="J108" s="362"/>
      <c r="K108" s="245"/>
    </row>
    <row r="109" spans="3:11" ht="15" hidden="1" customHeight="1">
      <c r="C109" s="640"/>
      <c r="D109" s="365" t="s">
        <v>786</v>
      </c>
      <c r="E109" s="232"/>
      <c r="G109" s="232"/>
      <c r="H109" s="232"/>
      <c r="I109" s="232"/>
      <c r="J109" s="362"/>
      <c r="K109" s="245"/>
    </row>
    <row r="110" spans="3:11" ht="15.75" hidden="1" customHeight="1" thickBot="1">
      <c r="C110" s="641"/>
      <c r="D110" s="366" t="s">
        <v>786</v>
      </c>
      <c r="E110" s="232"/>
      <c r="G110" s="232"/>
      <c r="H110" s="232"/>
      <c r="I110" s="232"/>
      <c r="J110" s="362"/>
      <c r="K110" s="245"/>
    </row>
    <row r="111" spans="3:11">
      <c r="E111" s="232"/>
      <c r="G111" s="232"/>
      <c r="H111" s="232"/>
      <c r="I111" s="232"/>
      <c r="J111" s="362"/>
      <c r="K111" s="245"/>
    </row>
    <row r="112" spans="3:11">
      <c r="E112" s="232"/>
      <c r="G112" s="232"/>
      <c r="H112" s="232"/>
      <c r="I112" s="232"/>
      <c r="J112" s="362"/>
      <c r="K112" s="245"/>
    </row>
    <row r="113" spans="5:11">
      <c r="E113" s="232"/>
      <c r="G113" s="232"/>
      <c r="H113" s="232"/>
      <c r="I113" s="232"/>
      <c r="J113" s="362"/>
      <c r="K113" s="245"/>
    </row>
    <row r="114" spans="5:11">
      <c r="E114" s="232"/>
      <c r="G114" s="232"/>
      <c r="H114" s="232"/>
      <c r="I114" s="232"/>
      <c r="J114" s="362"/>
      <c r="K114" s="245"/>
    </row>
    <row r="115" spans="5:11">
      <c r="E115" s="232"/>
      <c r="G115" s="232"/>
      <c r="H115" s="232"/>
      <c r="I115" s="232"/>
      <c r="J115" s="362"/>
      <c r="K115" s="245"/>
    </row>
    <row r="116" spans="5:11">
      <c r="E116" s="232"/>
      <c r="G116" s="232"/>
      <c r="H116" s="232"/>
      <c r="I116" s="232"/>
      <c r="J116" s="362"/>
      <c r="K116" s="245"/>
    </row>
    <row r="117" spans="5:11">
      <c r="E117" s="232"/>
      <c r="G117" s="232"/>
      <c r="H117" s="232"/>
      <c r="I117" s="232"/>
      <c r="J117" s="362"/>
      <c r="K117" s="245"/>
    </row>
    <row r="118" spans="5:11">
      <c r="E118" s="232"/>
      <c r="G118" s="232"/>
      <c r="H118" s="232"/>
      <c r="I118" s="232"/>
      <c r="J118" s="362"/>
      <c r="K118" s="245"/>
    </row>
    <row r="119" spans="5:11">
      <c r="E119" s="232"/>
      <c r="G119" s="232"/>
      <c r="H119" s="232"/>
      <c r="I119" s="232"/>
      <c r="J119" s="362"/>
      <c r="K119" s="245"/>
    </row>
    <row r="120" spans="5:11">
      <c r="E120" s="232"/>
      <c r="G120" s="232"/>
      <c r="H120" s="232"/>
      <c r="I120" s="232"/>
      <c r="J120" s="362"/>
      <c r="K120" s="245"/>
    </row>
    <row r="121" spans="5:11">
      <c r="E121" s="232"/>
      <c r="G121" s="232"/>
      <c r="H121" s="232"/>
      <c r="I121" s="232"/>
      <c r="J121" s="362"/>
      <c r="K121" s="245"/>
    </row>
    <row r="122" spans="5:11">
      <c r="E122" s="232"/>
      <c r="G122" s="232"/>
      <c r="H122" s="232"/>
      <c r="I122" s="232"/>
      <c r="J122" s="362"/>
      <c r="K122" s="245"/>
    </row>
    <row r="123" spans="5:11">
      <c r="E123" s="232"/>
      <c r="G123" s="232"/>
      <c r="H123" s="232"/>
      <c r="I123" s="232"/>
      <c r="J123" s="362"/>
      <c r="K123" s="245"/>
    </row>
    <row r="124" spans="5:11">
      <c r="E124" s="232"/>
      <c r="G124" s="232"/>
      <c r="H124" s="232"/>
      <c r="I124" s="232"/>
      <c r="J124" s="362"/>
      <c r="K124" s="245"/>
    </row>
    <row r="125" spans="5:11">
      <c r="E125" s="232"/>
      <c r="G125" s="232"/>
      <c r="H125" s="232"/>
      <c r="I125" s="232"/>
      <c r="J125" s="362"/>
      <c r="K125" s="245"/>
    </row>
    <row r="126" spans="5:11">
      <c r="E126" s="232"/>
      <c r="G126" s="232"/>
      <c r="H126" s="232"/>
      <c r="I126" s="232"/>
      <c r="J126" s="362"/>
      <c r="K126" s="245"/>
    </row>
    <row r="127" spans="5:11">
      <c r="E127" s="232"/>
      <c r="G127" s="232"/>
      <c r="H127" s="232"/>
      <c r="I127" s="232"/>
      <c r="J127" s="362"/>
      <c r="K127" s="245"/>
    </row>
    <row r="128" spans="5:11">
      <c r="E128" s="232"/>
      <c r="G128" s="232"/>
      <c r="H128" s="232"/>
      <c r="I128" s="232"/>
      <c r="J128" s="362"/>
      <c r="K128" s="245"/>
    </row>
    <row r="129" spans="5:11">
      <c r="E129" s="232"/>
      <c r="G129" s="232"/>
      <c r="H129" s="232"/>
      <c r="I129" s="232"/>
      <c r="J129" s="362"/>
      <c r="K129" s="232"/>
    </row>
    <row r="130" spans="5:11">
      <c r="E130" s="232"/>
      <c r="G130" s="232"/>
      <c r="H130" s="232"/>
      <c r="I130" s="232"/>
      <c r="J130" s="362"/>
      <c r="K130" s="232"/>
    </row>
    <row r="131" spans="5:11">
      <c r="E131" s="232"/>
      <c r="G131" s="232"/>
      <c r="H131" s="232"/>
      <c r="I131" s="232"/>
      <c r="J131" s="362"/>
      <c r="K131" s="232"/>
    </row>
    <row r="132" spans="5:11">
      <c r="E132" s="232"/>
      <c r="G132" s="232"/>
      <c r="H132" s="232"/>
      <c r="I132" s="232"/>
      <c r="J132" s="362"/>
      <c r="K132" s="232"/>
    </row>
    <row r="133" spans="5:11">
      <c r="E133" s="232"/>
      <c r="F133" s="232"/>
      <c r="G133" s="232"/>
      <c r="H133" s="232"/>
      <c r="I133" s="232"/>
      <c r="J133" s="245"/>
      <c r="K133" s="232"/>
    </row>
    <row r="134" spans="5:11">
      <c r="E134" s="232"/>
      <c r="F134" s="232"/>
      <c r="G134" s="232"/>
      <c r="H134" s="232"/>
      <c r="I134" s="232"/>
      <c r="J134" s="232"/>
      <c r="K134" s="232"/>
    </row>
    <row r="135" spans="5:11">
      <c r="E135" s="232"/>
      <c r="F135" s="232"/>
      <c r="G135" s="232"/>
      <c r="H135" s="232"/>
      <c r="I135" s="232"/>
      <c r="J135" s="232"/>
      <c r="K135" s="232"/>
    </row>
    <row r="136" spans="5:11">
      <c r="E136" s="232"/>
      <c r="F136" s="232"/>
      <c r="G136" s="232"/>
      <c r="H136" s="232"/>
      <c r="I136" s="232"/>
      <c r="J136" s="232"/>
      <c r="K136" s="232"/>
    </row>
    <row r="137" spans="5:11">
      <c r="E137" s="232"/>
      <c r="F137" s="232"/>
      <c r="G137" s="232"/>
      <c r="H137" s="232"/>
      <c r="I137" s="232"/>
      <c r="J137" s="232"/>
      <c r="K137" s="232"/>
    </row>
    <row r="138" spans="5:11">
      <c r="E138" s="232"/>
      <c r="F138" s="232"/>
      <c r="G138" s="232"/>
      <c r="H138" s="232"/>
      <c r="I138" s="232"/>
      <c r="J138" s="232"/>
      <c r="K138" s="232"/>
    </row>
    <row r="139" spans="5:11">
      <c r="E139" s="232"/>
      <c r="F139" s="232"/>
      <c r="G139" s="232"/>
      <c r="H139" s="232"/>
      <c r="I139" s="232"/>
      <c r="J139" s="232"/>
      <c r="K139" s="232"/>
    </row>
    <row r="140" spans="5:11">
      <c r="E140" s="232"/>
      <c r="F140" s="232"/>
      <c r="G140" s="232"/>
      <c r="H140" s="232"/>
      <c r="I140" s="232"/>
      <c r="J140" s="232"/>
      <c r="K140" s="232"/>
    </row>
    <row r="141" spans="5:11">
      <c r="E141" s="232"/>
      <c r="F141" s="232"/>
      <c r="G141" s="232"/>
      <c r="H141" s="232"/>
      <c r="I141" s="232"/>
      <c r="J141" s="232"/>
      <c r="K141" s="232"/>
    </row>
    <row r="142" spans="5:11">
      <c r="E142" s="232"/>
      <c r="F142" s="232"/>
      <c r="G142" s="232"/>
      <c r="H142" s="232"/>
      <c r="I142" s="232"/>
      <c r="J142" s="232"/>
      <c r="K142" s="232"/>
    </row>
    <row r="143" spans="5:11">
      <c r="E143" s="232"/>
      <c r="F143" s="232"/>
      <c r="G143" s="232"/>
      <c r="H143" s="232"/>
      <c r="I143" s="232"/>
      <c r="J143" s="232"/>
      <c r="K143" s="232"/>
    </row>
    <row r="144" spans="5:11">
      <c r="E144" s="232"/>
      <c r="F144" s="232"/>
      <c r="G144" s="232"/>
      <c r="H144" s="232"/>
      <c r="I144" s="232"/>
      <c r="J144" s="232"/>
      <c r="K144" s="232"/>
    </row>
    <row r="145" spans="5:11">
      <c r="E145" s="232"/>
      <c r="F145" s="232"/>
      <c r="G145" s="232"/>
      <c r="H145" s="232"/>
      <c r="I145" s="232"/>
      <c r="J145" s="232"/>
      <c r="K145" s="232"/>
    </row>
    <row r="146" spans="5:11">
      <c r="E146" s="232"/>
      <c r="F146" s="232"/>
      <c r="G146" s="232"/>
      <c r="H146" s="232"/>
      <c r="I146" s="232"/>
      <c r="J146" s="232"/>
      <c r="K146" s="232"/>
    </row>
    <row r="147" spans="5:11">
      <c r="E147" s="232"/>
      <c r="F147" s="232"/>
      <c r="G147" s="232"/>
      <c r="H147" s="232"/>
      <c r="I147" s="232"/>
      <c r="J147" s="232"/>
      <c r="K147" s="232"/>
    </row>
  </sheetData>
  <mergeCells count="19">
    <mergeCell ref="B33:B35"/>
    <mergeCell ref="B36:B39"/>
    <mergeCell ref="G36:H36"/>
    <mergeCell ref="B4:E4"/>
    <mergeCell ref="B7:H18"/>
    <mergeCell ref="B22:B24"/>
    <mergeCell ref="C22:C24"/>
    <mergeCell ref="B25:B32"/>
    <mergeCell ref="I36:K36"/>
    <mergeCell ref="G37:H37"/>
    <mergeCell ref="I37:K37"/>
    <mergeCell ref="C106:C110"/>
    <mergeCell ref="B44:B45"/>
    <mergeCell ref="B47:B52"/>
    <mergeCell ref="B53:B55"/>
    <mergeCell ref="B56:B58"/>
    <mergeCell ref="B59:B61"/>
    <mergeCell ref="B64:J64"/>
    <mergeCell ref="B40:B42"/>
  </mergeCells>
  <conditionalFormatting sqref="F44:J61 H25:H35 G25:G42 I25:I42 H38:H42 J38:K42 J25:J35">
    <cfRule type="expression" dxfId="3" priority="4">
      <formula>$D25&lt;&gt;"Yes"</formula>
    </cfRule>
  </conditionalFormatting>
  <conditionalFormatting sqref="F25:F42">
    <cfRule type="expression" dxfId="2" priority="3">
      <formula>$E25&lt;&gt;"Captured in another element"</formula>
    </cfRule>
  </conditionalFormatting>
  <conditionalFormatting sqref="F44:F61">
    <cfRule type="expression" dxfId="1" priority="2">
      <formula>$E44="Captured in another element"</formula>
    </cfRule>
  </conditionalFormatting>
  <conditionalFormatting sqref="K25:K35">
    <cfRule type="expression" dxfId="0" priority="1">
      <formula>$D25&lt;&gt;"Yes"</formula>
    </cfRule>
  </conditionalFormatting>
  <dataValidations count="3">
    <dataValidation type="list" allowBlank="1" showInputMessage="1" showErrorMessage="1" sqref="D44:D61 D25:D42">
      <formula1>Inclusion</formula1>
    </dataValidation>
    <dataValidation type="list" allowBlank="1" showInputMessage="1" showErrorMessage="1" sqref="E44:E61 E25:E42">
      <formula1>Justification</formula1>
    </dataValidation>
    <dataValidation type="list" allowBlank="1" showInputMessage="1" showErrorMessage="1" sqref="F44:F61 F25:F42">
      <formula1>Elements</formula1>
    </dataValidation>
  </dataValidations>
  <hyperlinks>
    <hyperlink ref="L39:M39" r:id="rId1" location="Constants!A1" display="NWPPC Prototype Inputs"/>
    <hyperlink ref="L40:M40" r:id="rId2" location="Constants!A1" display="NWPPC Prototype Inputs"/>
    <hyperlink ref="L41" r:id="rId3" location="Constants!A1" display="NWPPC Prototype Inputs"/>
    <hyperlink ref="L42" r:id="rId4" location="Constants!A1" display="NWPPC Prototype Inputs"/>
    <hyperlink ref="L43" r:id="rId5" location="Constants!A1" display="NWPPC Prototype Inputs"/>
    <hyperlink ref="K25" r:id="rId6"/>
    <hyperlink ref="K26" r:id="rId7"/>
    <hyperlink ref="K28" r:id="rId8"/>
  </hyperlinks>
  <pageMargins left="0.7" right="0.7" top="0.75" bottom="0.75" header="0.3" footer="0.3"/>
  <pageSetup orientation="portrait" r:id="rId9"/>
</worksheet>
</file>

<file path=xl/worksheets/sheet12.xml><?xml version="1.0" encoding="utf-8"?>
<worksheet xmlns="http://schemas.openxmlformats.org/spreadsheetml/2006/main" xmlns:r="http://schemas.openxmlformats.org/officeDocument/2006/relationships">
  <sheetPr codeName="Sheet7"/>
  <dimension ref="A1:BM34"/>
  <sheetViews>
    <sheetView topLeftCell="R1" workbookViewId="0">
      <selection activeCell="H23" activeCellId="1" sqref="A20:XFD20 A23:XFD23"/>
    </sheetView>
  </sheetViews>
  <sheetFormatPr defaultRowHeight="12.75"/>
  <cols>
    <col min="1" max="6" width="9.140625" style="34"/>
    <col min="7" max="7" width="67.5703125" style="34" customWidth="1"/>
    <col min="8" max="8" width="33.85546875" style="34" customWidth="1"/>
    <col min="9" max="12" width="9.140625" style="34"/>
    <col min="13" max="14" width="8.7109375" style="34" customWidth="1"/>
    <col min="15" max="22" width="9.140625" style="34"/>
    <col min="23" max="23" width="8.7109375" style="34" customWidth="1"/>
    <col min="24" max="40" width="9.140625" style="34"/>
    <col min="41" max="41" width="54" style="34" customWidth="1"/>
    <col min="42" max="48" width="9.140625" style="34"/>
    <col min="49" max="49" width="25.42578125" style="34" customWidth="1"/>
    <col min="50" max="50" width="9.140625" style="34"/>
    <col min="51" max="51" width="9.5703125" style="34" bestFit="1" customWidth="1"/>
    <col min="52" max="16384" width="9.140625" style="34"/>
  </cols>
  <sheetData>
    <row r="1" spans="2:64">
      <c r="B1" s="180">
        <v>1</v>
      </c>
      <c r="C1" s="181" t="s">
        <v>651</v>
      </c>
      <c r="D1" s="182"/>
      <c r="E1" s="182"/>
      <c r="F1" s="183"/>
      <c r="G1" s="184" t="s">
        <v>652</v>
      </c>
      <c r="H1" s="184" t="s">
        <v>653</v>
      </c>
      <c r="I1" s="185"/>
      <c r="J1" s="181" t="s">
        <v>654</v>
      </c>
      <c r="K1" s="181" t="s">
        <v>19</v>
      </c>
      <c r="L1" s="183"/>
      <c r="M1" s="181" t="s">
        <v>655</v>
      </c>
      <c r="N1" s="181" t="s">
        <v>656</v>
      </c>
      <c r="O1" s="184" t="s">
        <v>657</v>
      </c>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c r="AW1" s="183"/>
      <c r="AX1" s="183"/>
      <c r="AY1" s="183"/>
      <c r="AZ1" s="183"/>
      <c r="BA1" s="183"/>
      <c r="BB1" s="183"/>
      <c r="BC1" s="183"/>
      <c r="BD1" s="183"/>
      <c r="BE1" s="183"/>
      <c r="BF1" s="183"/>
      <c r="BG1" s="183"/>
      <c r="BH1" s="183"/>
      <c r="BI1" s="183"/>
      <c r="BJ1" s="183"/>
      <c r="BK1" s="183"/>
      <c r="BL1" s="183"/>
    </row>
    <row r="2" spans="2:64" ht="25.5">
      <c r="B2" s="180">
        <v>2</v>
      </c>
      <c r="C2" s="181" t="s">
        <v>658</v>
      </c>
      <c r="D2" s="182"/>
      <c r="E2" s="182"/>
      <c r="F2" s="183"/>
      <c r="G2" s="186">
        <v>1</v>
      </c>
      <c r="H2" s="187" t="str">
        <f>'Baseline and Measure Cases'!H2</f>
        <v>180 to 307 kWh/year- All- Baseline (effective May 2013)</v>
      </c>
      <c r="I2" s="183"/>
      <c r="J2" s="186">
        <v>1</v>
      </c>
      <c r="K2" s="188" t="str">
        <f>'Baseline and Measure Cases'!D2</f>
        <v>180 to 295  kWh/year - Energy Star as of January 20, 2012</v>
      </c>
      <c r="L2" s="183"/>
      <c r="M2" s="186">
        <v>1</v>
      </c>
      <c r="N2" s="189" t="s">
        <v>659</v>
      </c>
      <c r="O2" s="190">
        <v>1</v>
      </c>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c r="BI2" s="183"/>
      <c r="BJ2" s="183"/>
      <c r="BK2" s="183"/>
      <c r="BL2" s="183"/>
    </row>
    <row r="3" spans="2:64">
      <c r="B3" s="180">
        <v>3</v>
      </c>
      <c r="C3" s="181" t="s">
        <v>660</v>
      </c>
      <c r="D3" s="182"/>
      <c r="E3" s="182"/>
      <c r="F3" s="183"/>
      <c r="I3" s="183"/>
      <c r="J3" s="186">
        <v>2</v>
      </c>
      <c r="K3" s="188" t="str">
        <f>'Baseline and Measure Cases'!E2</f>
        <v>180 to 295  kWh/year - CEE Tier 1 as of January 20, 2012;  min EF= 0.75</v>
      </c>
      <c r="L3" s="183"/>
      <c r="M3" s="186">
        <v>2</v>
      </c>
      <c r="N3" s="189" t="s">
        <v>661</v>
      </c>
      <c r="O3" s="190">
        <v>0</v>
      </c>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c r="AR3" s="183"/>
      <c r="AS3" s="183"/>
      <c r="AT3" s="183"/>
      <c r="AU3" s="183"/>
      <c r="AV3" s="183"/>
      <c r="AW3" s="183"/>
      <c r="AX3" s="183"/>
      <c r="AY3" s="183"/>
      <c r="AZ3" s="183"/>
      <c r="BA3" s="183"/>
      <c r="BB3" s="183"/>
      <c r="BC3" s="183"/>
      <c r="BD3" s="183"/>
      <c r="BE3" s="183"/>
      <c r="BF3" s="183"/>
      <c r="BG3" s="183"/>
      <c r="BH3" s="183"/>
      <c r="BI3" s="183"/>
      <c r="BJ3" s="183"/>
      <c r="BK3" s="183"/>
      <c r="BL3" s="183"/>
    </row>
    <row r="4" spans="2:64">
      <c r="B4" s="183"/>
      <c r="C4" s="183"/>
      <c r="D4" s="183"/>
      <c r="E4" s="183"/>
      <c r="F4" s="183"/>
      <c r="G4" s="191"/>
      <c r="H4" s="192"/>
      <c r="I4" s="183"/>
      <c r="J4" s="191"/>
      <c r="K4" s="193"/>
      <c r="L4" s="183"/>
      <c r="M4" s="186">
        <v>3</v>
      </c>
      <c r="N4" s="189" t="s">
        <v>662</v>
      </c>
      <c r="O4" s="190">
        <f>'SF Assumptions'!D43</f>
        <v>0.55200000000000005</v>
      </c>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83"/>
      <c r="BK4" s="183"/>
      <c r="BL4" s="183"/>
    </row>
    <row r="5" spans="2:64">
      <c r="B5" s="183"/>
      <c r="C5" s="183"/>
      <c r="D5" s="183"/>
      <c r="E5" s="183"/>
      <c r="F5" s="183"/>
      <c r="G5" s="183"/>
      <c r="H5" s="183"/>
      <c r="I5" s="183"/>
      <c r="J5" s="191"/>
      <c r="K5" s="19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c r="AW5" s="183"/>
      <c r="AX5" s="183"/>
      <c r="AY5" s="183"/>
      <c r="AZ5" s="183"/>
      <c r="BA5" s="183"/>
      <c r="BB5" s="183"/>
      <c r="BC5" s="183"/>
      <c r="BD5" s="183"/>
      <c r="BE5" s="183"/>
      <c r="BF5" s="183"/>
      <c r="BG5" s="183"/>
      <c r="BH5" s="183"/>
      <c r="BI5" s="183"/>
      <c r="BJ5" s="183"/>
      <c r="BK5" s="183"/>
      <c r="BL5" s="183"/>
    </row>
    <row r="6" spans="2:64">
      <c r="B6" s="183"/>
      <c r="C6" s="183"/>
      <c r="D6" s="183"/>
      <c r="E6" s="183"/>
      <c r="F6" s="183"/>
      <c r="G6" s="183"/>
      <c r="H6" s="183"/>
      <c r="I6" s="183"/>
      <c r="J6" s="191"/>
      <c r="K6" s="19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3"/>
      <c r="BI6" s="183"/>
      <c r="BJ6" s="183"/>
      <c r="BK6" s="183"/>
      <c r="BL6" s="183"/>
    </row>
    <row r="7" spans="2:64">
      <c r="B7" s="183"/>
      <c r="C7" s="183"/>
      <c r="D7" s="183"/>
      <c r="E7" s="183"/>
      <c r="F7" s="183"/>
      <c r="G7" s="183"/>
      <c r="H7" s="183"/>
      <c r="I7" s="183"/>
      <c r="J7" s="191"/>
      <c r="K7" s="19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BB7" s="183"/>
      <c r="BC7" s="183"/>
      <c r="BD7" s="183"/>
      <c r="BE7" s="183"/>
      <c r="BF7" s="183"/>
      <c r="BG7" s="183"/>
      <c r="BH7" s="183"/>
      <c r="BI7" s="183"/>
      <c r="BJ7" s="183"/>
      <c r="BK7" s="183"/>
      <c r="BL7" s="183"/>
    </row>
    <row r="8" spans="2:64">
      <c r="B8" s="183"/>
      <c r="C8" s="183"/>
      <c r="D8" s="183"/>
      <c r="E8" s="183"/>
      <c r="F8" s="183"/>
      <c r="G8" s="183"/>
      <c r="H8" s="183"/>
      <c r="I8" s="183"/>
      <c r="J8" s="191"/>
      <c r="K8" s="19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3"/>
      <c r="BI8" s="183"/>
      <c r="BJ8" s="183"/>
      <c r="BK8" s="183"/>
      <c r="BL8" s="183"/>
    </row>
    <row r="9" spans="2:64">
      <c r="B9" s="183"/>
      <c r="C9" s="183"/>
      <c r="D9" s="183"/>
      <c r="E9" s="183"/>
      <c r="F9" s="183"/>
      <c r="G9" s="183"/>
      <c r="H9" s="183"/>
      <c r="I9" s="183"/>
      <c r="J9" s="191"/>
      <c r="K9" s="19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3"/>
    </row>
    <row r="15" spans="2:64">
      <c r="B15" s="183"/>
      <c r="C15" s="183"/>
      <c r="D15" s="183"/>
      <c r="E15" s="183"/>
      <c r="F15" s="183"/>
      <c r="G15" s="183"/>
      <c r="H15" s="183"/>
      <c r="I15" s="183"/>
      <c r="J15" s="183"/>
      <c r="K15" s="183"/>
      <c r="L15" s="183"/>
      <c r="M15" s="183"/>
      <c r="N15" s="194" t="s">
        <v>663</v>
      </c>
      <c r="O15" s="195"/>
      <c r="P15" s="195"/>
      <c r="Q15" s="195"/>
      <c r="R15" s="195"/>
      <c r="S15" s="195"/>
      <c r="T15" s="195"/>
      <c r="U15" s="195"/>
      <c r="V15" s="183"/>
      <c r="W15" s="196" t="s">
        <v>664</v>
      </c>
      <c r="X15" s="197"/>
      <c r="Y15" s="197"/>
      <c r="Z15" s="197"/>
      <c r="AA15" s="197"/>
      <c r="AB15" s="197"/>
      <c r="AC15" s="197"/>
      <c r="AD15" s="197"/>
      <c r="AE15" s="183"/>
      <c r="AF15" s="196" t="s">
        <v>665</v>
      </c>
      <c r="AG15" s="197"/>
      <c r="AH15" s="197"/>
      <c r="AI15" s="197"/>
      <c r="AJ15" s="197"/>
      <c r="AK15" s="197"/>
      <c r="AL15" s="197"/>
      <c r="AM15" s="197"/>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row>
    <row r="16" spans="2:64">
      <c r="B16" s="183"/>
      <c r="C16" s="183"/>
      <c r="D16" s="183"/>
      <c r="E16" s="183"/>
      <c r="F16" s="183"/>
      <c r="G16" s="183"/>
      <c r="H16" s="183"/>
      <c r="I16" s="183"/>
      <c r="J16" s="183"/>
      <c r="K16" s="183"/>
      <c r="L16" s="183"/>
      <c r="M16" s="183"/>
      <c r="N16" s="183"/>
      <c r="O16" s="183"/>
      <c r="P16" s="673" t="s">
        <v>666</v>
      </c>
      <c r="Q16" s="673"/>
      <c r="R16" s="673"/>
      <c r="S16" s="674" t="s">
        <v>667</v>
      </c>
      <c r="T16" s="674"/>
      <c r="U16" s="674"/>
      <c r="V16" s="198"/>
      <c r="W16" s="183"/>
      <c r="X16" s="183"/>
      <c r="Y16" s="675" t="s">
        <v>666</v>
      </c>
      <c r="Z16" s="675"/>
      <c r="AA16" s="675"/>
      <c r="AB16" s="675" t="s">
        <v>667</v>
      </c>
      <c r="AC16" s="675"/>
      <c r="AD16" s="675"/>
      <c r="AE16" s="198"/>
      <c r="AF16" s="183"/>
      <c r="AG16" s="183"/>
      <c r="AH16" s="675" t="s">
        <v>666</v>
      </c>
      <c r="AI16" s="675"/>
      <c r="AJ16" s="675"/>
      <c r="AK16" s="675" t="s">
        <v>667</v>
      </c>
      <c r="AL16" s="675"/>
      <c r="AM16" s="675"/>
      <c r="AN16" s="183"/>
      <c r="AO16" s="183"/>
      <c r="AP16" s="183"/>
      <c r="AQ16" s="199" t="s">
        <v>218</v>
      </c>
      <c r="AR16" s="200"/>
      <c r="AS16" s="200"/>
      <c r="AT16" s="200"/>
      <c r="AU16" s="183"/>
      <c r="AV16" s="183"/>
      <c r="AW16" s="201" t="s">
        <v>200</v>
      </c>
      <c r="AX16" s="202"/>
      <c r="AY16" s="202"/>
      <c r="AZ16" s="202"/>
      <c r="BA16" s="202"/>
      <c r="BB16" s="202"/>
      <c r="BC16" s="203"/>
      <c r="BD16" s="204"/>
      <c r="BE16" s="626" t="s">
        <v>201</v>
      </c>
      <c r="BF16" s="627"/>
      <c r="BG16" s="627"/>
      <c r="BH16" s="627"/>
      <c r="BI16" s="627"/>
      <c r="BJ16" s="628"/>
      <c r="BK16" s="671" t="s">
        <v>202</v>
      </c>
      <c r="BL16" s="672"/>
    </row>
    <row r="17" spans="1:65" ht="63.75">
      <c r="A17" s="205" t="s">
        <v>668</v>
      </c>
      <c r="B17" s="205" t="s">
        <v>669</v>
      </c>
      <c r="C17" s="205" t="s">
        <v>670</v>
      </c>
      <c r="D17" s="205" t="s">
        <v>219</v>
      </c>
      <c r="E17" s="205" t="s">
        <v>671</v>
      </c>
      <c r="F17" s="205"/>
      <c r="G17" s="205" t="s">
        <v>653</v>
      </c>
      <c r="H17" s="205" t="s">
        <v>19</v>
      </c>
      <c r="I17" s="205" t="s">
        <v>656</v>
      </c>
      <c r="J17" s="205"/>
      <c r="K17" s="205"/>
      <c r="L17" s="206" t="s">
        <v>672</v>
      </c>
      <c r="M17" s="206"/>
      <c r="N17" s="206" t="s">
        <v>673</v>
      </c>
      <c r="O17" s="206" t="s">
        <v>1097</v>
      </c>
      <c r="P17" s="206" t="s">
        <v>675</v>
      </c>
      <c r="Q17" s="206"/>
      <c r="R17" s="206" t="s">
        <v>676</v>
      </c>
      <c r="S17" s="206" t="s">
        <v>677</v>
      </c>
      <c r="T17" s="206"/>
      <c r="U17" s="206" t="s">
        <v>678</v>
      </c>
      <c r="V17" s="207"/>
      <c r="W17" s="206" t="s">
        <v>673</v>
      </c>
      <c r="X17" s="206" t="s">
        <v>1097</v>
      </c>
      <c r="Y17" s="206" t="s">
        <v>675</v>
      </c>
      <c r="Z17" s="206"/>
      <c r="AA17" s="206" t="s">
        <v>676</v>
      </c>
      <c r="AB17" s="206" t="s">
        <v>677</v>
      </c>
      <c r="AC17" s="206"/>
      <c r="AD17" s="206" t="s">
        <v>678</v>
      </c>
      <c r="AE17" s="207"/>
      <c r="AF17" s="206" t="s">
        <v>673</v>
      </c>
      <c r="AG17" s="206" t="s">
        <v>1097</v>
      </c>
      <c r="AH17" s="206" t="s">
        <v>675</v>
      </c>
      <c r="AI17" s="206"/>
      <c r="AJ17" s="206" t="s">
        <v>676</v>
      </c>
      <c r="AK17" s="206" t="s">
        <v>677</v>
      </c>
      <c r="AL17" s="206"/>
      <c r="AM17" s="206" t="s">
        <v>678</v>
      </c>
      <c r="AN17" s="183"/>
      <c r="AO17" s="208" t="s">
        <v>204</v>
      </c>
      <c r="AP17" s="208" t="s">
        <v>189</v>
      </c>
      <c r="AQ17" s="209" t="s">
        <v>1</v>
      </c>
      <c r="AR17" s="209" t="s">
        <v>679</v>
      </c>
      <c r="AS17" s="209" t="s">
        <v>680</v>
      </c>
      <c r="AT17" s="209" t="s">
        <v>681</v>
      </c>
      <c r="AU17" s="208" t="s">
        <v>682</v>
      </c>
      <c r="AV17" s="209"/>
      <c r="AW17" s="129" t="s">
        <v>203</v>
      </c>
      <c r="AX17" s="129" t="s">
        <v>204</v>
      </c>
      <c r="AY17" s="129" t="s">
        <v>205</v>
      </c>
      <c r="AZ17" s="129" t="s">
        <v>206</v>
      </c>
      <c r="BA17" s="129" t="s">
        <v>207</v>
      </c>
      <c r="BB17" s="129" t="s">
        <v>208</v>
      </c>
      <c r="BC17" s="130" t="s">
        <v>209</v>
      </c>
      <c r="BD17" s="131" t="s">
        <v>210</v>
      </c>
      <c r="BE17" s="131" t="s">
        <v>211</v>
      </c>
      <c r="BF17" s="131" t="s">
        <v>212</v>
      </c>
      <c r="BG17" s="131" t="s">
        <v>213</v>
      </c>
      <c r="BH17" s="131" t="s">
        <v>214</v>
      </c>
      <c r="BI17" s="131" t="s">
        <v>215</v>
      </c>
      <c r="BJ17" s="131" t="s">
        <v>216</v>
      </c>
      <c r="BK17" s="210" t="s">
        <v>217</v>
      </c>
      <c r="BL17" s="131" t="s">
        <v>209</v>
      </c>
      <c r="BM17" s="183"/>
    </row>
    <row r="18" spans="1:65">
      <c r="A18" s="212">
        <v>1</v>
      </c>
      <c r="B18" s="212">
        <f t="shared" ref="B18:B29" si="0">CEILING(A18/($B$2*$B$3),1)</f>
        <v>1</v>
      </c>
      <c r="C18" s="212">
        <f t="shared" ref="C18:C29" si="1">CEILING(A18-(B18-1)*$B$2*$B$3,1)</f>
        <v>1</v>
      </c>
      <c r="D18" s="212">
        <f>CEILING(C18/$B$3,1)</f>
        <v>1</v>
      </c>
      <c r="E18" s="212">
        <f>C18-((D18-1)*$B$3)</f>
        <v>1</v>
      </c>
      <c r="F18" s="212"/>
      <c r="G18" s="212" t="str">
        <f t="shared" ref="G18:G29" si="2">VLOOKUP(B18,$G$2:$H$13,2,FALSE)</f>
        <v>180 to 307 kWh/year- All- Baseline (effective May 2013)</v>
      </c>
      <c r="H18" s="212" t="str">
        <f t="shared" ref="H18:H29" si="3">VLOOKUP(D18,$J$2:$K$12,2,FALSE)</f>
        <v>180 to 295  kWh/year - Energy Star as of January 20, 2012</v>
      </c>
      <c r="I18" s="212" t="str">
        <f t="shared" ref="I18:I29" si="4">VLOOKUP($E18,$M$2:$N$4,2,FALSE)</f>
        <v>Electric DHW</v>
      </c>
      <c r="J18" s="213"/>
      <c r="K18" s="213"/>
      <c r="L18" s="214">
        <f t="shared" ref="L18:L23" si="5">VLOOKUP($E18,$M$2:$O$4,3,FALSE)</f>
        <v>1</v>
      </c>
      <c r="M18" s="214"/>
      <c r="N18" s="215">
        <f>HLOOKUP($G18,'Baseline and Measure Cases'!$G$2:$J$20,16,FALSE)</f>
        <v>524.93046945337699</v>
      </c>
      <c r="O18" s="215">
        <f>HLOOKUP($G18,'Baseline and Measure Cases'!$G$2:$J$20,12,FALSE)</f>
        <v>0</v>
      </c>
      <c r="P18" s="215">
        <f>HLOOKUP($G18,'Baseline and Measure Cases'!$G$2:$J$20,19,FALSE)</f>
        <v>88.506942329768805</v>
      </c>
      <c r="Q18" s="215"/>
      <c r="R18" s="215">
        <f>HLOOKUP($G18,'Baseline and Measure Cases'!$G$2:$J$20,17,FALSE)</f>
        <v>88.188318868167329</v>
      </c>
      <c r="S18" s="216"/>
      <c r="T18" s="217"/>
      <c r="U18" s="216">
        <f>HLOOKUP($G18,'Baseline and Measure Cases'!$G$2:$J$20,18,FALSE)</f>
        <v>4.0131046934803321</v>
      </c>
      <c r="V18" s="217"/>
      <c r="W18" s="215">
        <f>HLOOKUP($H18,'Baseline and Measure Cases'!$G$2:$J$20,16,FALSE)</f>
        <v>489.01056790123545</v>
      </c>
      <c r="X18" s="215">
        <f>HLOOKUP($H18,'Baseline and Measure Cases'!$G$2:$J$20,12,FALSE)</f>
        <v>5.2795660553372441</v>
      </c>
      <c r="Y18" s="215">
        <f>HLOOKUP($H18,'Baseline and Measure Cases'!$G$2:$J$20,19,FALSE)</f>
        <v>91.103595824289272</v>
      </c>
      <c r="Z18" s="215"/>
      <c r="AA18" s="215">
        <f>HLOOKUP($H18,'Baseline and Measure Cases'!$G$2:$J$20,17,FALSE)</f>
        <v>82.153775407407551</v>
      </c>
      <c r="AB18" s="216"/>
      <c r="AC18" s="215"/>
      <c r="AD18" s="216">
        <f>HLOOKUP($H18,'Baseline and Measure Cases'!$G$2:$J$20,18,FALSE)</f>
        <v>3.7384962759915208</v>
      </c>
      <c r="AE18" s="217"/>
      <c r="AF18" s="215">
        <f t="shared" ref="AF18:AF23" si="6">N18-W18</f>
        <v>35.919901552141539</v>
      </c>
      <c r="AG18" s="218">
        <f t="shared" ref="AG18:AG23" si="7">X18-O18</f>
        <v>5.2795660553372441</v>
      </c>
      <c r="AH18" s="219">
        <f t="shared" ref="AH18:AH23" si="8">P18-Y18</f>
        <v>-2.5966534945204671</v>
      </c>
      <c r="AI18" s="219"/>
      <c r="AJ18" s="219">
        <f t="shared" ref="AJ18:AK23" si="9">R18-AA18</f>
        <v>6.0345434607597781</v>
      </c>
      <c r="AK18" s="217">
        <f>S18-AB18</f>
        <v>0</v>
      </c>
      <c r="AL18" s="217"/>
      <c r="AM18" s="217">
        <f t="shared" ref="AM18:AM23" si="10">U18-AD18</f>
        <v>0.27460841748881126</v>
      </c>
      <c r="AN18" s="223"/>
      <c r="AO18" s="214" t="str">
        <f t="shared" ref="AO18:AO23" si="11">AW18</f>
        <v>Energy Star Dishwasher - Electric DHW</v>
      </c>
      <c r="AP18" s="218">
        <f>BA18</f>
        <v>5.2795660553372441</v>
      </c>
      <c r="AQ18" s="219">
        <f t="shared" ref="AQ18:AQ23" si="12">AH18+AJ18*L18</f>
        <v>3.437889966239311</v>
      </c>
      <c r="AR18" s="217">
        <f t="shared" ref="AR18:AR23" si="13">AM18*(1-L18)</f>
        <v>0</v>
      </c>
      <c r="AS18" s="217">
        <f t="shared" ref="AS18:AS23" si="14">AF18</f>
        <v>35.919901552141539</v>
      </c>
      <c r="AT18" s="217">
        <f>VLOOKUP(AW18,RawRTF!$C$1:$DC$178,82,FALSE)</f>
        <v>0</v>
      </c>
      <c r="AU18" s="219">
        <f t="shared" ref="AU18:AU23" si="15">AQ18+AY35</f>
        <v>3.437889966239311</v>
      </c>
      <c r="AV18" s="214"/>
      <c r="AW18" s="212" t="str">
        <f>CONCATENATE("Energy Star Dishwasher - ",I18)</f>
        <v>Energy Star Dishwasher - Electric DHW</v>
      </c>
      <c r="AX18" s="212" t="s">
        <v>220</v>
      </c>
      <c r="AY18" s="219">
        <f t="shared" ref="AY18:AY23" si="16">AQ18</f>
        <v>3.437889966239311</v>
      </c>
      <c r="AZ18" s="219">
        <f>'SF Assumptions'!$D$31</f>
        <v>15.4</v>
      </c>
      <c r="BA18" s="220">
        <f t="shared" ref="BA18:BA23" si="17">AG18</f>
        <v>5.2795660553372441</v>
      </c>
      <c r="BB18" s="212"/>
      <c r="BC18" s="211" t="s">
        <v>221</v>
      </c>
      <c r="BD18" s="221">
        <f>AF18*'SF Assumptions'!$D$36/1000</f>
        <v>0.33177417068635534</v>
      </c>
      <c r="BE18" s="212"/>
      <c r="BF18" s="212"/>
      <c r="BG18" s="212"/>
      <c r="BH18" s="212"/>
      <c r="BI18" s="212"/>
      <c r="BJ18" s="212"/>
      <c r="BK18" s="222">
        <f t="shared" ref="BK18:BK23" si="18">AR18</f>
        <v>0</v>
      </c>
      <c r="BL18" s="212" t="s">
        <v>221</v>
      </c>
    </row>
    <row r="19" spans="1:65">
      <c r="A19" s="212">
        <f t="shared" ref="A19:A23" si="19">A18+1</f>
        <v>2</v>
      </c>
      <c r="B19" s="212">
        <f t="shared" si="0"/>
        <v>1</v>
      </c>
      <c r="C19" s="212">
        <f t="shared" si="1"/>
        <v>2</v>
      </c>
      <c r="D19" s="212">
        <f t="shared" ref="D19:D29" si="20">CEILING(C19/$B$3,1)</f>
        <v>1</v>
      </c>
      <c r="E19" s="212">
        <f t="shared" ref="E19:E29" si="21">C19-((D19-1)*$B$3)</f>
        <v>2</v>
      </c>
      <c r="F19" s="212"/>
      <c r="G19" s="212" t="str">
        <f t="shared" si="2"/>
        <v>180 to 307 kWh/year- All- Baseline (effective May 2013)</v>
      </c>
      <c r="H19" s="212" t="str">
        <f t="shared" si="3"/>
        <v>180 to 295  kWh/year - Energy Star as of January 20, 2012</v>
      </c>
      <c r="I19" s="212" t="str">
        <f t="shared" si="4"/>
        <v>Gas DHW</v>
      </c>
      <c r="J19" s="213"/>
      <c r="K19" s="213"/>
      <c r="L19" s="214">
        <f t="shared" si="5"/>
        <v>0</v>
      </c>
      <c r="M19" s="214"/>
      <c r="N19" s="215">
        <f>HLOOKUP($G19,'Baseline and Measure Cases'!$G$2:$J$20,16,FALSE)</f>
        <v>524.93046945337699</v>
      </c>
      <c r="O19" s="215">
        <f>HLOOKUP($G19,'Baseline and Measure Cases'!$G$2:$J$20,12,FALSE)</f>
        <v>0</v>
      </c>
      <c r="P19" s="215">
        <f>HLOOKUP($G19,'Baseline and Measure Cases'!$G$2:$J$20,19,FALSE)</f>
        <v>88.506942329768805</v>
      </c>
      <c r="Q19" s="215"/>
      <c r="R19" s="215">
        <f>HLOOKUP($G19,'Baseline and Measure Cases'!$G$2:$J$20,17,FALSE)</f>
        <v>88.188318868167329</v>
      </c>
      <c r="S19" s="216"/>
      <c r="T19" s="217"/>
      <c r="U19" s="216">
        <f>HLOOKUP($G19,'Baseline and Measure Cases'!$G$2:$J$20,18,FALSE)</f>
        <v>4.0131046934803321</v>
      </c>
      <c r="V19" s="217"/>
      <c r="W19" s="215">
        <f>HLOOKUP($H19,'Baseline and Measure Cases'!$G$2:$J$20,16,FALSE)</f>
        <v>489.01056790123545</v>
      </c>
      <c r="X19" s="215">
        <f>HLOOKUP($H19,'Baseline and Measure Cases'!$G$2:$J$20,12,FALSE)</f>
        <v>5.2795660553372441</v>
      </c>
      <c r="Y19" s="215">
        <f>HLOOKUP($H19,'Baseline and Measure Cases'!$G$2:$J$20,19,FALSE)</f>
        <v>91.103595824289272</v>
      </c>
      <c r="Z19" s="215"/>
      <c r="AA19" s="215">
        <f>HLOOKUP($H19,'Baseline and Measure Cases'!$G$2:$J$20,17,FALSE)</f>
        <v>82.153775407407551</v>
      </c>
      <c r="AB19" s="216"/>
      <c r="AC19" s="215"/>
      <c r="AD19" s="216">
        <f>HLOOKUP($H19,'Baseline and Measure Cases'!$G$2:$J$20,18,FALSE)</f>
        <v>3.7384962759915208</v>
      </c>
      <c r="AE19" s="217"/>
      <c r="AF19" s="215">
        <f t="shared" si="6"/>
        <v>35.919901552141539</v>
      </c>
      <c r="AG19" s="218">
        <f t="shared" si="7"/>
        <v>5.2795660553372441</v>
      </c>
      <c r="AH19" s="219">
        <f t="shared" si="8"/>
        <v>-2.5966534945204671</v>
      </c>
      <c r="AI19" s="219"/>
      <c r="AJ19" s="219">
        <f t="shared" si="9"/>
        <v>6.0345434607597781</v>
      </c>
      <c r="AK19" s="217">
        <f t="shared" si="9"/>
        <v>0</v>
      </c>
      <c r="AL19" s="217"/>
      <c r="AM19" s="217">
        <f t="shared" si="10"/>
        <v>0.27460841748881126</v>
      </c>
      <c r="AN19" s="223"/>
      <c r="AO19" s="214" t="str">
        <f t="shared" si="11"/>
        <v>Energy Star Dishwasher - Gas DHW</v>
      </c>
      <c r="AP19" s="218">
        <f t="shared" ref="AP19:AP23" si="22">BA19</f>
        <v>5.2795660553372441</v>
      </c>
      <c r="AQ19" s="219">
        <f t="shared" si="12"/>
        <v>-2.5966534945204671</v>
      </c>
      <c r="AR19" s="217">
        <f t="shared" si="13"/>
        <v>0.27460841748881126</v>
      </c>
      <c r="AS19" s="217">
        <f t="shared" si="14"/>
        <v>35.919901552141539</v>
      </c>
      <c r="AT19" s="217">
        <f>VLOOKUP(AW19,RawRTF!$C$1:$DC$178,82,FALSE)</f>
        <v>0</v>
      </c>
      <c r="AU19" s="219">
        <f t="shared" si="15"/>
        <v>-2.5966534945204671</v>
      </c>
      <c r="AV19" s="214"/>
      <c r="AW19" s="212" t="str">
        <f t="shared" ref="AW19:AW20" si="23">CONCATENATE("Energy Star Dishwasher - ",I19)</f>
        <v>Energy Star Dishwasher - Gas DHW</v>
      </c>
      <c r="AX19" s="212" t="s">
        <v>220</v>
      </c>
      <c r="AY19" s="219">
        <f t="shared" si="16"/>
        <v>-2.5966534945204671</v>
      </c>
      <c r="AZ19" s="219">
        <f>'SF Assumptions'!$D$31</f>
        <v>15.4</v>
      </c>
      <c r="BA19" s="220">
        <f t="shared" si="17"/>
        <v>5.2795660553372441</v>
      </c>
      <c r="BB19" s="212"/>
      <c r="BC19" s="211" t="s">
        <v>221</v>
      </c>
      <c r="BD19" s="221">
        <f>AF19*'SF Assumptions'!$D$36/1000</f>
        <v>0.33177417068635534</v>
      </c>
      <c r="BE19" s="212"/>
      <c r="BF19" s="212"/>
      <c r="BG19" s="212"/>
      <c r="BH19" s="212"/>
      <c r="BI19" s="212"/>
      <c r="BJ19" s="212"/>
      <c r="BK19" s="222">
        <f t="shared" si="18"/>
        <v>0.27460841748881126</v>
      </c>
      <c r="BL19" s="212" t="s">
        <v>221</v>
      </c>
    </row>
    <row r="20" spans="1:65">
      <c r="A20" s="212">
        <f t="shared" si="19"/>
        <v>3</v>
      </c>
      <c r="B20" s="212">
        <f t="shared" si="0"/>
        <v>1</v>
      </c>
      <c r="C20" s="212">
        <f t="shared" si="1"/>
        <v>3</v>
      </c>
      <c r="D20" s="212">
        <f t="shared" si="20"/>
        <v>1</v>
      </c>
      <c r="E20" s="212">
        <f t="shared" si="21"/>
        <v>3</v>
      </c>
      <c r="F20" s="212"/>
      <c r="G20" s="212" t="str">
        <f t="shared" si="2"/>
        <v>180 to 307 kWh/year- All- Baseline (effective May 2013)</v>
      </c>
      <c r="H20" s="212" t="str">
        <f t="shared" si="3"/>
        <v>180 to 295  kWh/year - Energy Star as of January 20, 2012</v>
      </c>
      <c r="I20" s="212" t="str">
        <f t="shared" si="4"/>
        <v>Any DHW</v>
      </c>
      <c r="J20" s="213"/>
      <c r="K20" s="213"/>
      <c r="L20" s="214">
        <f t="shared" si="5"/>
        <v>0.55200000000000005</v>
      </c>
      <c r="M20" s="214"/>
      <c r="N20" s="215">
        <f>HLOOKUP($G20,'Baseline and Measure Cases'!$G$2:$J$20,16,FALSE)</f>
        <v>524.93046945337699</v>
      </c>
      <c r="O20" s="215">
        <f>HLOOKUP($G20,'Baseline and Measure Cases'!$G$2:$J$20,12,FALSE)</f>
        <v>0</v>
      </c>
      <c r="P20" s="215">
        <f>HLOOKUP($G20,'Baseline and Measure Cases'!$G$2:$J$20,19,FALSE)</f>
        <v>88.506942329768805</v>
      </c>
      <c r="Q20" s="215"/>
      <c r="R20" s="215">
        <f>HLOOKUP($G20,'Baseline and Measure Cases'!$G$2:$J$20,17,FALSE)</f>
        <v>88.188318868167329</v>
      </c>
      <c r="S20" s="216"/>
      <c r="T20" s="217"/>
      <c r="U20" s="216">
        <f>HLOOKUP($G20,'Baseline and Measure Cases'!$G$2:$J$20,18,FALSE)</f>
        <v>4.0131046934803321</v>
      </c>
      <c r="V20" s="217"/>
      <c r="W20" s="215">
        <f>HLOOKUP($H20,'Baseline and Measure Cases'!$G$2:$J$20,16,FALSE)</f>
        <v>489.01056790123545</v>
      </c>
      <c r="X20" s="215">
        <f>HLOOKUP($H20,'Baseline and Measure Cases'!$G$2:$J$20,12,FALSE)</f>
        <v>5.2795660553372441</v>
      </c>
      <c r="Y20" s="215">
        <f>HLOOKUP($H20,'Baseline and Measure Cases'!$G$2:$J$20,19,FALSE)</f>
        <v>91.103595824289272</v>
      </c>
      <c r="Z20" s="215"/>
      <c r="AA20" s="215">
        <f>HLOOKUP($H20,'Baseline and Measure Cases'!$G$2:$J$20,17,FALSE)</f>
        <v>82.153775407407551</v>
      </c>
      <c r="AB20" s="216"/>
      <c r="AC20" s="215"/>
      <c r="AD20" s="216">
        <f>HLOOKUP($H20,'Baseline and Measure Cases'!$G$2:$J$20,18,FALSE)</f>
        <v>3.7384962759915208</v>
      </c>
      <c r="AE20" s="217"/>
      <c r="AF20" s="215">
        <f t="shared" si="6"/>
        <v>35.919901552141539</v>
      </c>
      <c r="AG20" s="218">
        <f t="shared" si="7"/>
        <v>5.2795660553372441</v>
      </c>
      <c r="AH20" s="219">
        <f t="shared" si="8"/>
        <v>-2.5966534945204671</v>
      </c>
      <c r="AI20" s="219"/>
      <c r="AJ20" s="219">
        <f t="shared" si="9"/>
        <v>6.0345434607597781</v>
      </c>
      <c r="AK20" s="217">
        <f t="shared" si="9"/>
        <v>0</v>
      </c>
      <c r="AL20" s="217"/>
      <c r="AM20" s="217">
        <f t="shared" si="10"/>
        <v>0.27460841748881126</v>
      </c>
      <c r="AN20" s="223"/>
      <c r="AO20" s="214" t="str">
        <f t="shared" si="11"/>
        <v>Energy Star Dishwasher - Any DHW</v>
      </c>
      <c r="AP20" s="218">
        <f t="shared" si="22"/>
        <v>5.2795660553372441</v>
      </c>
      <c r="AQ20" s="219">
        <f t="shared" si="12"/>
        <v>0.73441449581893048</v>
      </c>
      <c r="AR20" s="217">
        <f t="shared" si="13"/>
        <v>0.12302457103498743</v>
      </c>
      <c r="AS20" s="217">
        <f t="shared" si="14"/>
        <v>35.919901552141539</v>
      </c>
      <c r="AT20" s="217">
        <f>VLOOKUP(AW20,RawRTF!$C$1:$DC$178,82,FALSE)</f>
        <v>0</v>
      </c>
      <c r="AU20" s="219">
        <f t="shared" si="15"/>
        <v>0.73441449581893048</v>
      </c>
      <c r="AV20" s="214"/>
      <c r="AW20" s="212" t="str">
        <f t="shared" si="23"/>
        <v>Energy Star Dishwasher - Any DHW</v>
      </c>
      <c r="AX20" s="212" t="s">
        <v>220</v>
      </c>
      <c r="AY20" s="219">
        <f t="shared" si="16"/>
        <v>0.73441449581893048</v>
      </c>
      <c r="AZ20" s="219">
        <f>'SF Assumptions'!$D$31</f>
        <v>15.4</v>
      </c>
      <c r="BA20" s="220">
        <f t="shared" si="17"/>
        <v>5.2795660553372441</v>
      </c>
      <c r="BB20" s="212"/>
      <c r="BC20" s="211" t="s">
        <v>221</v>
      </c>
      <c r="BD20" s="221">
        <f>AF20*'SF Assumptions'!$D$36/1000</f>
        <v>0.33177417068635534</v>
      </c>
      <c r="BE20" s="212"/>
      <c r="BF20" s="212"/>
      <c r="BG20" s="212"/>
      <c r="BH20" s="212"/>
      <c r="BI20" s="212"/>
      <c r="BJ20" s="212"/>
      <c r="BK20" s="222">
        <f t="shared" si="18"/>
        <v>0.12302457103498743</v>
      </c>
      <c r="BL20" s="212" t="s">
        <v>221</v>
      </c>
    </row>
    <row r="21" spans="1:65">
      <c r="A21" s="212">
        <f t="shared" si="19"/>
        <v>4</v>
      </c>
      <c r="B21" s="212">
        <f t="shared" si="0"/>
        <v>1</v>
      </c>
      <c r="C21" s="212">
        <f t="shared" si="1"/>
        <v>4</v>
      </c>
      <c r="D21" s="212">
        <f t="shared" si="20"/>
        <v>2</v>
      </c>
      <c r="E21" s="212">
        <f t="shared" si="21"/>
        <v>1</v>
      </c>
      <c r="F21" s="212"/>
      <c r="G21" s="212" t="str">
        <f t="shared" si="2"/>
        <v>180 to 307 kWh/year- All- Baseline (effective May 2013)</v>
      </c>
      <c r="H21" s="212" t="str">
        <f t="shared" si="3"/>
        <v>180 to 295  kWh/year - CEE Tier 1 as of January 20, 2012;  min EF= 0.75</v>
      </c>
      <c r="I21" s="212" t="str">
        <f t="shared" si="4"/>
        <v>Electric DHW</v>
      </c>
      <c r="J21" s="213"/>
      <c r="K21" s="213"/>
      <c r="L21" s="214">
        <f t="shared" si="5"/>
        <v>1</v>
      </c>
      <c r="M21" s="214"/>
      <c r="N21" s="215">
        <f>HLOOKUP($G21,'Baseline and Measure Cases'!$G$2:$J$20,16,FALSE)</f>
        <v>524.93046945337699</v>
      </c>
      <c r="O21" s="215">
        <f>HLOOKUP($G21,'Baseline and Measure Cases'!$G$2:$J$20,12,FALSE)</f>
        <v>0</v>
      </c>
      <c r="P21" s="215">
        <f>HLOOKUP($G21,'Baseline and Measure Cases'!$G$2:$J$20,19,FALSE)</f>
        <v>88.506942329768805</v>
      </c>
      <c r="Q21" s="215"/>
      <c r="R21" s="215">
        <f>HLOOKUP($G21,'Baseline and Measure Cases'!$G$2:$J$20,17,FALSE)</f>
        <v>88.188318868167329</v>
      </c>
      <c r="S21" s="216"/>
      <c r="T21" s="217"/>
      <c r="U21" s="216">
        <f>HLOOKUP($G21,'Baseline and Measure Cases'!$G$2:$J$20,18,FALSE)</f>
        <v>4.0131046934803321</v>
      </c>
      <c r="V21" s="217"/>
      <c r="W21" s="215">
        <f>HLOOKUP($H21,'Baseline and Measure Cases'!$G$2:$J$20,16,FALSE)</f>
        <v>487.72696995708242</v>
      </c>
      <c r="X21" s="215">
        <f>HLOOKUP($H21,'Baseline and Measure Cases'!$G$2:$J$20,12,FALSE)</f>
        <v>6.1994832121220673</v>
      </c>
      <c r="Y21" s="215">
        <f>HLOOKUP($H21,'Baseline and Measure Cases'!$G$2:$J$20,19,FALSE)</f>
        <v>90.75049026689274</v>
      </c>
      <c r="Z21" s="215"/>
      <c r="AA21" s="215">
        <f>HLOOKUP($H21,'Baseline and Measure Cases'!$G$2:$J$20,17,FALSE)</f>
        <v>81.938130952789834</v>
      </c>
      <c r="AB21" s="216"/>
      <c r="AC21" s="215"/>
      <c r="AD21" s="216">
        <f>HLOOKUP($H21,'Baseline and Measure Cases'!$G$2:$J$20,18,FALSE)</f>
        <v>3.7286831421881308</v>
      </c>
      <c r="AE21" s="217"/>
      <c r="AF21" s="215">
        <f t="shared" si="6"/>
        <v>37.203499496294569</v>
      </c>
      <c r="AG21" s="218">
        <f t="shared" si="7"/>
        <v>6.1994832121220673</v>
      </c>
      <c r="AH21" s="219">
        <f t="shared" si="8"/>
        <v>-2.2435479371239353</v>
      </c>
      <c r="AI21" s="219"/>
      <c r="AJ21" s="219">
        <f t="shared" si="9"/>
        <v>6.2501879153774951</v>
      </c>
      <c r="AK21" s="217">
        <f t="shared" si="9"/>
        <v>0</v>
      </c>
      <c r="AL21" s="217"/>
      <c r="AM21" s="217">
        <f t="shared" si="10"/>
        <v>0.28442155129220126</v>
      </c>
      <c r="AN21" s="223"/>
      <c r="AO21" s="214" t="str">
        <f t="shared" si="11"/>
        <v>CEE Tier 1 Dishwasher - Electric DHW</v>
      </c>
      <c r="AP21" s="218">
        <f t="shared" si="22"/>
        <v>6.1994832121220673</v>
      </c>
      <c r="AQ21" s="219">
        <f t="shared" si="12"/>
        <v>4.0066399782535598</v>
      </c>
      <c r="AR21" s="217">
        <f t="shared" si="13"/>
        <v>0</v>
      </c>
      <c r="AS21" s="217">
        <f t="shared" si="14"/>
        <v>37.203499496294569</v>
      </c>
      <c r="AT21" s="217">
        <f>VLOOKUP(AW21,RawRTF!$C$1:$DC$178,82,FALSE)</f>
        <v>0</v>
      </c>
      <c r="AU21" s="219">
        <f t="shared" si="15"/>
        <v>4.0066399782535598</v>
      </c>
      <c r="AV21" s="214"/>
      <c r="AW21" s="212" t="str">
        <f>CONCATENATE("CEE Tier 1 Dishwasher - ",I21)</f>
        <v>CEE Tier 1 Dishwasher - Electric DHW</v>
      </c>
      <c r="AX21" s="212" t="s">
        <v>220</v>
      </c>
      <c r="AY21" s="219">
        <f t="shared" si="16"/>
        <v>4.0066399782535598</v>
      </c>
      <c r="AZ21" s="219">
        <f>'SF Assumptions'!$D$31</f>
        <v>15.4</v>
      </c>
      <c r="BA21" s="220">
        <f t="shared" si="17"/>
        <v>6.1994832121220673</v>
      </c>
      <c r="BB21" s="212"/>
      <c r="BC21" s="211" t="s">
        <v>221</v>
      </c>
      <c r="BD21" s="221">
        <f>AF21*'SF Assumptions'!$D$36/1000</f>
        <v>0.34363012309752472</v>
      </c>
      <c r="BE21" s="212"/>
      <c r="BF21" s="212"/>
      <c r="BG21" s="212"/>
      <c r="BH21" s="212"/>
      <c r="BI21" s="212"/>
      <c r="BJ21" s="212"/>
      <c r="BK21" s="222">
        <f t="shared" si="18"/>
        <v>0</v>
      </c>
      <c r="BL21" s="212" t="s">
        <v>221</v>
      </c>
    </row>
    <row r="22" spans="1:65">
      <c r="A22" s="212">
        <f t="shared" si="19"/>
        <v>5</v>
      </c>
      <c r="B22" s="212">
        <f t="shared" si="0"/>
        <v>1</v>
      </c>
      <c r="C22" s="212">
        <f t="shared" si="1"/>
        <v>5</v>
      </c>
      <c r="D22" s="212">
        <f t="shared" si="20"/>
        <v>2</v>
      </c>
      <c r="E22" s="212">
        <f t="shared" si="21"/>
        <v>2</v>
      </c>
      <c r="F22" s="212"/>
      <c r="G22" s="212" t="str">
        <f t="shared" si="2"/>
        <v>180 to 307 kWh/year- All- Baseline (effective May 2013)</v>
      </c>
      <c r="H22" s="212" t="str">
        <f t="shared" si="3"/>
        <v>180 to 295  kWh/year - CEE Tier 1 as of January 20, 2012;  min EF= 0.75</v>
      </c>
      <c r="I22" s="212" t="str">
        <f t="shared" si="4"/>
        <v>Gas DHW</v>
      </c>
      <c r="J22" s="213"/>
      <c r="K22" s="213"/>
      <c r="L22" s="214">
        <f t="shared" si="5"/>
        <v>0</v>
      </c>
      <c r="M22" s="214"/>
      <c r="N22" s="215">
        <f>HLOOKUP($G22,'Baseline and Measure Cases'!$G$2:$J$20,16,FALSE)</f>
        <v>524.93046945337699</v>
      </c>
      <c r="O22" s="215">
        <f>HLOOKUP($G22,'Baseline and Measure Cases'!$G$2:$J$20,12,FALSE)</f>
        <v>0</v>
      </c>
      <c r="P22" s="215">
        <f>HLOOKUP($G22,'Baseline and Measure Cases'!$G$2:$J$20,19,FALSE)</f>
        <v>88.506942329768805</v>
      </c>
      <c r="Q22" s="215"/>
      <c r="R22" s="215">
        <f>HLOOKUP($G22,'Baseline and Measure Cases'!$G$2:$J$20,17,FALSE)</f>
        <v>88.188318868167329</v>
      </c>
      <c r="S22" s="216"/>
      <c r="T22" s="217"/>
      <c r="U22" s="216">
        <f>HLOOKUP($G22,'Baseline and Measure Cases'!$G$2:$J$20,18,FALSE)</f>
        <v>4.0131046934803321</v>
      </c>
      <c r="V22" s="217"/>
      <c r="W22" s="215">
        <f>HLOOKUP($H22,'Baseline and Measure Cases'!$G$2:$J$20,16,FALSE)</f>
        <v>487.72696995708242</v>
      </c>
      <c r="X22" s="215">
        <f>HLOOKUP($H22,'Baseline and Measure Cases'!$G$2:$J$20,12,FALSE)</f>
        <v>6.1994832121220673</v>
      </c>
      <c r="Y22" s="215">
        <f>HLOOKUP($H22,'Baseline and Measure Cases'!$G$2:$J$20,19,FALSE)</f>
        <v>90.75049026689274</v>
      </c>
      <c r="Z22" s="215"/>
      <c r="AA22" s="215">
        <f>HLOOKUP($H22,'Baseline and Measure Cases'!$G$2:$J$20,17,FALSE)</f>
        <v>81.938130952789834</v>
      </c>
      <c r="AB22" s="216"/>
      <c r="AC22" s="215"/>
      <c r="AD22" s="216">
        <f>HLOOKUP($H22,'Baseline and Measure Cases'!$G$2:$J$20,18,FALSE)</f>
        <v>3.7286831421881308</v>
      </c>
      <c r="AE22" s="217"/>
      <c r="AF22" s="215">
        <f t="shared" si="6"/>
        <v>37.203499496294569</v>
      </c>
      <c r="AG22" s="218">
        <f t="shared" si="7"/>
        <v>6.1994832121220673</v>
      </c>
      <c r="AH22" s="219">
        <f t="shared" si="8"/>
        <v>-2.2435479371239353</v>
      </c>
      <c r="AI22" s="219"/>
      <c r="AJ22" s="219">
        <f t="shared" si="9"/>
        <v>6.2501879153774951</v>
      </c>
      <c r="AK22" s="217">
        <f t="shared" si="9"/>
        <v>0</v>
      </c>
      <c r="AL22" s="217"/>
      <c r="AM22" s="217">
        <f t="shared" si="10"/>
        <v>0.28442155129220126</v>
      </c>
      <c r="AN22" s="223"/>
      <c r="AO22" s="214" t="str">
        <f t="shared" si="11"/>
        <v>CEE Tier 1 Dishwasher - Gas DHW</v>
      </c>
      <c r="AP22" s="218">
        <f t="shared" si="22"/>
        <v>6.1994832121220673</v>
      </c>
      <c r="AQ22" s="219">
        <f t="shared" si="12"/>
        <v>-2.2435479371239353</v>
      </c>
      <c r="AR22" s="217">
        <f t="shared" si="13"/>
        <v>0.28442155129220126</v>
      </c>
      <c r="AS22" s="217">
        <f t="shared" si="14"/>
        <v>37.203499496294569</v>
      </c>
      <c r="AT22" s="217">
        <f>VLOOKUP(AW22,RawRTF!$C$1:$DC$178,82,FALSE)</f>
        <v>0</v>
      </c>
      <c r="AU22" s="219">
        <f t="shared" si="15"/>
        <v>-2.2435479371239353</v>
      </c>
      <c r="AV22" s="214"/>
      <c r="AW22" s="212" t="str">
        <f t="shared" ref="AW22:AW23" si="24">CONCATENATE("CEE Tier 1 Dishwasher - ",I22)</f>
        <v>CEE Tier 1 Dishwasher - Gas DHW</v>
      </c>
      <c r="AX22" s="212" t="s">
        <v>220</v>
      </c>
      <c r="AY22" s="219">
        <f t="shared" si="16"/>
        <v>-2.2435479371239353</v>
      </c>
      <c r="AZ22" s="219">
        <f>'SF Assumptions'!$D$31</f>
        <v>15.4</v>
      </c>
      <c r="BA22" s="220">
        <f t="shared" si="17"/>
        <v>6.1994832121220673</v>
      </c>
      <c r="BB22" s="212"/>
      <c r="BC22" s="211" t="s">
        <v>221</v>
      </c>
      <c r="BD22" s="221">
        <f>AF22*'SF Assumptions'!$D$36/1000</f>
        <v>0.34363012309752472</v>
      </c>
      <c r="BE22" s="212"/>
      <c r="BF22" s="212"/>
      <c r="BG22" s="212"/>
      <c r="BH22" s="212"/>
      <c r="BI22" s="212"/>
      <c r="BJ22" s="212"/>
      <c r="BK22" s="222">
        <f t="shared" si="18"/>
        <v>0.28442155129220126</v>
      </c>
      <c r="BL22" s="212" t="s">
        <v>221</v>
      </c>
    </row>
    <row r="23" spans="1:65">
      <c r="A23" s="212">
        <f t="shared" si="19"/>
        <v>6</v>
      </c>
      <c r="B23" s="212">
        <f t="shared" si="0"/>
        <v>1</v>
      </c>
      <c r="C23" s="212">
        <f t="shared" si="1"/>
        <v>6</v>
      </c>
      <c r="D23" s="212">
        <f t="shared" si="20"/>
        <v>2</v>
      </c>
      <c r="E23" s="212">
        <f t="shared" si="21"/>
        <v>3</v>
      </c>
      <c r="F23" s="212"/>
      <c r="G23" s="212" t="str">
        <f t="shared" si="2"/>
        <v>180 to 307 kWh/year- All- Baseline (effective May 2013)</v>
      </c>
      <c r="H23" s="212" t="str">
        <f t="shared" si="3"/>
        <v>180 to 295  kWh/year - CEE Tier 1 as of January 20, 2012;  min EF= 0.75</v>
      </c>
      <c r="I23" s="212" t="str">
        <f t="shared" si="4"/>
        <v>Any DHW</v>
      </c>
      <c r="J23" s="213"/>
      <c r="K23" s="213"/>
      <c r="L23" s="214">
        <f t="shared" si="5"/>
        <v>0.55200000000000005</v>
      </c>
      <c r="M23" s="214"/>
      <c r="N23" s="215">
        <f>HLOOKUP($G23,'Baseline and Measure Cases'!$G$2:$J$20,16,FALSE)</f>
        <v>524.93046945337699</v>
      </c>
      <c r="O23" s="215">
        <f>HLOOKUP($G23,'Baseline and Measure Cases'!$G$2:$J$20,12,FALSE)</f>
        <v>0</v>
      </c>
      <c r="P23" s="215">
        <f>HLOOKUP($G23,'Baseline and Measure Cases'!$G$2:$J$20,19,FALSE)</f>
        <v>88.506942329768805</v>
      </c>
      <c r="Q23" s="215"/>
      <c r="R23" s="215">
        <f>HLOOKUP($G23,'Baseline and Measure Cases'!$G$2:$J$20,17,FALSE)</f>
        <v>88.188318868167329</v>
      </c>
      <c r="S23" s="216"/>
      <c r="T23" s="217"/>
      <c r="U23" s="216">
        <f>HLOOKUP($G23,'Baseline and Measure Cases'!$G$2:$J$20,18,FALSE)</f>
        <v>4.0131046934803321</v>
      </c>
      <c r="V23" s="217"/>
      <c r="W23" s="215">
        <f>HLOOKUP($H23,'Baseline and Measure Cases'!$G$2:$J$20,16,FALSE)</f>
        <v>487.72696995708242</v>
      </c>
      <c r="X23" s="215">
        <f>HLOOKUP($H23,'Baseline and Measure Cases'!$G$2:$J$20,12,FALSE)</f>
        <v>6.1994832121220673</v>
      </c>
      <c r="Y23" s="215">
        <f>HLOOKUP($H23,'Baseline and Measure Cases'!$G$2:$J$20,19,FALSE)</f>
        <v>90.75049026689274</v>
      </c>
      <c r="Z23" s="215"/>
      <c r="AA23" s="215">
        <f>HLOOKUP($H23,'Baseline and Measure Cases'!$G$2:$J$20,17,FALSE)</f>
        <v>81.938130952789834</v>
      </c>
      <c r="AB23" s="216"/>
      <c r="AC23" s="215"/>
      <c r="AD23" s="216">
        <f>HLOOKUP($H23,'Baseline and Measure Cases'!$G$2:$J$20,18,FALSE)</f>
        <v>3.7286831421881308</v>
      </c>
      <c r="AE23" s="217"/>
      <c r="AF23" s="215">
        <f t="shared" si="6"/>
        <v>37.203499496294569</v>
      </c>
      <c r="AG23" s="218">
        <f t="shared" si="7"/>
        <v>6.1994832121220673</v>
      </c>
      <c r="AH23" s="219">
        <f t="shared" si="8"/>
        <v>-2.2435479371239353</v>
      </c>
      <c r="AI23" s="219"/>
      <c r="AJ23" s="219">
        <f t="shared" si="9"/>
        <v>6.2501879153774951</v>
      </c>
      <c r="AK23" s="217">
        <f t="shared" si="9"/>
        <v>0</v>
      </c>
      <c r="AL23" s="217"/>
      <c r="AM23" s="217">
        <f t="shared" si="10"/>
        <v>0.28442155129220126</v>
      </c>
      <c r="AN23" s="223"/>
      <c r="AO23" s="214" t="str">
        <f t="shared" si="11"/>
        <v>CEE Tier 1 Dishwasher - Any DHW</v>
      </c>
      <c r="AP23" s="218">
        <f t="shared" si="22"/>
        <v>6.1994832121220673</v>
      </c>
      <c r="AQ23" s="219">
        <f t="shared" si="12"/>
        <v>1.2065557921644423</v>
      </c>
      <c r="AR23" s="217">
        <f t="shared" si="13"/>
        <v>0.12742085497890615</v>
      </c>
      <c r="AS23" s="217">
        <f t="shared" si="14"/>
        <v>37.203499496294569</v>
      </c>
      <c r="AT23" s="217">
        <f>VLOOKUP(AW23,RawRTF!$C$1:$DC$178,82,FALSE)</f>
        <v>0</v>
      </c>
      <c r="AU23" s="219">
        <f t="shared" si="15"/>
        <v>1.2065557921644423</v>
      </c>
      <c r="AV23" s="214"/>
      <c r="AW23" s="212" t="str">
        <f t="shared" si="24"/>
        <v>CEE Tier 1 Dishwasher - Any DHW</v>
      </c>
      <c r="AX23" s="212" t="s">
        <v>220</v>
      </c>
      <c r="AY23" s="219">
        <f t="shared" si="16"/>
        <v>1.2065557921644423</v>
      </c>
      <c r="AZ23" s="219">
        <f>'SF Assumptions'!$D$31</f>
        <v>15.4</v>
      </c>
      <c r="BA23" s="220">
        <f t="shared" si="17"/>
        <v>6.1994832121220673</v>
      </c>
      <c r="BB23" s="212"/>
      <c r="BC23" s="211" t="s">
        <v>221</v>
      </c>
      <c r="BD23" s="221">
        <f>AF23*'SF Assumptions'!$D$36/1000</f>
        <v>0.34363012309752472</v>
      </c>
      <c r="BE23" s="212"/>
      <c r="BF23" s="212"/>
      <c r="BG23" s="212"/>
      <c r="BH23" s="212"/>
      <c r="BI23" s="212"/>
      <c r="BJ23" s="212"/>
      <c r="BK23" s="222">
        <f t="shared" si="18"/>
        <v>0.12742085497890615</v>
      </c>
      <c r="BL23" s="212" t="s">
        <v>221</v>
      </c>
    </row>
    <row r="24" spans="1:65">
      <c r="A24" s="224">
        <f t="shared" ref="A24:A29" si="25">A18</f>
        <v>1</v>
      </c>
      <c r="B24" s="224">
        <f t="shared" si="0"/>
        <v>1</v>
      </c>
      <c r="C24" s="224">
        <f t="shared" si="1"/>
        <v>1</v>
      </c>
      <c r="D24" s="224">
        <f t="shared" si="20"/>
        <v>1</v>
      </c>
      <c r="E24" s="224">
        <f t="shared" si="21"/>
        <v>1</v>
      </c>
      <c r="F24" s="224"/>
      <c r="G24" s="224" t="str">
        <f t="shared" si="2"/>
        <v>180 to 307 kWh/year- All- Baseline (effective May 2013)</v>
      </c>
      <c r="H24" s="224" t="str">
        <f t="shared" si="3"/>
        <v>180 to 295  kWh/year - Energy Star as of January 20, 2012</v>
      </c>
      <c r="I24" s="224" t="str">
        <f t="shared" si="4"/>
        <v>Electric DHW</v>
      </c>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4"/>
      <c r="AP24" s="224"/>
      <c r="AQ24" s="224"/>
      <c r="AR24" s="224"/>
      <c r="AS24" s="224"/>
      <c r="AT24" s="224"/>
      <c r="AU24" s="224"/>
      <c r="AV24" s="224"/>
      <c r="AW24" s="224" t="str">
        <f t="shared" ref="AW24:AW29" si="26">AW18</f>
        <v>Energy Star Dishwasher - Electric DHW</v>
      </c>
      <c r="AX24" s="224" t="s">
        <v>222</v>
      </c>
      <c r="AY24" s="225">
        <f>$AF18*'SF Assumptions'!$D$34/1000</f>
        <v>0.19001627921082875</v>
      </c>
      <c r="AZ24" s="224">
        <f>'SF Assumptions'!$D$31</f>
        <v>15.4</v>
      </c>
      <c r="BA24" s="224">
        <v>0</v>
      </c>
      <c r="BB24" s="224"/>
      <c r="BC24" s="226" t="s">
        <v>223</v>
      </c>
      <c r="BD24" s="224">
        <v>0</v>
      </c>
      <c r="BE24" s="224"/>
      <c r="BF24" s="224"/>
      <c r="BG24" s="224"/>
      <c r="BH24" s="224"/>
      <c r="BI24" s="224"/>
      <c r="BJ24" s="224"/>
      <c r="BK24" s="224">
        <v>0</v>
      </c>
      <c r="BL24" s="224"/>
    </row>
    <row r="25" spans="1:65">
      <c r="A25" s="224">
        <f t="shared" si="25"/>
        <v>2</v>
      </c>
      <c r="B25" s="224">
        <f t="shared" si="0"/>
        <v>1</v>
      </c>
      <c r="C25" s="224">
        <f t="shared" si="1"/>
        <v>2</v>
      </c>
      <c r="D25" s="224">
        <f t="shared" si="20"/>
        <v>1</v>
      </c>
      <c r="E25" s="224">
        <f t="shared" si="21"/>
        <v>2</v>
      </c>
      <c r="F25" s="224"/>
      <c r="G25" s="224" t="str">
        <f t="shared" si="2"/>
        <v>180 to 307 kWh/year- All- Baseline (effective May 2013)</v>
      </c>
      <c r="H25" s="224" t="str">
        <f t="shared" si="3"/>
        <v>180 to 295  kWh/year - Energy Star as of January 20, 2012</v>
      </c>
      <c r="I25" s="224" t="str">
        <f t="shared" si="4"/>
        <v>Gas DHW</v>
      </c>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24"/>
      <c r="AT25" s="224"/>
      <c r="AU25" s="224"/>
      <c r="AV25" s="224"/>
      <c r="AW25" s="224" t="str">
        <f t="shared" si="26"/>
        <v>Energy Star Dishwasher - Gas DHW</v>
      </c>
      <c r="AX25" s="224" t="s">
        <v>222</v>
      </c>
      <c r="AY25" s="225">
        <f>$AF19*'SF Assumptions'!$D$34/1000</f>
        <v>0.19001627921082875</v>
      </c>
      <c r="AZ25" s="224">
        <f>'SF Assumptions'!$D$31</f>
        <v>15.4</v>
      </c>
      <c r="BA25" s="224">
        <v>0</v>
      </c>
      <c r="BB25" s="224"/>
      <c r="BC25" s="226" t="s">
        <v>223</v>
      </c>
      <c r="BD25" s="224">
        <v>0</v>
      </c>
      <c r="BE25" s="224"/>
      <c r="BF25" s="224"/>
      <c r="BG25" s="224"/>
      <c r="BH25" s="224"/>
      <c r="BI25" s="224"/>
      <c r="BJ25" s="224"/>
      <c r="BK25" s="224">
        <v>0</v>
      </c>
      <c r="BL25" s="224"/>
    </row>
    <row r="26" spans="1:65">
      <c r="A26" s="224">
        <f t="shared" si="25"/>
        <v>3</v>
      </c>
      <c r="B26" s="224">
        <f t="shared" si="0"/>
        <v>1</v>
      </c>
      <c r="C26" s="224">
        <f t="shared" si="1"/>
        <v>3</v>
      </c>
      <c r="D26" s="224">
        <f t="shared" si="20"/>
        <v>1</v>
      </c>
      <c r="E26" s="224">
        <f t="shared" si="21"/>
        <v>3</v>
      </c>
      <c r="F26" s="224"/>
      <c r="G26" s="224" t="str">
        <f t="shared" si="2"/>
        <v>180 to 307 kWh/year- All- Baseline (effective May 2013)</v>
      </c>
      <c r="H26" s="224" t="str">
        <f t="shared" si="3"/>
        <v>180 to 295  kWh/year - Energy Star as of January 20, 2012</v>
      </c>
      <c r="I26" s="224" t="str">
        <f t="shared" si="4"/>
        <v>Any DHW</v>
      </c>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4"/>
      <c r="AR26" s="224"/>
      <c r="AS26" s="224"/>
      <c r="AT26" s="224"/>
      <c r="AU26" s="224"/>
      <c r="AV26" s="224"/>
      <c r="AW26" s="224" t="str">
        <f t="shared" si="26"/>
        <v>Energy Star Dishwasher - Any DHW</v>
      </c>
      <c r="AX26" s="224" t="s">
        <v>222</v>
      </c>
      <c r="AY26" s="225">
        <f>$AF20*'SF Assumptions'!$D$34/1000</f>
        <v>0.19001627921082875</v>
      </c>
      <c r="AZ26" s="224">
        <f>'SF Assumptions'!$D$31</f>
        <v>15.4</v>
      </c>
      <c r="BA26" s="224">
        <v>0</v>
      </c>
      <c r="BB26" s="224"/>
      <c r="BC26" s="226" t="s">
        <v>223</v>
      </c>
      <c r="BD26" s="224">
        <v>0</v>
      </c>
      <c r="BE26" s="224"/>
      <c r="BF26" s="224"/>
      <c r="BG26" s="224"/>
      <c r="BH26" s="224"/>
      <c r="BI26" s="224"/>
      <c r="BJ26" s="224"/>
      <c r="BK26" s="224">
        <v>0</v>
      </c>
      <c r="BL26" s="224"/>
    </row>
    <row r="27" spans="1:65">
      <c r="A27" s="224">
        <f t="shared" si="25"/>
        <v>4</v>
      </c>
      <c r="B27" s="224">
        <f t="shared" si="0"/>
        <v>1</v>
      </c>
      <c r="C27" s="224">
        <f t="shared" si="1"/>
        <v>4</v>
      </c>
      <c r="D27" s="224">
        <f t="shared" si="20"/>
        <v>2</v>
      </c>
      <c r="E27" s="224">
        <f t="shared" si="21"/>
        <v>1</v>
      </c>
      <c r="F27" s="224"/>
      <c r="G27" s="224" t="str">
        <f t="shared" si="2"/>
        <v>180 to 307 kWh/year- All- Baseline (effective May 2013)</v>
      </c>
      <c r="H27" s="224" t="str">
        <f t="shared" si="3"/>
        <v>180 to 295  kWh/year - CEE Tier 1 as of January 20, 2012;  min EF= 0.75</v>
      </c>
      <c r="I27" s="224" t="str">
        <f t="shared" si="4"/>
        <v>Electric DHW</v>
      </c>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224"/>
      <c r="AO27" s="224"/>
      <c r="AP27" s="224"/>
      <c r="AQ27" s="224"/>
      <c r="AR27" s="224"/>
      <c r="AS27" s="224"/>
      <c r="AT27" s="224"/>
      <c r="AU27" s="224"/>
      <c r="AV27" s="224"/>
      <c r="AW27" s="224" t="str">
        <f t="shared" si="26"/>
        <v>CEE Tier 1 Dishwasher - Electric DHW</v>
      </c>
      <c r="AX27" s="224" t="s">
        <v>222</v>
      </c>
      <c r="AY27" s="225">
        <f>$AF21*'SF Assumptions'!$D$34/1000</f>
        <v>0.19680651233539828</v>
      </c>
      <c r="AZ27" s="224">
        <f>'SF Assumptions'!$D$31</f>
        <v>15.4</v>
      </c>
      <c r="BA27" s="224">
        <v>0</v>
      </c>
      <c r="BB27" s="224"/>
      <c r="BC27" s="226" t="s">
        <v>223</v>
      </c>
      <c r="BD27" s="224">
        <v>0</v>
      </c>
      <c r="BE27" s="224"/>
      <c r="BF27" s="224"/>
      <c r="BG27" s="224"/>
      <c r="BH27" s="224"/>
      <c r="BI27" s="224"/>
      <c r="BJ27" s="224"/>
      <c r="BK27" s="224">
        <v>0</v>
      </c>
      <c r="BL27" s="224"/>
    </row>
    <row r="28" spans="1:65">
      <c r="A28" s="224">
        <f t="shared" si="25"/>
        <v>5</v>
      </c>
      <c r="B28" s="224">
        <f t="shared" si="0"/>
        <v>1</v>
      </c>
      <c r="C28" s="224">
        <f t="shared" si="1"/>
        <v>5</v>
      </c>
      <c r="D28" s="224">
        <f t="shared" si="20"/>
        <v>2</v>
      </c>
      <c r="E28" s="224">
        <f t="shared" si="21"/>
        <v>2</v>
      </c>
      <c r="F28" s="224"/>
      <c r="G28" s="224" t="str">
        <f t="shared" si="2"/>
        <v>180 to 307 kWh/year- All- Baseline (effective May 2013)</v>
      </c>
      <c r="H28" s="224" t="str">
        <f t="shared" si="3"/>
        <v>180 to 295  kWh/year - CEE Tier 1 as of January 20, 2012;  min EF= 0.75</v>
      </c>
      <c r="I28" s="224" t="str">
        <f t="shared" si="4"/>
        <v>Gas DHW</v>
      </c>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4"/>
      <c r="AM28" s="224"/>
      <c r="AN28" s="224"/>
      <c r="AO28" s="224"/>
      <c r="AP28" s="224"/>
      <c r="AQ28" s="224"/>
      <c r="AR28" s="224"/>
      <c r="AS28" s="224"/>
      <c r="AT28" s="224"/>
      <c r="AU28" s="224"/>
      <c r="AV28" s="224"/>
      <c r="AW28" s="224" t="str">
        <f t="shared" si="26"/>
        <v>CEE Tier 1 Dishwasher - Gas DHW</v>
      </c>
      <c r="AX28" s="224" t="s">
        <v>222</v>
      </c>
      <c r="AY28" s="225">
        <f>$AF22*'SF Assumptions'!$D$34/1000</f>
        <v>0.19680651233539828</v>
      </c>
      <c r="AZ28" s="224">
        <f>'SF Assumptions'!$D$31</f>
        <v>15.4</v>
      </c>
      <c r="BA28" s="224">
        <v>0</v>
      </c>
      <c r="BB28" s="224"/>
      <c r="BC28" s="226" t="s">
        <v>223</v>
      </c>
      <c r="BD28" s="224">
        <v>0</v>
      </c>
      <c r="BE28" s="224"/>
      <c r="BF28" s="224"/>
      <c r="BG28" s="224"/>
      <c r="BH28" s="224"/>
      <c r="BI28" s="224"/>
      <c r="BJ28" s="224"/>
      <c r="BK28" s="224">
        <v>0</v>
      </c>
      <c r="BL28" s="224"/>
    </row>
    <row r="29" spans="1:65">
      <c r="A29" s="224">
        <f t="shared" si="25"/>
        <v>6</v>
      </c>
      <c r="B29" s="224">
        <f t="shared" si="0"/>
        <v>1</v>
      </c>
      <c r="C29" s="224">
        <f t="shared" si="1"/>
        <v>6</v>
      </c>
      <c r="D29" s="224">
        <f t="shared" si="20"/>
        <v>2</v>
      </c>
      <c r="E29" s="224">
        <f t="shared" si="21"/>
        <v>3</v>
      </c>
      <c r="F29" s="224"/>
      <c r="G29" s="224" t="str">
        <f t="shared" si="2"/>
        <v>180 to 307 kWh/year- All- Baseline (effective May 2013)</v>
      </c>
      <c r="H29" s="224" t="str">
        <f t="shared" si="3"/>
        <v>180 to 295  kWh/year - CEE Tier 1 as of January 20, 2012;  min EF= 0.75</v>
      </c>
      <c r="I29" s="224" t="str">
        <f t="shared" si="4"/>
        <v>Any DHW</v>
      </c>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4"/>
      <c r="AQ29" s="224"/>
      <c r="AR29" s="224"/>
      <c r="AS29" s="224"/>
      <c r="AT29" s="224"/>
      <c r="AU29" s="224"/>
      <c r="AV29" s="224"/>
      <c r="AW29" s="224" t="str">
        <f t="shared" si="26"/>
        <v>CEE Tier 1 Dishwasher - Any DHW</v>
      </c>
      <c r="AX29" s="224" t="s">
        <v>222</v>
      </c>
      <c r="AY29" s="225">
        <f>$AF23*'SF Assumptions'!$D$34/1000</f>
        <v>0.19680651233539828</v>
      </c>
      <c r="AZ29" s="224">
        <f>'SF Assumptions'!$D$31</f>
        <v>15.4</v>
      </c>
      <c r="BA29" s="224">
        <v>0</v>
      </c>
      <c r="BB29" s="224"/>
      <c r="BC29" s="226" t="s">
        <v>223</v>
      </c>
      <c r="BD29" s="224">
        <v>0</v>
      </c>
      <c r="BE29" s="224"/>
      <c r="BF29" s="224"/>
      <c r="BG29" s="224"/>
      <c r="BH29" s="224"/>
      <c r="BI29" s="224"/>
      <c r="BJ29" s="224"/>
      <c r="BK29" s="224">
        <v>0</v>
      </c>
      <c r="BL29" s="224"/>
    </row>
    <row r="30" spans="1:65">
      <c r="J30" s="227"/>
      <c r="K30" s="227"/>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M30" s="223"/>
      <c r="AN30" s="228"/>
      <c r="AO30" s="223"/>
      <c r="AP30" s="223"/>
      <c r="AQ30" s="223"/>
      <c r="AR30" s="223"/>
      <c r="AS30" s="223"/>
      <c r="AT30" s="223"/>
      <c r="AU30" s="223"/>
      <c r="AV30" s="223"/>
      <c r="AW30" s="227"/>
      <c r="AX30" s="229"/>
      <c r="AY30" s="230"/>
      <c r="AZ30" s="230"/>
      <c r="BA30" s="227"/>
      <c r="BB30" s="227"/>
      <c r="BC30" s="231"/>
    </row>
    <row r="31" spans="1:65">
      <c r="J31" s="227"/>
      <c r="K31" s="227"/>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8"/>
      <c r="AO31" s="223"/>
      <c r="AP31" s="223"/>
      <c r="AQ31" s="223"/>
      <c r="AR31" s="223"/>
      <c r="AS31" s="223"/>
      <c r="AT31" s="223"/>
      <c r="AU31" s="223"/>
      <c r="AV31" s="223"/>
      <c r="AW31" s="227"/>
      <c r="AX31" s="229"/>
      <c r="AY31" s="230"/>
      <c r="AZ31" s="230"/>
      <c r="BA31" s="227"/>
      <c r="BB31" s="227"/>
      <c r="BC31" s="231"/>
    </row>
    <row r="32" spans="1:65">
      <c r="J32" s="227"/>
      <c r="K32" s="227"/>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8"/>
      <c r="AO32" s="223"/>
      <c r="AP32" s="223"/>
      <c r="AQ32" s="223"/>
      <c r="AR32" s="223"/>
      <c r="AS32" s="223"/>
      <c r="AT32" s="223"/>
      <c r="AU32" s="223"/>
      <c r="AV32" s="223"/>
      <c r="AW32" s="227"/>
      <c r="AX32" s="229"/>
      <c r="AY32" s="230"/>
      <c r="AZ32" s="230"/>
      <c r="BA32" s="227"/>
      <c r="BB32" s="227"/>
      <c r="BC32" s="231"/>
    </row>
    <row r="33" spans="12:55">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8"/>
      <c r="AO33" s="223"/>
      <c r="AP33" s="223"/>
      <c r="AQ33" s="223"/>
      <c r="AR33" s="223"/>
      <c r="AS33" s="223"/>
      <c r="AT33" s="223"/>
      <c r="AU33" s="223"/>
      <c r="AV33" s="223"/>
      <c r="AW33" s="227"/>
      <c r="AX33" s="229"/>
      <c r="AY33" s="230"/>
      <c r="AZ33" s="230"/>
      <c r="BA33" s="227"/>
      <c r="BB33" s="227"/>
      <c r="BC33" s="231"/>
    </row>
    <row r="34" spans="12:55">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8"/>
      <c r="AO34" s="223"/>
      <c r="AP34" s="223"/>
      <c r="AQ34" s="223"/>
      <c r="AR34" s="223"/>
      <c r="AS34" s="223"/>
      <c r="AT34" s="223"/>
      <c r="AU34" s="223"/>
      <c r="AV34" s="223"/>
      <c r="AW34" s="227"/>
      <c r="AX34" s="229"/>
      <c r="AY34" s="230"/>
      <c r="AZ34" s="230"/>
      <c r="BA34" s="227"/>
      <c r="BB34" s="227"/>
      <c r="BC34" s="231"/>
    </row>
  </sheetData>
  <mergeCells count="8">
    <mergeCell ref="BE16:BJ16"/>
    <mergeCell ref="BK16:BL16"/>
    <mergeCell ref="P16:R16"/>
    <mergeCell ref="S16:U16"/>
    <mergeCell ref="Y16:AA16"/>
    <mergeCell ref="AB16:AD16"/>
    <mergeCell ref="AH16:AJ16"/>
    <mergeCell ref="AK16:AM16"/>
  </mergeCells>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heet6"/>
  <dimension ref="A1:BM34"/>
  <sheetViews>
    <sheetView topLeftCell="W1" workbookViewId="0">
      <selection activeCell="X17" sqref="X17"/>
    </sheetView>
  </sheetViews>
  <sheetFormatPr defaultRowHeight="12.75"/>
  <cols>
    <col min="1" max="6" width="9.140625" style="34"/>
    <col min="7" max="7" width="67.5703125" style="34" customWidth="1"/>
    <col min="8" max="8" width="33.85546875" style="34" customWidth="1"/>
    <col min="9" max="12" width="9.140625" style="34"/>
    <col min="13" max="14" width="8.7109375" style="34" customWidth="1"/>
    <col min="15" max="22" width="9.140625" style="34"/>
    <col min="23" max="23" width="8.7109375" style="34" customWidth="1"/>
    <col min="24" max="40" width="9.140625" style="34"/>
    <col min="41" max="41" width="54" style="34" customWidth="1"/>
    <col min="42" max="48" width="9.140625" style="34"/>
    <col min="49" max="49" width="25.42578125" style="34" customWidth="1"/>
    <col min="50" max="50" width="9.140625" style="34"/>
    <col min="51" max="51" width="9.5703125" style="34" bestFit="1" customWidth="1"/>
    <col min="52" max="16384" width="9.140625" style="34"/>
  </cols>
  <sheetData>
    <row r="1" spans="2:64">
      <c r="B1" s="180">
        <v>1</v>
      </c>
      <c r="C1" s="181" t="s">
        <v>651</v>
      </c>
      <c r="D1" s="182"/>
      <c r="E1" s="182"/>
      <c r="F1" s="183"/>
      <c r="G1" s="184" t="s">
        <v>652</v>
      </c>
      <c r="H1" s="184" t="s">
        <v>653</v>
      </c>
      <c r="I1" s="185"/>
      <c r="J1" s="181" t="s">
        <v>654</v>
      </c>
      <c r="K1" s="181" t="s">
        <v>19</v>
      </c>
      <c r="L1" s="183"/>
      <c r="M1" s="181" t="s">
        <v>655</v>
      </c>
      <c r="N1" s="181" t="s">
        <v>656</v>
      </c>
      <c r="O1" s="184" t="s">
        <v>657</v>
      </c>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c r="AW1" s="183"/>
      <c r="AX1" s="183"/>
      <c r="AY1" s="183"/>
      <c r="AZ1" s="183"/>
      <c r="BA1" s="183"/>
      <c r="BB1" s="183"/>
      <c r="BC1" s="183"/>
      <c r="BD1" s="183"/>
      <c r="BE1" s="183"/>
      <c r="BF1" s="183"/>
      <c r="BG1" s="183"/>
      <c r="BH1" s="183"/>
      <c r="BI1" s="183"/>
      <c r="BJ1" s="183"/>
      <c r="BK1" s="183"/>
      <c r="BL1" s="183"/>
    </row>
    <row r="2" spans="2:64" ht="25.5">
      <c r="B2" s="180">
        <v>2</v>
      </c>
      <c r="C2" s="181" t="s">
        <v>658</v>
      </c>
      <c r="D2" s="182"/>
      <c r="E2" s="182"/>
      <c r="F2" s="183"/>
      <c r="G2" s="186">
        <v>1</v>
      </c>
      <c r="H2" s="187" t="str">
        <f>'Baseline and Measure Cases'!H2</f>
        <v>180 to 307 kWh/year- All- Baseline (effective May 2013)</v>
      </c>
      <c r="I2" s="183"/>
      <c r="J2" s="186">
        <v>1</v>
      </c>
      <c r="K2" s="188" t="str">
        <f>'Baseline and Measure Cases'!D2</f>
        <v>180 to 295  kWh/year - Energy Star as of January 20, 2012</v>
      </c>
      <c r="L2" s="183"/>
      <c r="M2" s="186">
        <v>1</v>
      </c>
      <c r="N2" s="189" t="s">
        <v>659</v>
      </c>
      <c r="O2" s="190">
        <v>1</v>
      </c>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c r="BI2" s="183"/>
      <c r="BJ2" s="183"/>
      <c r="BK2" s="183"/>
      <c r="BL2" s="183"/>
    </row>
    <row r="3" spans="2:64">
      <c r="B3" s="180">
        <v>3</v>
      </c>
      <c r="C3" s="181" t="s">
        <v>660</v>
      </c>
      <c r="D3" s="182"/>
      <c r="E3" s="182"/>
      <c r="F3" s="183"/>
      <c r="I3" s="183"/>
      <c r="J3" s="186">
        <v>2</v>
      </c>
      <c r="K3" s="188" t="str">
        <f>'Baseline and Measure Cases'!E2</f>
        <v>180 to 295  kWh/year - CEE Tier 1 as of January 20, 2012;  min EF= 0.75</v>
      </c>
      <c r="L3" s="183"/>
      <c r="M3" s="186">
        <v>2</v>
      </c>
      <c r="N3" s="189" t="s">
        <v>661</v>
      </c>
      <c r="O3" s="190">
        <v>0</v>
      </c>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c r="AR3" s="183"/>
      <c r="AS3" s="183"/>
      <c r="AT3" s="183"/>
      <c r="AU3" s="183"/>
      <c r="AV3" s="183"/>
      <c r="AW3" s="183"/>
      <c r="AX3" s="183"/>
      <c r="AY3" s="183"/>
      <c r="AZ3" s="183"/>
      <c r="BA3" s="183"/>
      <c r="BB3" s="183"/>
      <c r="BC3" s="183"/>
      <c r="BD3" s="183"/>
      <c r="BE3" s="183"/>
      <c r="BF3" s="183"/>
      <c r="BG3" s="183"/>
      <c r="BH3" s="183"/>
      <c r="BI3" s="183"/>
      <c r="BJ3" s="183"/>
      <c r="BK3" s="183"/>
      <c r="BL3" s="183"/>
    </row>
    <row r="4" spans="2:64">
      <c r="B4" s="183"/>
      <c r="C4" s="183"/>
      <c r="D4" s="183"/>
      <c r="E4" s="183"/>
      <c r="F4" s="183"/>
      <c r="G4" s="191"/>
      <c r="H4" s="192"/>
      <c r="I4" s="183"/>
      <c r="J4" s="191"/>
      <c r="K4" s="193"/>
      <c r="L4" s="183"/>
      <c r="M4" s="186">
        <v>3</v>
      </c>
      <c r="N4" s="189" t="s">
        <v>662</v>
      </c>
      <c r="O4" s="190">
        <f>'MF Assumptions'!D43</f>
        <v>0.94699999999999995</v>
      </c>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83"/>
      <c r="BK4" s="183"/>
      <c r="BL4" s="183"/>
    </row>
    <row r="5" spans="2:64">
      <c r="B5" s="183"/>
      <c r="C5" s="183"/>
      <c r="D5" s="183"/>
      <c r="E5" s="183"/>
      <c r="F5" s="183"/>
      <c r="G5" s="183"/>
      <c r="H5" s="183"/>
      <c r="I5" s="183"/>
      <c r="J5" s="191"/>
      <c r="K5" s="19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c r="AW5" s="183"/>
      <c r="AX5" s="183"/>
      <c r="AY5" s="183"/>
      <c r="AZ5" s="183"/>
      <c r="BA5" s="183"/>
      <c r="BB5" s="183"/>
      <c r="BC5" s="183"/>
      <c r="BD5" s="183"/>
      <c r="BE5" s="183"/>
      <c r="BF5" s="183"/>
      <c r="BG5" s="183"/>
      <c r="BH5" s="183"/>
      <c r="BI5" s="183"/>
      <c r="BJ5" s="183"/>
      <c r="BK5" s="183"/>
      <c r="BL5" s="183"/>
    </row>
    <row r="6" spans="2:64">
      <c r="B6" s="183"/>
      <c r="C6" s="183"/>
      <c r="D6" s="183"/>
      <c r="E6" s="183"/>
      <c r="F6" s="183"/>
      <c r="G6" s="183"/>
      <c r="H6" s="183"/>
      <c r="I6" s="183"/>
      <c r="J6" s="191"/>
      <c r="K6" s="19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3"/>
      <c r="BI6" s="183"/>
      <c r="BJ6" s="183"/>
      <c r="BK6" s="183"/>
      <c r="BL6" s="183"/>
    </row>
    <row r="7" spans="2:64">
      <c r="B7" s="183"/>
      <c r="C7" s="183"/>
      <c r="D7" s="183"/>
      <c r="E7" s="183"/>
      <c r="F7" s="183"/>
      <c r="G7" s="183"/>
      <c r="H7" s="183"/>
      <c r="I7" s="183"/>
      <c r="J7" s="191"/>
      <c r="K7" s="19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BB7" s="183"/>
      <c r="BC7" s="183"/>
      <c r="BD7" s="183"/>
      <c r="BE7" s="183"/>
      <c r="BF7" s="183"/>
      <c r="BG7" s="183"/>
      <c r="BH7" s="183"/>
      <c r="BI7" s="183"/>
      <c r="BJ7" s="183"/>
      <c r="BK7" s="183"/>
      <c r="BL7" s="183"/>
    </row>
    <row r="8" spans="2:64">
      <c r="B8" s="183"/>
      <c r="C8" s="183"/>
      <c r="D8" s="183"/>
      <c r="E8" s="183"/>
      <c r="F8" s="183"/>
      <c r="G8" s="183"/>
      <c r="H8" s="183"/>
      <c r="I8" s="183"/>
      <c r="J8" s="191"/>
      <c r="K8" s="19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3"/>
      <c r="BI8" s="183"/>
      <c r="BJ8" s="183"/>
      <c r="BK8" s="183"/>
      <c r="BL8" s="183"/>
    </row>
    <row r="9" spans="2:64">
      <c r="B9" s="183"/>
      <c r="C9" s="183"/>
      <c r="D9" s="183"/>
      <c r="E9" s="183"/>
      <c r="F9" s="183"/>
      <c r="G9" s="183"/>
      <c r="H9" s="183"/>
      <c r="I9" s="183"/>
      <c r="J9" s="191"/>
      <c r="K9" s="19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3"/>
    </row>
    <row r="15" spans="2:64">
      <c r="B15" s="183"/>
      <c r="C15" s="183"/>
      <c r="D15" s="183"/>
      <c r="E15" s="183"/>
      <c r="F15" s="183"/>
      <c r="G15" s="183"/>
      <c r="H15" s="183"/>
      <c r="I15" s="183"/>
      <c r="J15" s="183"/>
      <c r="K15" s="183"/>
      <c r="L15" s="183"/>
      <c r="M15" s="183"/>
      <c r="N15" s="194" t="s">
        <v>663</v>
      </c>
      <c r="O15" s="195"/>
      <c r="P15" s="195"/>
      <c r="Q15" s="195"/>
      <c r="R15" s="195"/>
      <c r="S15" s="195"/>
      <c r="T15" s="195"/>
      <c r="U15" s="195"/>
      <c r="V15" s="183"/>
      <c r="W15" s="196" t="s">
        <v>664</v>
      </c>
      <c r="X15" s="197"/>
      <c r="Y15" s="197"/>
      <c r="Z15" s="197"/>
      <c r="AA15" s="197"/>
      <c r="AB15" s="197"/>
      <c r="AC15" s="197"/>
      <c r="AD15" s="197"/>
      <c r="AE15" s="183"/>
      <c r="AF15" s="196" t="s">
        <v>665</v>
      </c>
      <c r="AG15" s="197"/>
      <c r="AH15" s="197"/>
      <c r="AI15" s="197"/>
      <c r="AJ15" s="197"/>
      <c r="AK15" s="197"/>
      <c r="AL15" s="197"/>
      <c r="AM15" s="197"/>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row>
    <row r="16" spans="2:64">
      <c r="B16" s="183"/>
      <c r="C16" s="183"/>
      <c r="D16" s="183"/>
      <c r="E16" s="183"/>
      <c r="F16" s="183"/>
      <c r="G16" s="183"/>
      <c r="H16" s="183"/>
      <c r="I16" s="183"/>
      <c r="J16" s="183"/>
      <c r="K16" s="183"/>
      <c r="L16" s="183"/>
      <c r="M16" s="183"/>
      <c r="N16" s="183"/>
      <c r="O16" s="183"/>
      <c r="P16" s="673" t="s">
        <v>666</v>
      </c>
      <c r="Q16" s="673"/>
      <c r="R16" s="673"/>
      <c r="S16" s="674" t="s">
        <v>667</v>
      </c>
      <c r="T16" s="674"/>
      <c r="U16" s="674"/>
      <c r="V16" s="198"/>
      <c r="W16" s="183"/>
      <c r="X16" s="183"/>
      <c r="Y16" s="675" t="s">
        <v>666</v>
      </c>
      <c r="Z16" s="675"/>
      <c r="AA16" s="675"/>
      <c r="AB16" s="675" t="s">
        <v>667</v>
      </c>
      <c r="AC16" s="675"/>
      <c r="AD16" s="675"/>
      <c r="AE16" s="198"/>
      <c r="AF16" s="183"/>
      <c r="AG16" s="183"/>
      <c r="AH16" s="675" t="s">
        <v>666</v>
      </c>
      <c r="AI16" s="675"/>
      <c r="AJ16" s="675"/>
      <c r="AK16" s="675" t="s">
        <v>667</v>
      </c>
      <c r="AL16" s="675"/>
      <c r="AM16" s="675"/>
      <c r="AN16" s="183"/>
      <c r="AO16" s="183"/>
      <c r="AP16" s="183"/>
      <c r="AQ16" s="199" t="s">
        <v>218</v>
      </c>
      <c r="AR16" s="200"/>
      <c r="AS16" s="200"/>
      <c r="AT16" s="200"/>
      <c r="AU16" s="183"/>
      <c r="AV16" s="183"/>
      <c r="AW16" s="201" t="s">
        <v>200</v>
      </c>
      <c r="AX16" s="202"/>
      <c r="AY16" s="202"/>
      <c r="AZ16" s="202"/>
      <c r="BA16" s="202"/>
      <c r="BB16" s="202"/>
      <c r="BC16" s="203"/>
      <c r="BD16" s="204"/>
      <c r="BE16" s="626" t="s">
        <v>201</v>
      </c>
      <c r="BF16" s="627"/>
      <c r="BG16" s="627"/>
      <c r="BH16" s="627"/>
      <c r="BI16" s="627"/>
      <c r="BJ16" s="628"/>
      <c r="BK16" s="671" t="s">
        <v>202</v>
      </c>
      <c r="BL16" s="672"/>
    </row>
    <row r="17" spans="1:65" ht="63.75">
      <c r="A17" s="205" t="s">
        <v>668</v>
      </c>
      <c r="B17" s="205" t="s">
        <v>669</v>
      </c>
      <c r="C17" s="205" t="s">
        <v>670</v>
      </c>
      <c r="D17" s="205" t="s">
        <v>219</v>
      </c>
      <c r="E17" s="205" t="s">
        <v>671</v>
      </c>
      <c r="F17" s="205"/>
      <c r="G17" s="205" t="s">
        <v>653</v>
      </c>
      <c r="H17" s="205" t="s">
        <v>19</v>
      </c>
      <c r="I17" s="205" t="s">
        <v>656</v>
      </c>
      <c r="J17" s="205"/>
      <c r="K17" s="205"/>
      <c r="L17" s="206" t="s">
        <v>672</v>
      </c>
      <c r="M17" s="206"/>
      <c r="N17" s="206" t="s">
        <v>673</v>
      </c>
      <c r="O17" s="206" t="s">
        <v>674</v>
      </c>
      <c r="P17" s="206" t="s">
        <v>675</v>
      </c>
      <c r="Q17" s="206"/>
      <c r="R17" s="206" t="s">
        <v>676</v>
      </c>
      <c r="S17" s="206" t="s">
        <v>677</v>
      </c>
      <c r="T17" s="206"/>
      <c r="U17" s="206" t="s">
        <v>678</v>
      </c>
      <c r="V17" s="207"/>
      <c r="W17" s="206" t="s">
        <v>673</v>
      </c>
      <c r="X17" s="206" t="s">
        <v>1097</v>
      </c>
      <c r="Y17" s="206" t="s">
        <v>675</v>
      </c>
      <c r="Z17" s="206"/>
      <c r="AA17" s="206" t="s">
        <v>676</v>
      </c>
      <c r="AB17" s="206" t="s">
        <v>677</v>
      </c>
      <c r="AC17" s="206"/>
      <c r="AD17" s="206" t="s">
        <v>678</v>
      </c>
      <c r="AE17" s="207"/>
      <c r="AF17" s="206" t="s">
        <v>673</v>
      </c>
      <c r="AG17" s="206" t="s">
        <v>1097</v>
      </c>
      <c r="AH17" s="206" t="s">
        <v>675</v>
      </c>
      <c r="AI17" s="206"/>
      <c r="AJ17" s="206" t="s">
        <v>676</v>
      </c>
      <c r="AK17" s="206" t="s">
        <v>677</v>
      </c>
      <c r="AL17" s="206"/>
      <c r="AM17" s="206" t="s">
        <v>678</v>
      </c>
      <c r="AN17" s="183"/>
      <c r="AO17" s="208" t="s">
        <v>204</v>
      </c>
      <c r="AP17" s="208" t="s">
        <v>189</v>
      </c>
      <c r="AQ17" s="209" t="s">
        <v>1</v>
      </c>
      <c r="AR17" s="209" t="s">
        <v>679</v>
      </c>
      <c r="AS17" s="209" t="s">
        <v>680</v>
      </c>
      <c r="AT17" s="209" t="s">
        <v>681</v>
      </c>
      <c r="AU17" s="208" t="s">
        <v>682</v>
      </c>
      <c r="AV17" s="209"/>
      <c r="AW17" s="129" t="s">
        <v>203</v>
      </c>
      <c r="AX17" s="129" t="s">
        <v>204</v>
      </c>
      <c r="AY17" s="129" t="s">
        <v>205</v>
      </c>
      <c r="AZ17" s="129" t="s">
        <v>206</v>
      </c>
      <c r="BA17" s="129" t="s">
        <v>207</v>
      </c>
      <c r="BB17" s="129" t="s">
        <v>208</v>
      </c>
      <c r="BC17" s="130" t="s">
        <v>209</v>
      </c>
      <c r="BD17" s="131" t="s">
        <v>210</v>
      </c>
      <c r="BE17" s="131" t="s">
        <v>211</v>
      </c>
      <c r="BF17" s="131" t="s">
        <v>212</v>
      </c>
      <c r="BG17" s="131" t="s">
        <v>213</v>
      </c>
      <c r="BH17" s="131" t="s">
        <v>214</v>
      </c>
      <c r="BI17" s="131" t="s">
        <v>215</v>
      </c>
      <c r="BJ17" s="131" t="s">
        <v>216</v>
      </c>
      <c r="BK17" s="210" t="s">
        <v>217</v>
      </c>
      <c r="BL17" s="131" t="s">
        <v>209</v>
      </c>
      <c r="BM17" s="183"/>
    </row>
    <row r="18" spans="1:65">
      <c r="A18" s="212">
        <v>1</v>
      </c>
      <c r="B18" s="212">
        <f t="shared" ref="B18:B29" si="0">CEILING(A18/($B$2*$B$3),1)</f>
        <v>1</v>
      </c>
      <c r="C18" s="212">
        <f t="shared" ref="C18:C29" si="1">CEILING(A18-(B18-1)*$B$2*$B$3,1)</f>
        <v>1</v>
      </c>
      <c r="D18" s="212">
        <f>CEILING(C18/$B$3,1)</f>
        <v>1</v>
      </c>
      <c r="E18" s="212">
        <f>C18-((D18-1)*$B$3)</f>
        <v>1</v>
      </c>
      <c r="F18" s="212"/>
      <c r="G18" s="212" t="str">
        <f t="shared" ref="G18:G29" si="2">VLOOKUP(B18,$G$2:$H$13,2,FALSE)</f>
        <v>180 to 307 kWh/year- All- Baseline (effective May 2013)</v>
      </c>
      <c r="H18" s="212" t="str">
        <f t="shared" ref="H18:H29" si="3">VLOOKUP(D18,$J$2:$K$12,2,FALSE)</f>
        <v>180 to 295  kWh/year - Energy Star as of January 20, 2012</v>
      </c>
      <c r="I18" s="212" t="str">
        <f t="shared" ref="I18:I29" si="4">VLOOKUP($E18,$M$2:$N$4,2,FALSE)</f>
        <v>Electric DHW</v>
      </c>
      <c r="J18" s="213"/>
      <c r="K18" s="213"/>
      <c r="L18" s="214">
        <f t="shared" ref="L18:L23" si="5">VLOOKUP($E18,$M$2:$O$4,3,FALSE)</f>
        <v>1</v>
      </c>
      <c r="M18" s="214"/>
      <c r="N18" s="215">
        <f>HLOOKUP($G18,'Baseline and Measure Cases'!$G$2:$J$20,16,FALSE)</f>
        <v>524.93046945337699</v>
      </c>
      <c r="O18" s="215">
        <f>HLOOKUP($G18,'Baseline and Measure Cases'!$G$2:$J$20,12,FALSE)</f>
        <v>0</v>
      </c>
      <c r="P18" s="215">
        <f>HLOOKUP($G18,'Baseline and Measure Cases'!$G$2:$J$20,19,FALSE)</f>
        <v>88.506942329768805</v>
      </c>
      <c r="Q18" s="215"/>
      <c r="R18" s="215">
        <f>HLOOKUP($G18,'Baseline and Measure Cases'!$G$2:$J$20,17,FALSE)</f>
        <v>88.188318868167329</v>
      </c>
      <c r="S18" s="216"/>
      <c r="T18" s="217"/>
      <c r="U18" s="216">
        <f>HLOOKUP($G18,'Baseline and Measure Cases'!$G$2:$J$20,18,FALSE)</f>
        <v>4.0131046934803321</v>
      </c>
      <c r="V18" s="217"/>
      <c r="W18" s="215">
        <f>HLOOKUP($H18,'Baseline and Measure Cases'!$G$2:$J$20,16,FALSE)</f>
        <v>489.01056790123545</v>
      </c>
      <c r="X18" s="215">
        <f>HLOOKUP($H18,'Baseline and Measure Cases'!$G$2:$J$20,12,FALSE)</f>
        <v>5.2795660553372441</v>
      </c>
      <c r="Y18" s="215">
        <f>HLOOKUP($H18,'Baseline and Measure Cases'!$G$2:$J$20,19,FALSE)</f>
        <v>91.103595824289272</v>
      </c>
      <c r="Z18" s="215"/>
      <c r="AA18" s="215">
        <f>HLOOKUP($H18,'Baseline and Measure Cases'!$G$2:$J$20,17,FALSE)</f>
        <v>82.153775407407551</v>
      </c>
      <c r="AB18" s="216"/>
      <c r="AC18" s="215"/>
      <c r="AD18" s="216">
        <f>HLOOKUP($H18,'Baseline and Measure Cases'!$G$2:$J$20,18,FALSE)</f>
        <v>3.7384962759915208</v>
      </c>
      <c r="AE18" s="217"/>
      <c r="AF18" s="215">
        <f t="shared" ref="AF18:AF23" si="6">N18-W18</f>
        <v>35.919901552141539</v>
      </c>
      <c r="AG18" s="218">
        <f t="shared" ref="AG18:AG23" si="7">X18-O18</f>
        <v>5.2795660553372441</v>
      </c>
      <c r="AH18" s="219">
        <f t="shared" ref="AH18:AH23" si="8">P18-Y18</f>
        <v>-2.5966534945204671</v>
      </c>
      <c r="AI18" s="219"/>
      <c r="AJ18" s="219">
        <f t="shared" ref="AJ18:AK23" si="9">R18-AA18</f>
        <v>6.0345434607597781</v>
      </c>
      <c r="AK18" s="217">
        <f>S18-AB18</f>
        <v>0</v>
      </c>
      <c r="AL18" s="217"/>
      <c r="AM18" s="217">
        <f t="shared" ref="AM18:AM23" si="10">U18-AD18</f>
        <v>0.27460841748881126</v>
      </c>
      <c r="AN18" s="223"/>
      <c r="AO18" s="214" t="str">
        <f t="shared" ref="AO18:AO23" si="11">AW18</f>
        <v>Energy Star Dishwasher - Electric DHW</v>
      </c>
      <c r="AP18" s="218">
        <f>BA18</f>
        <v>5.2795660553372441</v>
      </c>
      <c r="AQ18" s="219">
        <f t="shared" ref="AQ18:AQ23" si="12">AH18+AJ18*L18</f>
        <v>3.437889966239311</v>
      </c>
      <c r="AR18" s="217">
        <f t="shared" ref="AR18:AR23" si="13">AM18*(1-L18)</f>
        <v>0</v>
      </c>
      <c r="AS18" s="217">
        <f t="shared" ref="AS18:AS23" si="14">AF18</f>
        <v>35.919901552141539</v>
      </c>
      <c r="AT18" s="217">
        <f>VLOOKUP(AW18,RawRTF!$C$1:$DC$178,82,FALSE)</f>
        <v>0</v>
      </c>
      <c r="AU18" s="219">
        <f t="shared" ref="AU18:AU23" si="15">AQ18+AY35</f>
        <v>3.437889966239311</v>
      </c>
      <c r="AV18" s="214"/>
      <c r="AW18" s="212" t="str">
        <f>CONCATENATE("Energy Star Dishwasher - ",I18)</f>
        <v>Energy Star Dishwasher - Electric DHW</v>
      </c>
      <c r="AX18" s="212" t="s">
        <v>220</v>
      </c>
      <c r="AY18" s="219">
        <f t="shared" ref="AY18:AY23" si="16">AQ18</f>
        <v>3.437889966239311</v>
      </c>
      <c r="AZ18" s="219">
        <f>'MF Assumptions'!$D$31</f>
        <v>15.4</v>
      </c>
      <c r="BA18" s="220">
        <f t="shared" ref="BA18:BA23" si="17">AG18</f>
        <v>5.2795660553372441</v>
      </c>
      <c r="BB18" s="212"/>
      <c r="BC18" s="211" t="s">
        <v>221</v>
      </c>
      <c r="BD18" s="221">
        <f>AF18*'MF Assumptions'!$D$36/1000</f>
        <v>0.33177417068635534</v>
      </c>
      <c r="BE18" s="212"/>
      <c r="BF18" s="212"/>
      <c r="BG18" s="212"/>
      <c r="BH18" s="212"/>
      <c r="BI18" s="212"/>
      <c r="BJ18" s="212"/>
      <c r="BK18" s="222">
        <f t="shared" ref="BK18:BK23" si="18">AR18</f>
        <v>0</v>
      </c>
      <c r="BL18" s="212" t="s">
        <v>221</v>
      </c>
    </row>
    <row r="19" spans="1:65">
      <c r="A19" s="212">
        <f t="shared" ref="A19:A23" si="19">A18+1</f>
        <v>2</v>
      </c>
      <c r="B19" s="212">
        <f t="shared" si="0"/>
        <v>1</v>
      </c>
      <c r="C19" s="212">
        <f t="shared" si="1"/>
        <v>2</v>
      </c>
      <c r="D19" s="212">
        <f t="shared" ref="D19:D29" si="20">CEILING(C19/$B$3,1)</f>
        <v>1</v>
      </c>
      <c r="E19" s="212">
        <f t="shared" ref="E19:E29" si="21">C19-((D19-1)*$B$3)</f>
        <v>2</v>
      </c>
      <c r="F19" s="212"/>
      <c r="G19" s="212" t="str">
        <f t="shared" si="2"/>
        <v>180 to 307 kWh/year- All- Baseline (effective May 2013)</v>
      </c>
      <c r="H19" s="212" t="str">
        <f t="shared" si="3"/>
        <v>180 to 295  kWh/year - Energy Star as of January 20, 2012</v>
      </c>
      <c r="I19" s="212" t="str">
        <f t="shared" si="4"/>
        <v>Gas DHW</v>
      </c>
      <c r="J19" s="213"/>
      <c r="K19" s="213"/>
      <c r="L19" s="214">
        <f t="shared" si="5"/>
        <v>0</v>
      </c>
      <c r="M19" s="214"/>
      <c r="N19" s="215">
        <f>HLOOKUP($G19,'Baseline and Measure Cases'!$G$2:$J$20,16,FALSE)</f>
        <v>524.93046945337699</v>
      </c>
      <c r="O19" s="215">
        <f>HLOOKUP($G19,'Baseline and Measure Cases'!$G$2:$J$20,12,FALSE)</f>
        <v>0</v>
      </c>
      <c r="P19" s="215">
        <f>HLOOKUP($G19,'Baseline and Measure Cases'!$G$2:$J$20,19,FALSE)</f>
        <v>88.506942329768805</v>
      </c>
      <c r="Q19" s="215"/>
      <c r="R19" s="215">
        <f>HLOOKUP($G19,'Baseline and Measure Cases'!$G$2:$J$20,17,FALSE)</f>
        <v>88.188318868167329</v>
      </c>
      <c r="S19" s="216"/>
      <c r="T19" s="217"/>
      <c r="U19" s="216">
        <f>HLOOKUP($G19,'Baseline and Measure Cases'!$G$2:$J$20,18,FALSE)</f>
        <v>4.0131046934803321</v>
      </c>
      <c r="V19" s="217"/>
      <c r="W19" s="215">
        <f>HLOOKUP($H19,'Baseline and Measure Cases'!$G$2:$J$20,16,FALSE)</f>
        <v>489.01056790123545</v>
      </c>
      <c r="X19" s="215">
        <f>HLOOKUP($H19,'Baseline and Measure Cases'!$G$2:$J$20,12,FALSE)</f>
        <v>5.2795660553372441</v>
      </c>
      <c r="Y19" s="215">
        <f>HLOOKUP($H19,'Baseline and Measure Cases'!$G$2:$J$20,19,FALSE)</f>
        <v>91.103595824289272</v>
      </c>
      <c r="Z19" s="215"/>
      <c r="AA19" s="215">
        <f>HLOOKUP($H19,'Baseline and Measure Cases'!$G$2:$J$20,17,FALSE)</f>
        <v>82.153775407407551</v>
      </c>
      <c r="AB19" s="216"/>
      <c r="AC19" s="215"/>
      <c r="AD19" s="216">
        <f>HLOOKUP($H19,'Baseline and Measure Cases'!$G$2:$J$20,18,FALSE)</f>
        <v>3.7384962759915208</v>
      </c>
      <c r="AE19" s="217"/>
      <c r="AF19" s="215">
        <f t="shared" si="6"/>
        <v>35.919901552141539</v>
      </c>
      <c r="AG19" s="218">
        <f t="shared" si="7"/>
        <v>5.2795660553372441</v>
      </c>
      <c r="AH19" s="219">
        <f t="shared" si="8"/>
        <v>-2.5966534945204671</v>
      </c>
      <c r="AI19" s="219"/>
      <c r="AJ19" s="219">
        <f t="shared" si="9"/>
        <v>6.0345434607597781</v>
      </c>
      <c r="AK19" s="217">
        <f t="shared" si="9"/>
        <v>0</v>
      </c>
      <c r="AL19" s="217"/>
      <c r="AM19" s="217">
        <f t="shared" si="10"/>
        <v>0.27460841748881126</v>
      </c>
      <c r="AN19" s="223"/>
      <c r="AO19" s="214" t="str">
        <f t="shared" si="11"/>
        <v>Energy Star Dishwasher - Gas DHW</v>
      </c>
      <c r="AP19" s="218">
        <f t="shared" ref="AP19:AP23" si="22">BA19</f>
        <v>5.2795660553372441</v>
      </c>
      <c r="AQ19" s="219">
        <f t="shared" si="12"/>
        <v>-2.5966534945204671</v>
      </c>
      <c r="AR19" s="217">
        <f t="shared" si="13"/>
        <v>0.27460841748881126</v>
      </c>
      <c r="AS19" s="217">
        <f t="shared" si="14"/>
        <v>35.919901552141539</v>
      </c>
      <c r="AT19" s="217">
        <f>VLOOKUP(AW19,RawRTF!$C$1:$DC$178,82,FALSE)</f>
        <v>0</v>
      </c>
      <c r="AU19" s="219">
        <f t="shared" si="15"/>
        <v>-2.5966534945204671</v>
      </c>
      <c r="AV19" s="214"/>
      <c r="AW19" s="212" t="str">
        <f t="shared" ref="AW19:AW20" si="23">CONCATENATE("Energy Star Dishwasher - ",I19)</f>
        <v>Energy Star Dishwasher - Gas DHW</v>
      </c>
      <c r="AX19" s="212" t="s">
        <v>220</v>
      </c>
      <c r="AY19" s="219">
        <f t="shared" si="16"/>
        <v>-2.5966534945204671</v>
      </c>
      <c r="AZ19" s="219">
        <f>'MF Assumptions'!$D$31</f>
        <v>15.4</v>
      </c>
      <c r="BA19" s="220">
        <f t="shared" si="17"/>
        <v>5.2795660553372441</v>
      </c>
      <c r="BB19" s="212"/>
      <c r="BC19" s="211" t="s">
        <v>221</v>
      </c>
      <c r="BD19" s="221">
        <f>AF19*'MF Assumptions'!$D$36/1000</f>
        <v>0.33177417068635534</v>
      </c>
      <c r="BE19" s="212"/>
      <c r="BF19" s="212"/>
      <c r="BG19" s="212"/>
      <c r="BH19" s="212"/>
      <c r="BI19" s="212"/>
      <c r="BJ19" s="212"/>
      <c r="BK19" s="222">
        <f t="shared" si="18"/>
        <v>0.27460841748881126</v>
      </c>
      <c r="BL19" s="212" t="s">
        <v>221</v>
      </c>
    </row>
    <row r="20" spans="1:65">
      <c r="A20" s="212">
        <f t="shared" si="19"/>
        <v>3</v>
      </c>
      <c r="B20" s="212">
        <f t="shared" si="0"/>
        <v>1</v>
      </c>
      <c r="C20" s="212">
        <f t="shared" si="1"/>
        <v>3</v>
      </c>
      <c r="D20" s="212">
        <f t="shared" si="20"/>
        <v>1</v>
      </c>
      <c r="E20" s="212">
        <f t="shared" si="21"/>
        <v>3</v>
      </c>
      <c r="F20" s="212"/>
      <c r="G20" s="212" t="str">
        <f t="shared" si="2"/>
        <v>180 to 307 kWh/year- All- Baseline (effective May 2013)</v>
      </c>
      <c r="H20" s="212" t="str">
        <f t="shared" si="3"/>
        <v>180 to 295  kWh/year - Energy Star as of January 20, 2012</v>
      </c>
      <c r="I20" s="212" t="str">
        <f t="shared" si="4"/>
        <v>Any DHW</v>
      </c>
      <c r="J20" s="213"/>
      <c r="K20" s="213"/>
      <c r="L20" s="214">
        <f t="shared" si="5"/>
        <v>0.94699999999999995</v>
      </c>
      <c r="M20" s="214"/>
      <c r="N20" s="215">
        <f>HLOOKUP($G20,'Baseline and Measure Cases'!$G$2:$J$20,16,FALSE)</f>
        <v>524.93046945337699</v>
      </c>
      <c r="O20" s="215">
        <f>HLOOKUP($G20,'Baseline and Measure Cases'!$G$2:$J$20,12,FALSE)</f>
        <v>0</v>
      </c>
      <c r="P20" s="215">
        <f>HLOOKUP($G20,'Baseline and Measure Cases'!$G$2:$J$20,19,FALSE)</f>
        <v>88.506942329768805</v>
      </c>
      <c r="Q20" s="215"/>
      <c r="R20" s="215">
        <f>HLOOKUP($G20,'Baseline and Measure Cases'!$G$2:$J$20,17,FALSE)</f>
        <v>88.188318868167329</v>
      </c>
      <c r="S20" s="216"/>
      <c r="T20" s="217"/>
      <c r="U20" s="216">
        <f>HLOOKUP($G20,'Baseline and Measure Cases'!$G$2:$J$20,18,FALSE)</f>
        <v>4.0131046934803321</v>
      </c>
      <c r="V20" s="217"/>
      <c r="W20" s="215">
        <f>HLOOKUP($H20,'Baseline and Measure Cases'!$G$2:$J$20,16,FALSE)</f>
        <v>489.01056790123545</v>
      </c>
      <c r="X20" s="215">
        <f>HLOOKUP($H20,'Baseline and Measure Cases'!$G$2:$J$20,12,FALSE)</f>
        <v>5.2795660553372441</v>
      </c>
      <c r="Y20" s="215">
        <f>HLOOKUP($H20,'Baseline and Measure Cases'!$G$2:$J$20,19,FALSE)</f>
        <v>91.103595824289272</v>
      </c>
      <c r="Z20" s="215"/>
      <c r="AA20" s="215">
        <f>HLOOKUP($H20,'Baseline and Measure Cases'!$G$2:$J$20,17,FALSE)</f>
        <v>82.153775407407551</v>
      </c>
      <c r="AB20" s="216"/>
      <c r="AC20" s="215"/>
      <c r="AD20" s="216">
        <f>HLOOKUP($H20,'Baseline and Measure Cases'!$G$2:$J$20,18,FALSE)</f>
        <v>3.7384962759915208</v>
      </c>
      <c r="AE20" s="217"/>
      <c r="AF20" s="215">
        <f t="shared" si="6"/>
        <v>35.919901552141539</v>
      </c>
      <c r="AG20" s="218">
        <f t="shared" si="7"/>
        <v>5.2795660553372441</v>
      </c>
      <c r="AH20" s="219">
        <f t="shared" si="8"/>
        <v>-2.5966534945204671</v>
      </c>
      <c r="AI20" s="219"/>
      <c r="AJ20" s="219">
        <f t="shared" si="9"/>
        <v>6.0345434607597781</v>
      </c>
      <c r="AK20" s="217">
        <f t="shared" si="9"/>
        <v>0</v>
      </c>
      <c r="AL20" s="217"/>
      <c r="AM20" s="217">
        <f t="shared" si="10"/>
        <v>0.27460841748881126</v>
      </c>
      <c r="AN20" s="223"/>
      <c r="AO20" s="214" t="str">
        <f t="shared" si="11"/>
        <v>Energy Star Dishwasher - Any DHW</v>
      </c>
      <c r="AP20" s="218">
        <f t="shared" si="22"/>
        <v>5.2795660553372441</v>
      </c>
      <c r="AQ20" s="219">
        <f t="shared" si="12"/>
        <v>3.1180591628190424</v>
      </c>
      <c r="AR20" s="217">
        <f t="shared" si="13"/>
        <v>1.4554246126907009E-2</v>
      </c>
      <c r="AS20" s="217">
        <f t="shared" si="14"/>
        <v>35.919901552141539</v>
      </c>
      <c r="AT20" s="217">
        <f>VLOOKUP(AW20,RawRTF!$C$1:$DC$178,82,FALSE)</f>
        <v>0</v>
      </c>
      <c r="AU20" s="219">
        <f t="shared" si="15"/>
        <v>3.1180591628190424</v>
      </c>
      <c r="AV20" s="214"/>
      <c r="AW20" s="212" t="str">
        <f t="shared" si="23"/>
        <v>Energy Star Dishwasher - Any DHW</v>
      </c>
      <c r="AX20" s="212" t="s">
        <v>220</v>
      </c>
      <c r="AY20" s="219">
        <f t="shared" si="16"/>
        <v>3.1180591628190424</v>
      </c>
      <c r="AZ20" s="219">
        <f>'MF Assumptions'!$D$31</f>
        <v>15.4</v>
      </c>
      <c r="BA20" s="220">
        <f t="shared" si="17"/>
        <v>5.2795660553372441</v>
      </c>
      <c r="BB20" s="212"/>
      <c r="BC20" s="211" t="s">
        <v>221</v>
      </c>
      <c r="BD20" s="221">
        <f>AF20*'MF Assumptions'!$D$36/1000</f>
        <v>0.33177417068635534</v>
      </c>
      <c r="BE20" s="212"/>
      <c r="BF20" s="212"/>
      <c r="BG20" s="212"/>
      <c r="BH20" s="212"/>
      <c r="BI20" s="212"/>
      <c r="BJ20" s="212"/>
      <c r="BK20" s="222">
        <f t="shared" si="18"/>
        <v>1.4554246126907009E-2</v>
      </c>
      <c r="BL20" s="212" t="s">
        <v>221</v>
      </c>
    </row>
    <row r="21" spans="1:65">
      <c r="A21" s="212">
        <f t="shared" si="19"/>
        <v>4</v>
      </c>
      <c r="B21" s="212">
        <f t="shared" si="0"/>
        <v>1</v>
      </c>
      <c r="C21" s="212">
        <f t="shared" si="1"/>
        <v>4</v>
      </c>
      <c r="D21" s="212">
        <f t="shared" si="20"/>
        <v>2</v>
      </c>
      <c r="E21" s="212">
        <f t="shared" si="21"/>
        <v>1</v>
      </c>
      <c r="F21" s="212"/>
      <c r="G21" s="212" t="str">
        <f t="shared" si="2"/>
        <v>180 to 307 kWh/year- All- Baseline (effective May 2013)</v>
      </c>
      <c r="H21" s="212" t="str">
        <f t="shared" si="3"/>
        <v>180 to 295  kWh/year - CEE Tier 1 as of January 20, 2012;  min EF= 0.75</v>
      </c>
      <c r="I21" s="212" t="str">
        <f t="shared" si="4"/>
        <v>Electric DHW</v>
      </c>
      <c r="J21" s="213"/>
      <c r="K21" s="213"/>
      <c r="L21" s="214">
        <f t="shared" si="5"/>
        <v>1</v>
      </c>
      <c r="M21" s="214"/>
      <c r="N21" s="215">
        <f>HLOOKUP($G21,'Baseline and Measure Cases'!$G$2:$J$20,16,FALSE)</f>
        <v>524.93046945337699</v>
      </c>
      <c r="O21" s="215">
        <f>HLOOKUP($G21,'Baseline and Measure Cases'!$G$2:$J$20,12,FALSE)</f>
        <v>0</v>
      </c>
      <c r="P21" s="215">
        <f>HLOOKUP($G21,'Baseline and Measure Cases'!$G$2:$J$20,19,FALSE)</f>
        <v>88.506942329768805</v>
      </c>
      <c r="Q21" s="215"/>
      <c r="R21" s="215">
        <f>HLOOKUP($G21,'Baseline and Measure Cases'!$G$2:$J$20,17,FALSE)</f>
        <v>88.188318868167329</v>
      </c>
      <c r="S21" s="216"/>
      <c r="T21" s="217"/>
      <c r="U21" s="216">
        <f>HLOOKUP($G21,'Baseline and Measure Cases'!$G$2:$J$20,18,FALSE)</f>
        <v>4.0131046934803321</v>
      </c>
      <c r="V21" s="217"/>
      <c r="W21" s="215">
        <f>HLOOKUP($H21,'Baseline and Measure Cases'!$G$2:$J$20,16,FALSE)</f>
        <v>487.72696995708242</v>
      </c>
      <c r="X21" s="215">
        <f>HLOOKUP($H21,'Baseline and Measure Cases'!$G$2:$J$20,12,FALSE)</f>
        <v>6.1994832121220673</v>
      </c>
      <c r="Y21" s="215">
        <f>HLOOKUP($H21,'Baseline and Measure Cases'!$G$2:$J$20,19,FALSE)</f>
        <v>90.75049026689274</v>
      </c>
      <c r="Z21" s="215"/>
      <c r="AA21" s="215">
        <f>HLOOKUP($H21,'Baseline and Measure Cases'!$G$2:$J$20,17,FALSE)</f>
        <v>81.938130952789834</v>
      </c>
      <c r="AB21" s="216"/>
      <c r="AC21" s="215"/>
      <c r="AD21" s="216">
        <f>HLOOKUP($H21,'Baseline and Measure Cases'!$G$2:$J$20,18,FALSE)</f>
        <v>3.7286831421881308</v>
      </c>
      <c r="AE21" s="217"/>
      <c r="AF21" s="215">
        <f t="shared" si="6"/>
        <v>37.203499496294569</v>
      </c>
      <c r="AG21" s="218">
        <f t="shared" si="7"/>
        <v>6.1994832121220673</v>
      </c>
      <c r="AH21" s="219">
        <f t="shared" si="8"/>
        <v>-2.2435479371239353</v>
      </c>
      <c r="AI21" s="219"/>
      <c r="AJ21" s="219">
        <f t="shared" si="9"/>
        <v>6.2501879153774951</v>
      </c>
      <c r="AK21" s="217">
        <f t="shared" si="9"/>
        <v>0</v>
      </c>
      <c r="AL21" s="217"/>
      <c r="AM21" s="217">
        <f t="shared" si="10"/>
        <v>0.28442155129220126</v>
      </c>
      <c r="AN21" s="223"/>
      <c r="AO21" s="214" t="str">
        <f t="shared" si="11"/>
        <v>CEE Tier 1 Dishwasher - Electric DHW</v>
      </c>
      <c r="AP21" s="218">
        <f t="shared" si="22"/>
        <v>6.1994832121220673</v>
      </c>
      <c r="AQ21" s="219">
        <f t="shared" si="12"/>
        <v>4.0066399782535598</v>
      </c>
      <c r="AR21" s="217">
        <f t="shared" si="13"/>
        <v>0</v>
      </c>
      <c r="AS21" s="217">
        <f t="shared" si="14"/>
        <v>37.203499496294569</v>
      </c>
      <c r="AT21" s="217">
        <f>VLOOKUP(AW21,RawRTF!$C$1:$DC$178,82,FALSE)</f>
        <v>0</v>
      </c>
      <c r="AU21" s="219">
        <f t="shared" si="15"/>
        <v>4.0066399782535598</v>
      </c>
      <c r="AV21" s="214"/>
      <c r="AW21" s="212" t="str">
        <f>CONCATENATE("CEE Tier 1 Dishwasher - ",I21)</f>
        <v>CEE Tier 1 Dishwasher - Electric DHW</v>
      </c>
      <c r="AX21" s="212" t="s">
        <v>220</v>
      </c>
      <c r="AY21" s="219">
        <f t="shared" si="16"/>
        <v>4.0066399782535598</v>
      </c>
      <c r="AZ21" s="219">
        <f>'MF Assumptions'!$D$31</f>
        <v>15.4</v>
      </c>
      <c r="BA21" s="220">
        <f t="shared" si="17"/>
        <v>6.1994832121220673</v>
      </c>
      <c r="BB21" s="212"/>
      <c r="BC21" s="211" t="s">
        <v>221</v>
      </c>
      <c r="BD21" s="221">
        <f>AF21*'MF Assumptions'!$D$36/1000</f>
        <v>0.34363012309752472</v>
      </c>
      <c r="BE21" s="212"/>
      <c r="BF21" s="212"/>
      <c r="BG21" s="212"/>
      <c r="BH21" s="212"/>
      <c r="BI21" s="212"/>
      <c r="BJ21" s="212"/>
      <c r="BK21" s="222">
        <f t="shared" si="18"/>
        <v>0</v>
      </c>
      <c r="BL21" s="212" t="s">
        <v>221</v>
      </c>
    </row>
    <row r="22" spans="1:65">
      <c r="A22" s="212">
        <f t="shared" si="19"/>
        <v>5</v>
      </c>
      <c r="B22" s="212">
        <f t="shared" si="0"/>
        <v>1</v>
      </c>
      <c r="C22" s="212">
        <f t="shared" si="1"/>
        <v>5</v>
      </c>
      <c r="D22" s="212">
        <f t="shared" si="20"/>
        <v>2</v>
      </c>
      <c r="E22" s="212">
        <f t="shared" si="21"/>
        <v>2</v>
      </c>
      <c r="F22" s="212"/>
      <c r="G22" s="212" t="str">
        <f t="shared" si="2"/>
        <v>180 to 307 kWh/year- All- Baseline (effective May 2013)</v>
      </c>
      <c r="H22" s="212" t="str">
        <f t="shared" si="3"/>
        <v>180 to 295  kWh/year - CEE Tier 1 as of January 20, 2012;  min EF= 0.75</v>
      </c>
      <c r="I22" s="212" t="str">
        <f t="shared" si="4"/>
        <v>Gas DHW</v>
      </c>
      <c r="J22" s="213"/>
      <c r="K22" s="213"/>
      <c r="L22" s="214">
        <f t="shared" si="5"/>
        <v>0</v>
      </c>
      <c r="M22" s="214"/>
      <c r="N22" s="215">
        <f>HLOOKUP($G22,'Baseline and Measure Cases'!$G$2:$J$20,16,FALSE)</f>
        <v>524.93046945337699</v>
      </c>
      <c r="O22" s="215">
        <f>HLOOKUP($G22,'Baseline and Measure Cases'!$G$2:$J$20,12,FALSE)</f>
        <v>0</v>
      </c>
      <c r="P22" s="215">
        <f>HLOOKUP($G22,'Baseline and Measure Cases'!$G$2:$J$20,19,FALSE)</f>
        <v>88.506942329768805</v>
      </c>
      <c r="Q22" s="215"/>
      <c r="R22" s="215">
        <f>HLOOKUP($G22,'Baseline and Measure Cases'!$G$2:$J$20,17,FALSE)</f>
        <v>88.188318868167329</v>
      </c>
      <c r="S22" s="216"/>
      <c r="T22" s="217"/>
      <c r="U22" s="216">
        <f>HLOOKUP($G22,'Baseline and Measure Cases'!$G$2:$J$20,18,FALSE)</f>
        <v>4.0131046934803321</v>
      </c>
      <c r="V22" s="217"/>
      <c r="W22" s="215">
        <f>HLOOKUP($H22,'Baseline and Measure Cases'!$G$2:$J$20,16,FALSE)</f>
        <v>487.72696995708242</v>
      </c>
      <c r="X22" s="215">
        <f>HLOOKUP($H22,'Baseline and Measure Cases'!$G$2:$J$20,12,FALSE)</f>
        <v>6.1994832121220673</v>
      </c>
      <c r="Y22" s="215">
        <f>HLOOKUP($H22,'Baseline and Measure Cases'!$G$2:$J$20,19,FALSE)</f>
        <v>90.75049026689274</v>
      </c>
      <c r="Z22" s="215"/>
      <c r="AA22" s="215">
        <f>HLOOKUP($H22,'Baseline and Measure Cases'!$G$2:$J$20,17,FALSE)</f>
        <v>81.938130952789834</v>
      </c>
      <c r="AB22" s="216"/>
      <c r="AC22" s="215"/>
      <c r="AD22" s="216">
        <f>HLOOKUP($H22,'Baseline and Measure Cases'!$G$2:$J$20,18,FALSE)</f>
        <v>3.7286831421881308</v>
      </c>
      <c r="AE22" s="217"/>
      <c r="AF22" s="215">
        <f t="shared" si="6"/>
        <v>37.203499496294569</v>
      </c>
      <c r="AG22" s="218">
        <f t="shared" si="7"/>
        <v>6.1994832121220673</v>
      </c>
      <c r="AH22" s="219">
        <f t="shared" si="8"/>
        <v>-2.2435479371239353</v>
      </c>
      <c r="AI22" s="219"/>
      <c r="AJ22" s="219">
        <f t="shared" si="9"/>
        <v>6.2501879153774951</v>
      </c>
      <c r="AK22" s="217">
        <f t="shared" si="9"/>
        <v>0</v>
      </c>
      <c r="AL22" s="217"/>
      <c r="AM22" s="217">
        <f t="shared" si="10"/>
        <v>0.28442155129220126</v>
      </c>
      <c r="AN22" s="223"/>
      <c r="AO22" s="214" t="str">
        <f t="shared" si="11"/>
        <v>CEE Tier 1 Dishwasher - Gas DHW</v>
      </c>
      <c r="AP22" s="218">
        <f t="shared" si="22"/>
        <v>6.1994832121220673</v>
      </c>
      <c r="AQ22" s="219">
        <f t="shared" si="12"/>
        <v>-2.2435479371239353</v>
      </c>
      <c r="AR22" s="217">
        <f t="shared" si="13"/>
        <v>0.28442155129220126</v>
      </c>
      <c r="AS22" s="217">
        <f t="shared" si="14"/>
        <v>37.203499496294569</v>
      </c>
      <c r="AT22" s="217">
        <f>VLOOKUP(AW22,RawRTF!$C$1:$DC$178,82,FALSE)</f>
        <v>0</v>
      </c>
      <c r="AU22" s="219">
        <f t="shared" si="15"/>
        <v>-2.2435479371239353</v>
      </c>
      <c r="AV22" s="214"/>
      <c r="AW22" s="212" t="str">
        <f t="shared" ref="AW22:AW23" si="24">CONCATENATE("CEE Tier 1 Dishwasher - ",I22)</f>
        <v>CEE Tier 1 Dishwasher - Gas DHW</v>
      </c>
      <c r="AX22" s="212" t="s">
        <v>220</v>
      </c>
      <c r="AY22" s="219">
        <f t="shared" si="16"/>
        <v>-2.2435479371239353</v>
      </c>
      <c r="AZ22" s="219">
        <f>'MF Assumptions'!$D$31</f>
        <v>15.4</v>
      </c>
      <c r="BA22" s="220">
        <f t="shared" si="17"/>
        <v>6.1994832121220673</v>
      </c>
      <c r="BB22" s="212"/>
      <c r="BC22" s="211" t="s">
        <v>221</v>
      </c>
      <c r="BD22" s="221">
        <f>AF22*'MF Assumptions'!$D$36/1000</f>
        <v>0.34363012309752472</v>
      </c>
      <c r="BE22" s="212"/>
      <c r="BF22" s="212"/>
      <c r="BG22" s="212"/>
      <c r="BH22" s="212"/>
      <c r="BI22" s="212"/>
      <c r="BJ22" s="212"/>
      <c r="BK22" s="222">
        <f t="shared" si="18"/>
        <v>0.28442155129220126</v>
      </c>
      <c r="BL22" s="212" t="s">
        <v>221</v>
      </c>
    </row>
    <row r="23" spans="1:65">
      <c r="A23" s="212">
        <f t="shared" si="19"/>
        <v>6</v>
      </c>
      <c r="B23" s="212">
        <f t="shared" si="0"/>
        <v>1</v>
      </c>
      <c r="C23" s="212">
        <f t="shared" si="1"/>
        <v>6</v>
      </c>
      <c r="D23" s="212">
        <f t="shared" si="20"/>
        <v>2</v>
      </c>
      <c r="E23" s="212">
        <f t="shared" si="21"/>
        <v>3</v>
      </c>
      <c r="F23" s="212"/>
      <c r="G23" s="212" t="str">
        <f t="shared" si="2"/>
        <v>180 to 307 kWh/year- All- Baseline (effective May 2013)</v>
      </c>
      <c r="H23" s="212" t="str">
        <f t="shared" si="3"/>
        <v>180 to 295  kWh/year - CEE Tier 1 as of January 20, 2012;  min EF= 0.75</v>
      </c>
      <c r="I23" s="212" t="str">
        <f t="shared" si="4"/>
        <v>Any DHW</v>
      </c>
      <c r="J23" s="213"/>
      <c r="K23" s="213"/>
      <c r="L23" s="214">
        <f t="shared" si="5"/>
        <v>0.94699999999999995</v>
      </c>
      <c r="M23" s="214"/>
      <c r="N23" s="215">
        <f>HLOOKUP($G23,'Baseline and Measure Cases'!$G$2:$J$20,16,FALSE)</f>
        <v>524.93046945337699</v>
      </c>
      <c r="O23" s="215">
        <f>HLOOKUP($G23,'Baseline and Measure Cases'!$G$2:$J$20,12,FALSE)</f>
        <v>0</v>
      </c>
      <c r="P23" s="215">
        <f>HLOOKUP($G23,'Baseline and Measure Cases'!$G$2:$J$20,19,FALSE)</f>
        <v>88.506942329768805</v>
      </c>
      <c r="Q23" s="215"/>
      <c r="R23" s="215">
        <f>HLOOKUP($G23,'Baseline and Measure Cases'!$G$2:$J$20,17,FALSE)</f>
        <v>88.188318868167329</v>
      </c>
      <c r="S23" s="216"/>
      <c r="T23" s="217"/>
      <c r="U23" s="216">
        <f>HLOOKUP($G23,'Baseline and Measure Cases'!$G$2:$J$20,18,FALSE)</f>
        <v>4.0131046934803321</v>
      </c>
      <c r="V23" s="217"/>
      <c r="W23" s="215">
        <f>HLOOKUP($H23,'Baseline and Measure Cases'!$G$2:$J$20,16,FALSE)</f>
        <v>487.72696995708242</v>
      </c>
      <c r="X23" s="215">
        <f>HLOOKUP($H23,'Baseline and Measure Cases'!$G$2:$J$20,12,FALSE)</f>
        <v>6.1994832121220673</v>
      </c>
      <c r="Y23" s="215">
        <f>HLOOKUP($H23,'Baseline and Measure Cases'!$G$2:$J$20,19,FALSE)</f>
        <v>90.75049026689274</v>
      </c>
      <c r="Z23" s="215"/>
      <c r="AA23" s="215">
        <f>HLOOKUP($H23,'Baseline and Measure Cases'!$G$2:$J$20,17,FALSE)</f>
        <v>81.938130952789834</v>
      </c>
      <c r="AB23" s="216"/>
      <c r="AC23" s="215"/>
      <c r="AD23" s="216">
        <f>HLOOKUP($H23,'Baseline and Measure Cases'!$G$2:$J$20,18,FALSE)</f>
        <v>3.7286831421881308</v>
      </c>
      <c r="AE23" s="217"/>
      <c r="AF23" s="215">
        <f t="shared" si="6"/>
        <v>37.203499496294569</v>
      </c>
      <c r="AG23" s="218">
        <f t="shared" si="7"/>
        <v>6.1994832121220673</v>
      </c>
      <c r="AH23" s="219">
        <f t="shared" si="8"/>
        <v>-2.2435479371239353</v>
      </c>
      <c r="AI23" s="219"/>
      <c r="AJ23" s="219">
        <f t="shared" si="9"/>
        <v>6.2501879153774951</v>
      </c>
      <c r="AK23" s="217">
        <f t="shared" si="9"/>
        <v>0</v>
      </c>
      <c r="AL23" s="217"/>
      <c r="AM23" s="217">
        <f t="shared" si="10"/>
        <v>0.28442155129220126</v>
      </c>
      <c r="AN23" s="223"/>
      <c r="AO23" s="214" t="str">
        <f t="shared" si="11"/>
        <v>CEE Tier 1 Dishwasher - Any DHW</v>
      </c>
      <c r="AP23" s="218">
        <f t="shared" si="22"/>
        <v>6.1994832121220673</v>
      </c>
      <c r="AQ23" s="219">
        <f t="shared" si="12"/>
        <v>3.6753800187385526</v>
      </c>
      <c r="AR23" s="217">
        <f t="shared" si="13"/>
        <v>1.5074342218486679E-2</v>
      </c>
      <c r="AS23" s="217">
        <f t="shared" si="14"/>
        <v>37.203499496294569</v>
      </c>
      <c r="AT23" s="217">
        <f>VLOOKUP(AW23,RawRTF!$C$1:$DC$178,82,FALSE)</f>
        <v>0</v>
      </c>
      <c r="AU23" s="219">
        <f t="shared" si="15"/>
        <v>3.6753800187385526</v>
      </c>
      <c r="AV23" s="214"/>
      <c r="AW23" s="212" t="str">
        <f t="shared" si="24"/>
        <v>CEE Tier 1 Dishwasher - Any DHW</v>
      </c>
      <c r="AX23" s="212" t="s">
        <v>220</v>
      </c>
      <c r="AY23" s="219">
        <f t="shared" si="16"/>
        <v>3.6753800187385526</v>
      </c>
      <c r="AZ23" s="219">
        <f>'MF Assumptions'!$D$31</f>
        <v>15.4</v>
      </c>
      <c r="BA23" s="220">
        <f t="shared" si="17"/>
        <v>6.1994832121220673</v>
      </c>
      <c r="BB23" s="212"/>
      <c r="BC23" s="211" t="s">
        <v>221</v>
      </c>
      <c r="BD23" s="221">
        <f>AF23*'MF Assumptions'!$D$36/1000</f>
        <v>0.34363012309752472</v>
      </c>
      <c r="BE23" s="212"/>
      <c r="BF23" s="212"/>
      <c r="BG23" s="212"/>
      <c r="BH23" s="212"/>
      <c r="BI23" s="212"/>
      <c r="BJ23" s="212"/>
      <c r="BK23" s="222">
        <f t="shared" si="18"/>
        <v>1.5074342218486679E-2</v>
      </c>
      <c r="BL23" s="212" t="s">
        <v>221</v>
      </c>
    </row>
    <row r="24" spans="1:65">
      <c r="A24" s="224">
        <f t="shared" ref="A24:A29" si="25">A18</f>
        <v>1</v>
      </c>
      <c r="B24" s="224">
        <f t="shared" si="0"/>
        <v>1</v>
      </c>
      <c r="C24" s="224">
        <f t="shared" si="1"/>
        <v>1</v>
      </c>
      <c r="D24" s="224">
        <f t="shared" si="20"/>
        <v>1</v>
      </c>
      <c r="E24" s="224">
        <f t="shared" si="21"/>
        <v>1</v>
      </c>
      <c r="F24" s="224"/>
      <c r="G24" s="224" t="str">
        <f t="shared" si="2"/>
        <v>180 to 307 kWh/year- All- Baseline (effective May 2013)</v>
      </c>
      <c r="H24" s="224" t="str">
        <f t="shared" si="3"/>
        <v>180 to 295  kWh/year - Energy Star as of January 20, 2012</v>
      </c>
      <c r="I24" s="224" t="str">
        <f t="shared" si="4"/>
        <v>Electric DHW</v>
      </c>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4"/>
      <c r="AP24" s="224"/>
      <c r="AQ24" s="224"/>
      <c r="AR24" s="224"/>
      <c r="AS24" s="224"/>
      <c r="AT24" s="224"/>
      <c r="AU24" s="224"/>
      <c r="AV24" s="224"/>
      <c r="AW24" s="224" t="str">
        <f t="shared" ref="AW24:AW29" si="26">AW18</f>
        <v>Energy Star Dishwasher - Electric DHW</v>
      </c>
      <c r="AX24" s="224" t="s">
        <v>222</v>
      </c>
      <c r="AY24" s="225">
        <f>$AF18*'MF Assumptions'!$D$34/1000</f>
        <v>0.19001627921082875</v>
      </c>
      <c r="AZ24" s="224">
        <f>'MF Assumptions'!$D$31</f>
        <v>15.4</v>
      </c>
      <c r="BA24" s="224">
        <v>0</v>
      </c>
      <c r="BB24" s="224"/>
      <c r="BC24" s="226" t="s">
        <v>223</v>
      </c>
      <c r="BD24" s="224">
        <v>0</v>
      </c>
      <c r="BE24" s="224"/>
      <c r="BF24" s="224"/>
      <c r="BG24" s="224"/>
      <c r="BH24" s="224"/>
      <c r="BI24" s="224"/>
      <c r="BJ24" s="224"/>
      <c r="BK24" s="224">
        <v>0</v>
      </c>
      <c r="BL24" s="224"/>
    </row>
    <row r="25" spans="1:65">
      <c r="A25" s="224">
        <f t="shared" si="25"/>
        <v>2</v>
      </c>
      <c r="B25" s="224">
        <f t="shared" si="0"/>
        <v>1</v>
      </c>
      <c r="C25" s="224">
        <f t="shared" si="1"/>
        <v>2</v>
      </c>
      <c r="D25" s="224">
        <f t="shared" si="20"/>
        <v>1</v>
      </c>
      <c r="E25" s="224">
        <f t="shared" si="21"/>
        <v>2</v>
      </c>
      <c r="F25" s="224"/>
      <c r="G25" s="224" t="str">
        <f t="shared" si="2"/>
        <v>180 to 307 kWh/year- All- Baseline (effective May 2013)</v>
      </c>
      <c r="H25" s="224" t="str">
        <f t="shared" si="3"/>
        <v>180 to 295  kWh/year - Energy Star as of January 20, 2012</v>
      </c>
      <c r="I25" s="224" t="str">
        <f t="shared" si="4"/>
        <v>Gas DHW</v>
      </c>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24"/>
      <c r="AT25" s="224"/>
      <c r="AU25" s="224"/>
      <c r="AV25" s="224"/>
      <c r="AW25" s="224" t="str">
        <f t="shared" si="26"/>
        <v>Energy Star Dishwasher - Gas DHW</v>
      </c>
      <c r="AX25" s="224" t="s">
        <v>222</v>
      </c>
      <c r="AY25" s="225">
        <f>$AF19*'MF Assumptions'!$D$34/1000</f>
        <v>0.19001627921082875</v>
      </c>
      <c r="AZ25" s="224">
        <f>'MF Assumptions'!$D$31</f>
        <v>15.4</v>
      </c>
      <c r="BA25" s="224">
        <v>0</v>
      </c>
      <c r="BB25" s="224"/>
      <c r="BC25" s="226" t="s">
        <v>223</v>
      </c>
      <c r="BD25" s="224">
        <v>0</v>
      </c>
      <c r="BE25" s="224"/>
      <c r="BF25" s="224"/>
      <c r="BG25" s="224"/>
      <c r="BH25" s="224"/>
      <c r="BI25" s="224"/>
      <c r="BJ25" s="224"/>
      <c r="BK25" s="224">
        <v>0</v>
      </c>
      <c r="BL25" s="224"/>
    </row>
    <row r="26" spans="1:65">
      <c r="A26" s="224">
        <f t="shared" si="25"/>
        <v>3</v>
      </c>
      <c r="B26" s="224">
        <f t="shared" si="0"/>
        <v>1</v>
      </c>
      <c r="C26" s="224">
        <f t="shared" si="1"/>
        <v>3</v>
      </c>
      <c r="D26" s="224">
        <f t="shared" si="20"/>
        <v>1</v>
      </c>
      <c r="E26" s="224">
        <f t="shared" si="21"/>
        <v>3</v>
      </c>
      <c r="F26" s="224"/>
      <c r="G26" s="224" t="str">
        <f t="shared" si="2"/>
        <v>180 to 307 kWh/year- All- Baseline (effective May 2013)</v>
      </c>
      <c r="H26" s="224" t="str">
        <f t="shared" si="3"/>
        <v>180 to 295  kWh/year - Energy Star as of January 20, 2012</v>
      </c>
      <c r="I26" s="224" t="str">
        <f t="shared" si="4"/>
        <v>Any DHW</v>
      </c>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4"/>
      <c r="AR26" s="224"/>
      <c r="AS26" s="224"/>
      <c r="AT26" s="224"/>
      <c r="AU26" s="224"/>
      <c r="AV26" s="224"/>
      <c r="AW26" s="224" t="str">
        <f t="shared" si="26"/>
        <v>Energy Star Dishwasher - Any DHW</v>
      </c>
      <c r="AX26" s="224" t="s">
        <v>222</v>
      </c>
      <c r="AY26" s="225">
        <f>$AF20*'MF Assumptions'!$D$34/1000</f>
        <v>0.19001627921082875</v>
      </c>
      <c r="AZ26" s="224">
        <f>'MF Assumptions'!$D$31</f>
        <v>15.4</v>
      </c>
      <c r="BA26" s="224">
        <v>0</v>
      </c>
      <c r="BB26" s="224"/>
      <c r="BC26" s="226" t="s">
        <v>223</v>
      </c>
      <c r="BD26" s="224">
        <v>0</v>
      </c>
      <c r="BE26" s="224"/>
      <c r="BF26" s="224"/>
      <c r="BG26" s="224"/>
      <c r="BH26" s="224"/>
      <c r="BI26" s="224"/>
      <c r="BJ26" s="224"/>
      <c r="BK26" s="224">
        <v>0</v>
      </c>
      <c r="BL26" s="224"/>
    </row>
    <row r="27" spans="1:65">
      <c r="A27" s="224">
        <f t="shared" si="25"/>
        <v>4</v>
      </c>
      <c r="B27" s="224">
        <f t="shared" si="0"/>
        <v>1</v>
      </c>
      <c r="C27" s="224">
        <f t="shared" si="1"/>
        <v>4</v>
      </c>
      <c r="D27" s="224">
        <f t="shared" si="20"/>
        <v>2</v>
      </c>
      <c r="E27" s="224">
        <f t="shared" si="21"/>
        <v>1</v>
      </c>
      <c r="F27" s="224"/>
      <c r="G27" s="224" t="str">
        <f t="shared" si="2"/>
        <v>180 to 307 kWh/year- All- Baseline (effective May 2013)</v>
      </c>
      <c r="H27" s="224" t="str">
        <f t="shared" si="3"/>
        <v>180 to 295  kWh/year - CEE Tier 1 as of January 20, 2012;  min EF= 0.75</v>
      </c>
      <c r="I27" s="224" t="str">
        <f t="shared" si="4"/>
        <v>Electric DHW</v>
      </c>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224"/>
      <c r="AO27" s="224"/>
      <c r="AP27" s="224"/>
      <c r="AQ27" s="224"/>
      <c r="AR27" s="224"/>
      <c r="AS27" s="224"/>
      <c r="AT27" s="224"/>
      <c r="AU27" s="224"/>
      <c r="AV27" s="224"/>
      <c r="AW27" s="224" t="str">
        <f t="shared" si="26"/>
        <v>CEE Tier 1 Dishwasher - Electric DHW</v>
      </c>
      <c r="AX27" s="224" t="s">
        <v>222</v>
      </c>
      <c r="AY27" s="225">
        <f>$AF21*'MF Assumptions'!$D$34/1000</f>
        <v>0.19680651233539828</v>
      </c>
      <c r="AZ27" s="224">
        <f>'MF Assumptions'!$D$31</f>
        <v>15.4</v>
      </c>
      <c r="BA27" s="224">
        <v>0</v>
      </c>
      <c r="BB27" s="224"/>
      <c r="BC27" s="226" t="s">
        <v>223</v>
      </c>
      <c r="BD27" s="224">
        <v>0</v>
      </c>
      <c r="BE27" s="224"/>
      <c r="BF27" s="224"/>
      <c r="BG27" s="224"/>
      <c r="BH27" s="224"/>
      <c r="BI27" s="224"/>
      <c r="BJ27" s="224"/>
      <c r="BK27" s="224">
        <v>0</v>
      </c>
      <c r="BL27" s="224"/>
    </row>
    <row r="28" spans="1:65">
      <c r="A28" s="224">
        <f t="shared" si="25"/>
        <v>5</v>
      </c>
      <c r="B28" s="224">
        <f t="shared" si="0"/>
        <v>1</v>
      </c>
      <c r="C28" s="224">
        <f t="shared" si="1"/>
        <v>5</v>
      </c>
      <c r="D28" s="224">
        <f t="shared" si="20"/>
        <v>2</v>
      </c>
      <c r="E28" s="224">
        <f t="shared" si="21"/>
        <v>2</v>
      </c>
      <c r="F28" s="224"/>
      <c r="G28" s="224" t="str">
        <f t="shared" si="2"/>
        <v>180 to 307 kWh/year- All- Baseline (effective May 2013)</v>
      </c>
      <c r="H28" s="224" t="str">
        <f t="shared" si="3"/>
        <v>180 to 295  kWh/year - CEE Tier 1 as of January 20, 2012;  min EF= 0.75</v>
      </c>
      <c r="I28" s="224" t="str">
        <f t="shared" si="4"/>
        <v>Gas DHW</v>
      </c>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4"/>
      <c r="AM28" s="224"/>
      <c r="AN28" s="224"/>
      <c r="AO28" s="224"/>
      <c r="AP28" s="224"/>
      <c r="AQ28" s="224"/>
      <c r="AR28" s="224"/>
      <c r="AS28" s="224"/>
      <c r="AT28" s="224"/>
      <c r="AU28" s="224"/>
      <c r="AV28" s="224"/>
      <c r="AW28" s="224" t="str">
        <f t="shared" si="26"/>
        <v>CEE Tier 1 Dishwasher - Gas DHW</v>
      </c>
      <c r="AX28" s="224" t="s">
        <v>222</v>
      </c>
      <c r="AY28" s="225">
        <f>$AF22*'MF Assumptions'!$D$34/1000</f>
        <v>0.19680651233539828</v>
      </c>
      <c r="AZ28" s="224">
        <f>'MF Assumptions'!$D$31</f>
        <v>15.4</v>
      </c>
      <c r="BA28" s="224">
        <v>0</v>
      </c>
      <c r="BB28" s="224"/>
      <c r="BC28" s="226" t="s">
        <v>223</v>
      </c>
      <c r="BD28" s="224">
        <v>0</v>
      </c>
      <c r="BE28" s="224"/>
      <c r="BF28" s="224"/>
      <c r="BG28" s="224"/>
      <c r="BH28" s="224"/>
      <c r="BI28" s="224"/>
      <c r="BJ28" s="224"/>
      <c r="BK28" s="224">
        <v>0</v>
      </c>
      <c r="BL28" s="224"/>
    </row>
    <row r="29" spans="1:65">
      <c r="A29" s="224">
        <f t="shared" si="25"/>
        <v>6</v>
      </c>
      <c r="B29" s="224">
        <f t="shared" si="0"/>
        <v>1</v>
      </c>
      <c r="C29" s="224">
        <f t="shared" si="1"/>
        <v>6</v>
      </c>
      <c r="D29" s="224">
        <f t="shared" si="20"/>
        <v>2</v>
      </c>
      <c r="E29" s="224">
        <f t="shared" si="21"/>
        <v>3</v>
      </c>
      <c r="F29" s="224"/>
      <c r="G29" s="224" t="str">
        <f t="shared" si="2"/>
        <v>180 to 307 kWh/year- All- Baseline (effective May 2013)</v>
      </c>
      <c r="H29" s="224" t="str">
        <f t="shared" si="3"/>
        <v>180 to 295  kWh/year - CEE Tier 1 as of January 20, 2012;  min EF= 0.75</v>
      </c>
      <c r="I29" s="224" t="str">
        <f t="shared" si="4"/>
        <v>Any DHW</v>
      </c>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4"/>
      <c r="AQ29" s="224"/>
      <c r="AR29" s="224"/>
      <c r="AS29" s="224"/>
      <c r="AT29" s="224"/>
      <c r="AU29" s="224"/>
      <c r="AV29" s="224"/>
      <c r="AW29" s="224" t="str">
        <f t="shared" si="26"/>
        <v>CEE Tier 1 Dishwasher - Any DHW</v>
      </c>
      <c r="AX29" s="224" t="s">
        <v>222</v>
      </c>
      <c r="AY29" s="225">
        <f>$AF23*'MF Assumptions'!$D$34/1000</f>
        <v>0.19680651233539828</v>
      </c>
      <c r="AZ29" s="224">
        <f>'MF Assumptions'!$D$31</f>
        <v>15.4</v>
      </c>
      <c r="BA29" s="224">
        <v>0</v>
      </c>
      <c r="BB29" s="224"/>
      <c r="BC29" s="226" t="s">
        <v>223</v>
      </c>
      <c r="BD29" s="224">
        <v>0</v>
      </c>
      <c r="BE29" s="224"/>
      <c r="BF29" s="224"/>
      <c r="BG29" s="224"/>
      <c r="BH29" s="224"/>
      <c r="BI29" s="224"/>
      <c r="BJ29" s="224"/>
      <c r="BK29" s="224">
        <v>0</v>
      </c>
      <c r="BL29" s="224"/>
    </row>
    <row r="30" spans="1:65">
      <c r="J30" s="227"/>
      <c r="K30" s="227"/>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M30" s="223"/>
      <c r="AN30" s="228"/>
      <c r="AO30" s="223"/>
      <c r="AP30" s="223"/>
      <c r="AQ30" s="223"/>
      <c r="AR30" s="223"/>
      <c r="AS30" s="223"/>
      <c r="AT30" s="223"/>
      <c r="AU30" s="223"/>
      <c r="AV30" s="223"/>
      <c r="AW30" s="227"/>
      <c r="AX30" s="229"/>
      <c r="AY30" s="230"/>
      <c r="AZ30" s="230"/>
      <c r="BA30" s="227"/>
      <c r="BB30" s="227"/>
      <c r="BC30" s="231"/>
    </row>
    <row r="31" spans="1:65">
      <c r="J31" s="227"/>
      <c r="K31" s="227"/>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8"/>
      <c r="AO31" s="223"/>
      <c r="AP31" s="223"/>
      <c r="AQ31" s="223"/>
      <c r="AR31" s="223"/>
      <c r="AS31" s="223"/>
      <c r="AT31" s="223"/>
      <c r="AU31" s="223"/>
      <c r="AV31" s="223"/>
      <c r="AW31" s="227"/>
      <c r="AX31" s="229"/>
      <c r="AY31" s="230"/>
      <c r="AZ31" s="230"/>
      <c r="BA31" s="227"/>
      <c r="BB31" s="227"/>
      <c r="BC31" s="231"/>
    </row>
    <row r="32" spans="1:65">
      <c r="J32" s="227"/>
      <c r="K32" s="227"/>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8"/>
      <c r="AO32" s="223"/>
      <c r="AP32" s="223"/>
      <c r="AQ32" s="223"/>
      <c r="AR32" s="223"/>
      <c r="AS32" s="223"/>
      <c r="AT32" s="223"/>
      <c r="AU32" s="223"/>
      <c r="AV32" s="223"/>
      <c r="AW32" s="227"/>
      <c r="AX32" s="229"/>
      <c r="AY32" s="230"/>
      <c r="AZ32" s="230"/>
      <c r="BA32" s="227"/>
      <c r="BB32" s="227"/>
      <c r="BC32" s="231"/>
    </row>
    <row r="33" spans="12:55">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8"/>
      <c r="AO33" s="223"/>
      <c r="AP33" s="223"/>
      <c r="AQ33" s="223"/>
      <c r="AR33" s="223"/>
      <c r="AS33" s="223"/>
      <c r="AT33" s="223"/>
      <c r="AU33" s="223"/>
      <c r="AV33" s="223"/>
      <c r="AW33" s="227"/>
      <c r="AX33" s="229"/>
      <c r="AY33" s="230"/>
      <c r="AZ33" s="230"/>
      <c r="BA33" s="227"/>
      <c r="BB33" s="227"/>
      <c r="BC33" s="231"/>
    </row>
    <row r="34" spans="12:55">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8"/>
      <c r="AO34" s="223"/>
      <c r="AP34" s="223"/>
      <c r="AQ34" s="223"/>
      <c r="AR34" s="223"/>
      <c r="AS34" s="223"/>
      <c r="AT34" s="223"/>
      <c r="AU34" s="223"/>
      <c r="AV34" s="223"/>
      <c r="AW34" s="227"/>
      <c r="AX34" s="229"/>
      <c r="AY34" s="230"/>
      <c r="AZ34" s="230"/>
      <c r="BA34" s="227"/>
      <c r="BB34" s="227"/>
      <c r="BC34" s="231"/>
    </row>
  </sheetData>
  <mergeCells count="8">
    <mergeCell ref="BE16:BJ16"/>
    <mergeCell ref="BK16:BL16"/>
    <mergeCell ref="P16:R16"/>
    <mergeCell ref="S16:U16"/>
    <mergeCell ref="Y16:AA16"/>
    <mergeCell ref="AB16:AD16"/>
    <mergeCell ref="AH16:AJ16"/>
    <mergeCell ref="AK16:AM16"/>
  </mergeCells>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Sheet10"/>
  <dimension ref="A1:BM34"/>
  <sheetViews>
    <sheetView topLeftCell="H1" workbookViewId="0">
      <selection activeCell="X17" sqref="X17"/>
    </sheetView>
  </sheetViews>
  <sheetFormatPr defaultRowHeight="12.75"/>
  <cols>
    <col min="1" max="6" width="9.140625" style="34"/>
    <col min="7" max="7" width="67.5703125" style="34" customWidth="1"/>
    <col min="8" max="8" width="33.85546875" style="34" customWidth="1"/>
    <col min="9" max="12" width="9.140625" style="34"/>
    <col min="13" max="14" width="8.7109375" style="34" customWidth="1"/>
    <col min="15" max="22" width="9.140625" style="34"/>
    <col min="23" max="23" width="8.7109375" style="34" customWidth="1"/>
    <col min="24" max="40" width="9.140625" style="34"/>
    <col min="41" max="41" width="54" style="34" customWidth="1"/>
    <col min="42" max="48" width="9.140625" style="34"/>
    <col min="49" max="49" width="25.42578125" style="34" customWidth="1"/>
    <col min="50" max="50" width="9.140625" style="34"/>
    <col min="51" max="51" width="9.5703125" style="34" bestFit="1" customWidth="1"/>
    <col min="52" max="16384" width="9.140625" style="34"/>
  </cols>
  <sheetData>
    <row r="1" spans="2:64">
      <c r="B1" s="180">
        <v>1</v>
      </c>
      <c r="C1" s="181" t="s">
        <v>651</v>
      </c>
      <c r="D1" s="182"/>
      <c r="E1" s="182"/>
      <c r="F1" s="183"/>
      <c r="G1" s="184" t="s">
        <v>652</v>
      </c>
      <c r="H1" s="184" t="s">
        <v>653</v>
      </c>
      <c r="I1" s="185"/>
      <c r="J1" s="181" t="s">
        <v>654</v>
      </c>
      <c r="K1" s="181" t="s">
        <v>19</v>
      </c>
      <c r="L1" s="183"/>
      <c r="M1" s="181" t="s">
        <v>655</v>
      </c>
      <c r="N1" s="181" t="s">
        <v>656</v>
      </c>
      <c r="O1" s="184" t="s">
        <v>657</v>
      </c>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c r="AW1" s="183"/>
      <c r="AX1" s="183"/>
      <c r="AY1" s="183"/>
      <c r="AZ1" s="183"/>
      <c r="BA1" s="183"/>
      <c r="BB1" s="183"/>
      <c r="BC1" s="183"/>
      <c r="BD1" s="183"/>
      <c r="BE1" s="183"/>
      <c r="BF1" s="183"/>
      <c r="BG1" s="183"/>
      <c r="BH1" s="183"/>
      <c r="BI1" s="183"/>
      <c r="BJ1" s="183"/>
      <c r="BK1" s="183"/>
      <c r="BL1" s="183"/>
    </row>
    <row r="2" spans="2:64" ht="25.5">
      <c r="B2" s="180">
        <v>2</v>
      </c>
      <c r="C2" s="181" t="s">
        <v>658</v>
      </c>
      <c r="D2" s="182"/>
      <c r="E2" s="182"/>
      <c r="F2" s="183"/>
      <c r="G2" s="186">
        <v>1</v>
      </c>
      <c r="H2" s="187" t="str">
        <f>'Baseline and Measure Cases'!H2</f>
        <v>180 to 307 kWh/year- All- Baseline (effective May 2013)</v>
      </c>
      <c r="I2" s="183"/>
      <c r="J2" s="186">
        <v>1</v>
      </c>
      <c r="K2" s="188" t="str">
        <f>'Baseline and Measure Cases'!D2</f>
        <v>180 to 295  kWh/year - Energy Star as of January 20, 2012</v>
      </c>
      <c r="L2" s="183"/>
      <c r="M2" s="186">
        <v>1</v>
      </c>
      <c r="N2" s="189" t="s">
        <v>659</v>
      </c>
      <c r="O2" s="190">
        <v>1</v>
      </c>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c r="BI2" s="183"/>
      <c r="BJ2" s="183"/>
      <c r="BK2" s="183"/>
      <c r="BL2" s="183"/>
    </row>
    <row r="3" spans="2:64">
      <c r="B3" s="180">
        <v>3</v>
      </c>
      <c r="C3" s="181" t="s">
        <v>660</v>
      </c>
      <c r="D3" s="182"/>
      <c r="E3" s="182"/>
      <c r="F3" s="183"/>
      <c r="I3" s="183"/>
      <c r="J3" s="186">
        <v>2</v>
      </c>
      <c r="K3" s="188" t="str">
        <f>'Baseline and Measure Cases'!E2</f>
        <v>180 to 295  kWh/year - CEE Tier 1 as of January 20, 2012;  min EF= 0.75</v>
      </c>
      <c r="L3" s="183"/>
      <c r="M3" s="186">
        <v>2</v>
      </c>
      <c r="N3" s="189" t="s">
        <v>661</v>
      </c>
      <c r="O3" s="190">
        <v>0</v>
      </c>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c r="AR3" s="183"/>
      <c r="AS3" s="183"/>
      <c r="AT3" s="183"/>
      <c r="AU3" s="183"/>
      <c r="AV3" s="183"/>
      <c r="AW3" s="183"/>
      <c r="AX3" s="183"/>
      <c r="AY3" s="183"/>
      <c r="AZ3" s="183"/>
      <c r="BA3" s="183"/>
      <c r="BB3" s="183"/>
      <c r="BC3" s="183"/>
      <c r="BD3" s="183"/>
      <c r="BE3" s="183"/>
      <c r="BF3" s="183"/>
      <c r="BG3" s="183"/>
      <c r="BH3" s="183"/>
      <c r="BI3" s="183"/>
      <c r="BJ3" s="183"/>
      <c r="BK3" s="183"/>
      <c r="BL3" s="183"/>
    </row>
    <row r="4" spans="2:64">
      <c r="B4" s="183"/>
      <c r="C4" s="183"/>
      <c r="D4" s="183"/>
      <c r="E4" s="183"/>
      <c r="F4" s="183"/>
      <c r="G4" s="191"/>
      <c r="H4" s="192"/>
      <c r="I4" s="183"/>
      <c r="J4" s="191"/>
      <c r="K4" s="193"/>
      <c r="L4" s="183"/>
      <c r="M4" s="186">
        <v>3</v>
      </c>
      <c r="N4" s="189" t="s">
        <v>662</v>
      </c>
      <c r="O4" s="190">
        <f>'MH Assumptions'!D43</f>
        <v>0.88900000000000001</v>
      </c>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83"/>
      <c r="BK4" s="183"/>
      <c r="BL4" s="183"/>
    </row>
    <row r="5" spans="2:64">
      <c r="B5" s="183"/>
      <c r="C5" s="183"/>
      <c r="D5" s="183"/>
      <c r="E5" s="183"/>
      <c r="F5" s="183"/>
      <c r="G5" s="183"/>
      <c r="H5" s="183"/>
      <c r="I5" s="183"/>
      <c r="J5" s="191"/>
      <c r="K5" s="19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c r="AW5" s="183"/>
      <c r="AX5" s="183"/>
      <c r="AY5" s="183"/>
      <c r="AZ5" s="183"/>
      <c r="BA5" s="183"/>
      <c r="BB5" s="183"/>
      <c r="BC5" s="183"/>
      <c r="BD5" s="183"/>
      <c r="BE5" s="183"/>
      <c r="BF5" s="183"/>
      <c r="BG5" s="183"/>
      <c r="BH5" s="183"/>
      <c r="BI5" s="183"/>
      <c r="BJ5" s="183"/>
      <c r="BK5" s="183"/>
      <c r="BL5" s="183"/>
    </row>
    <row r="6" spans="2:64">
      <c r="B6" s="183"/>
      <c r="C6" s="183"/>
      <c r="D6" s="183"/>
      <c r="E6" s="183"/>
      <c r="F6" s="183"/>
      <c r="G6" s="183"/>
      <c r="H6" s="183"/>
      <c r="I6" s="183"/>
      <c r="J6" s="191"/>
      <c r="K6" s="19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3"/>
      <c r="BI6" s="183"/>
      <c r="BJ6" s="183"/>
      <c r="BK6" s="183"/>
      <c r="BL6" s="183"/>
    </row>
    <row r="7" spans="2:64">
      <c r="B7" s="183"/>
      <c r="C7" s="183"/>
      <c r="D7" s="183"/>
      <c r="E7" s="183"/>
      <c r="F7" s="183"/>
      <c r="G7" s="183"/>
      <c r="H7" s="183"/>
      <c r="I7" s="183"/>
      <c r="J7" s="191"/>
      <c r="K7" s="19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BB7" s="183"/>
      <c r="BC7" s="183"/>
      <c r="BD7" s="183"/>
      <c r="BE7" s="183"/>
      <c r="BF7" s="183"/>
      <c r="BG7" s="183"/>
      <c r="BH7" s="183"/>
      <c r="BI7" s="183"/>
      <c r="BJ7" s="183"/>
      <c r="BK7" s="183"/>
      <c r="BL7" s="183"/>
    </row>
    <row r="8" spans="2:64">
      <c r="B8" s="183"/>
      <c r="C8" s="183"/>
      <c r="D8" s="183"/>
      <c r="E8" s="183"/>
      <c r="F8" s="183"/>
      <c r="G8" s="183"/>
      <c r="H8" s="183"/>
      <c r="I8" s="183"/>
      <c r="J8" s="191"/>
      <c r="K8" s="19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3"/>
      <c r="BI8" s="183"/>
      <c r="BJ8" s="183"/>
      <c r="BK8" s="183"/>
      <c r="BL8" s="183"/>
    </row>
    <row r="9" spans="2:64">
      <c r="B9" s="183"/>
      <c r="C9" s="183"/>
      <c r="D9" s="183"/>
      <c r="E9" s="183"/>
      <c r="F9" s="183"/>
      <c r="G9" s="183"/>
      <c r="H9" s="183"/>
      <c r="I9" s="183"/>
      <c r="J9" s="191"/>
      <c r="K9" s="19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3"/>
    </row>
    <row r="15" spans="2:64">
      <c r="B15" s="183"/>
      <c r="C15" s="183"/>
      <c r="D15" s="183"/>
      <c r="E15" s="183"/>
      <c r="F15" s="183"/>
      <c r="G15" s="183"/>
      <c r="H15" s="183"/>
      <c r="I15" s="183"/>
      <c r="J15" s="183"/>
      <c r="K15" s="183"/>
      <c r="L15" s="183"/>
      <c r="M15" s="183"/>
      <c r="N15" s="194" t="s">
        <v>663</v>
      </c>
      <c r="O15" s="195"/>
      <c r="P15" s="195"/>
      <c r="Q15" s="195"/>
      <c r="R15" s="195"/>
      <c r="S15" s="195"/>
      <c r="T15" s="195"/>
      <c r="U15" s="195"/>
      <c r="V15" s="183"/>
      <c r="W15" s="196" t="s">
        <v>664</v>
      </c>
      <c r="X15" s="197"/>
      <c r="Y15" s="197"/>
      <c r="Z15" s="197"/>
      <c r="AA15" s="197"/>
      <c r="AB15" s="197"/>
      <c r="AC15" s="197"/>
      <c r="AD15" s="197"/>
      <c r="AE15" s="183"/>
      <c r="AF15" s="196" t="s">
        <v>665</v>
      </c>
      <c r="AG15" s="197"/>
      <c r="AH15" s="197"/>
      <c r="AI15" s="197"/>
      <c r="AJ15" s="197"/>
      <c r="AK15" s="197"/>
      <c r="AL15" s="197"/>
      <c r="AM15" s="197"/>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row>
    <row r="16" spans="2:64">
      <c r="B16" s="183"/>
      <c r="C16" s="183"/>
      <c r="D16" s="183"/>
      <c r="E16" s="183"/>
      <c r="F16" s="183"/>
      <c r="G16" s="183"/>
      <c r="H16" s="183"/>
      <c r="I16" s="183"/>
      <c r="J16" s="183"/>
      <c r="K16" s="183"/>
      <c r="L16" s="183"/>
      <c r="M16" s="183"/>
      <c r="N16" s="183"/>
      <c r="O16" s="183"/>
      <c r="P16" s="673" t="s">
        <v>666</v>
      </c>
      <c r="Q16" s="673"/>
      <c r="R16" s="673"/>
      <c r="S16" s="674" t="s">
        <v>667</v>
      </c>
      <c r="T16" s="674"/>
      <c r="U16" s="674"/>
      <c r="V16" s="198"/>
      <c r="W16" s="183"/>
      <c r="X16" s="183"/>
      <c r="Y16" s="675" t="s">
        <v>666</v>
      </c>
      <c r="Z16" s="675"/>
      <c r="AA16" s="675"/>
      <c r="AB16" s="675" t="s">
        <v>667</v>
      </c>
      <c r="AC16" s="675"/>
      <c r="AD16" s="675"/>
      <c r="AE16" s="198"/>
      <c r="AF16" s="183"/>
      <c r="AG16" s="183"/>
      <c r="AH16" s="675" t="s">
        <v>666</v>
      </c>
      <c r="AI16" s="675"/>
      <c r="AJ16" s="675"/>
      <c r="AK16" s="675" t="s">
        <v>667</v>
      </c>
      <c r="AL16" s="675"/>
      <c r="AM16" s="675"/>
      <c r="AN16" s="183"/>
      <c r="AO16" s="183"/>
      <c r="AP16" s="183"/>
      <c r="AQ16" s="199" t="s">
        <v>218</v>
      </c>
      <c r="AR16" s="200"/>
      <c r="AS16" s="200"/>
      <c r="AT16" s="200"/>
      <c r="AU16" s="183"/>
      <c r="AV16" s="183"/>
      <c r="AW16" s="201" t="s">
        <v>200</v>
      </c>
      <c r="AX16" s="202"/>
      <c r="AY16" s="202"/>
      <c r="AZ16" s="202"/>
      <c r="BA16" s="202"/>
      <c r="BB16" s="202"/>
      <c r="BC16" s="203"/>
      <c r="BD16" s="204"/>
      <c r="BE16" s="626" t="s">
        <v>201</v>
      </c>
      <c r="BF16" s="627"/>
      <c r="BG16" s="627"/>
      <c r="BH16" s="627"/>
      <c r="BI16" s="627"/>
      <c r="BJ16" s="628"/>
      <c r="BK16" s="671" t="s">
        <v>202</v>
      </c>
      <c r="BL16" s="672"/>
    </row>
    <row r="17" spans="1:65" ht="63.75">
      <c r="A17" s="205" t="s">
        <v>668</v>
      </c>
      <c r="B17" s="205" t="s">
        <v>669</v>
      </c>
      <c r="C17" s="205" t="s">
        <v>670</v>
      </c>
      <c r="D17" s="205" t="s">
        <v>219</v>
      </c>
      <c r="E17" s="205" t="s">
        <v>671</v>
      </c>
      <c r="F17" s="205"/>
      <c r="G17" s="205" t="s">
        <v>653</v>
      </c>
      <c r="H17" s="205" t="s">
        <v>19</v>
      </c>
      <c r="I17" s="205" t="s">
        <v>656</v>
      </c>
      <c r="J17" s="205"/>
      <c r="K17" s="205"/>
      <c r="L17" s="206" t="s">
        <v>672</v>
      </c>
      <c r="M17" s="206"/>
      <c r="N17" s="206" t="s">
        <v>673</v>
      </c>
      <c r="O17" s="206" t="s">
        <v>1097</v>
      </c>
      <c r="P17" s="206" t="s">
        <v>675</v>
      </c>
      <c r="Q17" s="206"/>
      <c r="R17" s="206" t="s">
        <v>676</v>
      </c>
      <c r="S17" s="206" t="s">
        <v>677</v>
      </c>
      <c r="T17" s="206"/>
      <c r="U17" s="206" t="s">
        <v>678</v>
      </c>
      <c r="V17" s="207"/>
      <c r="W17" s="206" t="s">
        <v>673</v>
      </c>
      <c r="X17" s="206" t="s">
        <v>1097</v>
      </c>
      <c r="Y17" s="206" t="s">
        <v>675</v>
      </c>
      <c r="Z17" s="206"/>
      <c r="AA17" s="206" t="s">
        <v>676</v>
      </c>
      <c r="AB17" s="206" t="s">
        <v>677</v>
      </c>
      <c r="AC17" s="206"/>
      <c r="AD17" s="206" t="s">
        <v>678</v>
      </c>
      <c r="AE17" s="207"/>
      <c r="AF17" s="206" t="s">
        <v>673</v>
      </c>
      <c r="AG17" s="206" t="s">
        <v>674</v>
      </c>
      <c r="AH17" s="206" t="s">
        <v>675</v>
      </c>
      <c r="AI17" s="206"/>
      <c r="AJ17" s="206" t="s">
        <v>676</v>
      </c>
      <c r="AK17" s="206" t="s">
        <v>677</v>
      </c>
      <c r="AL17" s="206"/>
      <c r="AM17" s="206" t="s">
        <v>678</v>
      </c>
      <c r="AN17" s="183"/>
      <c r="AO17" s="208" t="s">
        <v>204</v>
      </c>
      <c r="AP17" s="208" t="s">
        <v>189</v>
      </c>
      <c r="AQ17" s="209" t="s">
        <v>1</v>
      </c>
      <c r="AR17" s="209" t="s">
        <v>679</v>
      </c>
      <c r="AS17" s="209" t="s">
        <v>680</v>
      </c>
      <c r="AT17" s="209" t="s">
        <v>681</v>
      </c>
      <c r="AU17" s="208" t="s">
        <v>682</v>
      </c>
      <c r="AV17" s="209"/>
      <c r="AW17" s="129" t="s">
        <v>203</v>
      </c>
      <c r="AX17" s="129" t="s">
        <v>204</v>
      </c>
      <c r="AY17" s="129" t="s">
        <v>205</v>
      </c>
      <c r="AZ17" s="129" t="s">
        <v>206</v>
      </c>
      <c r="BA17" s="129" t="s">
        <v>207</v>
      </c>
      <c r="BB17" s="129" t="s">
        <v>208</v>
      </c>
      <c r="BC17" s="130" t="s">
        <v>209</v>
      </c>
      <c r="BD17" s="131" t="s">
        <v>210</v>
      </c>
      <c r="BE17" s="131" t="s">
        <v>211</v>
      </c>
      <c r="BF17" s="131" t="s">
        <v>212</v>
      </c>
      <c r="BG17" s="131" t="s">
        <v>213</v>
      </c>
      <c r="BH17" s="131" t="s">
        <v>214</v>
      </c>
      <c r="BI17" s="131" t="s">
        <v>215</v>
      </c>
      <c r="BJ17" s="131" t="s">
        <v>216</v>
      </c>
      <c r="BK17" s="210" t="s">
        <v>217</v>
      </c>
      <c r="BL17" s="131" t="s">
        <v>209</v>
      </c>
      <c r="BM17" s="183"/>
    </row>
    <row r="18" spans="1:65">
      <c r="A18" s="212">
        <v>1</v>
      </c>
      <c r="B18" s="212">
        <f t="shared" ref="B18:B29" si="0">CEILING(A18/($B$2*$B$3),1)</f>
        <v>1</v>
      </c>
      <c r="C18" s="212">
        <f t="shared" ref="C18:C29" si="1">CEILING(A18-(B18-1)*$B$2*$B$3,1)</f>
        <v>1</v>
      </c>
      <c r="D18" s="212">
        <f>CEILING(C18/$B$3,1)</f>
        <v>1</v>
      </c>
      <c r="E18" s="212">
        <f>C18-((D18-1)*$B$3)</f>
        <v>1</v>
      </c>
      <c r="F18" s="212"/>
      <c r="G18" s="212" t="str">
        <f t="shared" ref="G18:G29" si="2">VLOOKUP(B18,$G$2:$H$13,2,FALSE)</f>
        <v>180 to 307 kWh/year- All- Baseline (effective May 2013)</v>
      </c>
      <c r="H18" s="212" t="str">
        <f t="shared" ref="H18:H29" si="3">VLOOKUP(D18,$J$2:$K$12,2,FALSE)</f>
        <v>180 to 295  kWh/year - Energy Star as of January 20, 2012</v>
      </c>
      <c r="I18" s="212" t="str">
        <f t="shared" ref="I18:I29" si="4">VLOOKUP($E18,$M$2:$N$4,2,FALSE)</f>
        <v>Electric DHW</v>
      </c>
      <c r="J18" s="213"/>
      <c r="K18" s="213"/>
      <c r="L18" s="214">
        <f t="shared" ref="L18:L23" si="5">VLOOKUP($E18,$M$2:$O$4,3,FALSE)</f>
        <v>1</v>
      </c>
      <c r="M18" s="214"/>
      <c r="N18" s="215">
        <f>HLOOKUP($G18,'Baseline and Measure Cases'!$G$2:$J$20,16,FALSE)</f>
        <v>524.93046945337699</v>
      </c>
      <c r="O18" s="215">
        <f>HLOOKUP($G18,'Baseline and Measure Cases'!$G$2:$J$20,12,FALSE)</f>
        <v>0</v>
      </c>
      <c r="P18" s="215">
        <f>HLOOKUP($G18,'Baseline and Measure Cases'!$G$2:$J$20,19,FALSE)</f>
        <v>88.506942329768805</v>
      </c>
      <c r="Q18" s="215"/>
      <c r="R18" s="215">
        <f>HLOOKUP($G18,'Baseline and Measure Cases'!$G$2:$J$20,17,FALSE)</f>
        <v>88.188318868167329</v>
      </c>
      <c r="S18" s="216"/>
      <c r="T18" s="217"/>
      <c r="U18" s="216">
        <f>HLOOKUP($G18,'Baseline and Measure Cases'!$G$2:$J$20,18,FALSE)</f>
        <v>4.0131046934803321</v>
      </c>
      <c r="V18" s="217"/>
      <c r="W18" s="215">
        <f>HLOOKUP($H18,'Baseline and Measure Cases'!$G$2:$J$20,16,FALSE)</f>
        <v>489.01056790123545</v>
      </c>
      <c r="X18" s="215">
        <f>HLOOKUP($H18,'Baseline and Measure Cases'!$G$2:$J$20,12,FALSE)</f>
        <v>5.2795660553372441</v>
      </c>
      <c r="Y18" s="215">
        <f>HLOOKUP($H18,'Baseline and Measure Cases'!$G$2:$J$20,19,FALSE)</f>
        <v>91.103595824289272</v>
      </c>
      <c r="Z18" s="215"/>
      <c r="AA18" s="215">
        <f>HLOOKUP($H18,'Baseline and Measure Cases'!$G$2:$J$20,17,FALSE)</f>
        <v>82.153775407407551</v>
      </c>
      <c r="AB18" s="216"/>
      <c r="AC18" s="215"/>
      <c r="AD18" s="216">
        <f>HLOOKUP($H18,'Baseline and Measure Cases'!$G$2:$J$20,18,FALSE)</f>
        <v>3.7384962759915208</v>
      </c>
      <c r="AE18" s="217"/>
      <c r="AF18" s="215">
        <f t="shared" ref="AF18:AF23" si="6">N18-W18</f>
        <v>35.919901552141539</v>
      </c>
      <c r="AG18" s="218">
        <f t="shared" ref="AG18:AG23" si="7">X18-O18</f>
        <v>5.2795660553372441</v>
      </c>
      <c r="AH18" s="219">
        <f t="shared" ref="AH18:AH23" si="8">P18-Y18</f>
        <v>-2.5966534945204671</v>
      </c>
      <c r="AI18" s="219"/>
      <c r="AJ18" s="219">
        <f t="shared" ref="AJ18:AK23" si="9">R18-AA18</f>
        <v>6.0345434607597781</v>
      </c>
      <c r="AK18" s="217">
        <f>S18-AB18</f>
        <v>0</v>
      </c>
      <c r="AL18" s="217"/>
      <c r="AM18" s="217">
        <f t="shared" ref="AM18:AM23" si="10">U18-AD18</f>
        <v>0.27460841748881126</v>
      </c>
      <c r="AN18" s="223"/>
      <c r="AO18" s="214" t="str">
        <f t="shared" ref="AO18:AO23" si="11">AW18</f>
        <v>Energy Star Dishwasher - Electric DHW</v>
      </c>
      <c r="AP18" s="218">
        <f>BA18</f>
        <v>5.2795660553372441</v>
      </c>
      <c r="AQ18" s="219">
        <f t="shared" ref="AQ18:AQ23" si="12">AH18+AJ18*L18</f>
        <v>3.437889966239311</v>
      </c>
      <c r="AR18" s="217">
        <f t="shared" ref="AR18:AR23" si="13">AM18*(1-L18)</f>
        <v>0</v>
      </c>
      <c r="AS18" s="217">
        <f t="shared" ref="AS18:AS23" si="14">AF18</f>
        <v>35.919901552141539</v>
      </c>
      <c r="AT18" s="217">
        <f>VLOOKUP(AW18,RawRTF!$C$1:$DC$178,82,FALSE)</f>
        <v>0</v>
      </c>
      <c r="AU18" s="219">
        <f t="shared" ref="AU18:AU23" si="15">AQ18+AY35</f>
        <v>3.437889966239311</v>
      </c>
      <c r="AV18" s="214"/>
      <c r="AW18" s="212" t="str">
        <f>CONCATENATE("Energy Star Dishwasher - ",I18)</f>
        <v>Energy Star Dishwasher - Electric DHW</v>
      </c>
      <c r="AX18" s="212" t="s">
        <v>220</v>
      </c>
      <c r="AY18" s="219">
        <f t="shared" ref="AY18:AY23" si="16">AQ18</f>
        <v>3.437889966239311</v>
      </c>
      <c r="AZ18" s="219">
        <f>'MH Assumptions'!$D$31</f>
        <v>15.4</v>
      </c>
      <c r="BA18" s="220">
        <f t="shared" ref="BA18:BA23" si="17">AG18</f>
        <v>5.2795660553372441</v>
      </c>
      <c r="BB18" s="212"/>
      <c r="BC18" s="211" t="s">
        <v>221</v>
      </c>
      <c r="BD18" s="221">
        <f>AF18*'MH Assumptions'!$D$36/1000</f>
        <v>0.33177417068635534</v>
      </c>
      <c r="BE18" s="212"/>
      <c r="BF18" s="212"/>
      <c r="BG18" s="212"/>
      <c r="BH18" s="212"/>
      <c r="BI18" s="212"/>
      <c r="BJ18" s="212"/>
      <c r="BK18" s="222">
        <f t="shared" ref="BK18:BK23" si="18">AR18</f>
        <v>0</v>
      </c>
      <c r="BL18" s="212" t="s">
        <v>221</v>
      </c>
    </row>
    <row r="19" spans="1:65">
      <c r="A19" s="212">
        <f t="shared" ref="A19:A23" si="19">A18+1</f>
        <v>2</v>
      </c>
      <c r="B19" s="212">
        <f t="shared" si="0"/>
        <v>1</v>
      </c>
      <c r="C19" s="212">
        <f t="shared" si="1"/>
        <v>2</v>
      </c>
      <c r="D19" s="212">
        <f t="shared" ref="D19:D29" si="20">CEILING(C19/$B$3,1)</f>
        <v>1</v>
      </c>
      <c r="E19" s="212">
        <f t="shared" ref="E19:E29" si="21">C19-((D19-1)*$B$3)</f>
        <v>2</v>
      </c>
      <c r="F19" s="212"/>
      <c r="G19" s="212" t="str">
        <f t="shared" si="2"/>
        <v>180 to 307 kWh/year- All- Baseline (effective May 2013)</v>
      </c>
      <c r="H19" s="212" t="str">
        <f t="shared" si="3"/>
        <v>180 to 295  kWh/year - Energy Star as of January 20, 2012</v>
      </c>
      <c r="I19" s="212" t="str">
        <f t="shared" si="4"/>
        <v>Gas DHW</v>
      </c>
      <c r="J19" s="213"/>
      <c r="K19" s="213"/>
      <c r="L19" s="214">
        <f t="shared" si="5"/>
        <v>0</v>
      </c>
      <c r="M19" s="214"/>
      <c r="N19" s="215">
        <f>HLOOKUP($G19,'Baseline and Measure Cases'!$G$2:$J$20,16,FALSE)</f>
        <v>524.93046945337699</v>
      </c>
      <c r="O19" s="215">
        <f>HLOOKUP($G19,'Baseline and Measure Cases'!$G$2:$J$20,12,FALSE)</f>
        <v>0</v>
      </c>
      <c r="P19" s="215">
        <f>HLOOKUP($G19,'Baseline and Measure Cases'!$G$2:$J$20,19,FALSE)</f>
        <v>88.506942329768805</v>
      </c>
      <c r="Q19" s="215"/>
      <c r="R19" s="215">
        <f>HLOOKUP($G19,'Baseline and Measure Cases'!$G$2:$J$20,17,FALSE)</f>
        <v>88.188318868167329</v>
      </c>
      <c r="S19" s="216"/>
      <c r="T19" s="217"/>
      <c r="U19" s="216">
        <f>HLOOKUP($G19,'Baseline and Measure Cases'!$G$2:$J$20,18,FALSE)</f>
        <v>4.0131046934803321</v>
      </c>
      <c r="V19" s="217"/>
      <c r="W19" s="215">
        <f>HLOOKUP($H19,'Baseline and Measure Cases'!$G$2:$J$20,16,FALSE)</f>
        <v>489.01056790123545</v>
      </c>
      <c r="X19" s="215">
        <f>HLOOKUP($H19,'Baseline and Measure Cases'!$G$2:$J$20,12,FALSE)</f>
        <v>5.2795660553372441</v>
      </c>
      <c r="Y19" s="215">
        <f>HLOOKUP($H19,'Baseline and Measure Cases'!$G$2:$J$20,19,FALSE)</f>
        <v>91.103595824289272</v>
      </c>
      <c r="Z19" s="215"/>
      <c r="AA19" s="215">
        <f>HLOOKUP($H19,'Baseline and Measure Cases'!$G$2:$J$20,17,FALSE)</f>
        <v>82.153775407407551</v>
      </c>
      <c r="AB19" s="216"/>
      <c r="AC19" s="215"/>
      <c r="AD19" s="216">
        <f>HLOOKUP($H19,'Baseline and Measure Cases'!$G$2:$J$20,18,FALSE)</f>
        <v>3.7384962759915208</v>
      </c>
      <c r="AE19" s="217"/>
      <c r="AF19" s="215">
        <f t="shared" si="6"/>
        <v>35.919901552141539</v>
      </c>
      <c r="AG19" s="218">
        <f t="shared" si="7"/>
        <v>5.2795660553372441</v>
      </c>
      <c r="AH19" s="219">
        <f t="shared" si="8"/>
        <v>-2.5966534945204671</v>
      </c>
      <c r="AI19" s="219"/>
      <c r="AJ19" s="219">
        <f t="shared" si="9"/>
        <v>6.0345434607597781</v>
      </c>
      <c r="AK19" s="217">
        <f t="shared" si="9"/>
        <v>0</v>
      </c>
      <c r="AL19" s="217"/>
      <c r="AM19" s="217">
        <f t="shared" si="10"/>
        <v>0.27460841748881126</v>
      </c>
      <c r="AN19" s="223"/>
      <c r="AO19" s="214" t="str">
        <f t="shared" si="11"/>
        <v>Energy Star Dishwasher - Gas DHW</v>
      </c>
      <c r="AP19" s="218">
        <f t="shared" ref="AP19:AP23" si="22">BA19</f>
        <v>5.2795660553372441</v>
      </c>
      <c r="AQ19" s="219">
        <f t="shared" si="12"/>
        <v>-2.5966534945204671</v>
      </c>
      <c r="AR19" s="217">
        <f t="shared" si="13"/>
        <v>0.27460841748881126</v>
      </c>
      <c r="AS19" s="217">
        <f t="shared" si="14"/>
        <v>35.919901552141539</v>
      </c>
      <c r="AT19" s="217">
        <f>VLOOKUP(AW19,RawRTF!$C$1:$DC$178,82,FALSE)</f>
        <v>0</v>
      </c>
      <c r="AU19" s="219">
        <f t="shared" si="15"/>
        <v>-2.5966534945204671</v>
      </c>
      <c r="AV19" s="214"/>
      <c r="AW19" s="212" t="str">
        <f t="shared" ref="AW19:AW20" si="23">CONCATENATE("Energy Star Dishwasher - ",I19)</f>
        <v>Energy Star Dishwasher - Gas DHW</v>
      </c>
      <c r="AX19" s="212" t="s">
        <v>220</v>
      </c>
      <c r="AY19" s="219">
        <f t="shared" si="16"/>
        <v>-2.5966534945204671</v>
      </c>
      <c r="AZ19" s="219">
        <f>'MH Assumptions'!$D$31</f>
        <v>15.4</v>
      </c>
      <c r="BA19" s="220">
        <f t="shared" si="17"/>
        <v>5.2795660553372441</v>
      </c>
      <c r="BB19" s="212"/>
      <c r="BC19" s="211" t="s">
        <v>221</v>
      </c>
      <c r="BD19" s="221">
        <f>AF19*'MH Assumptions'!$D$36/1000</f>
        <v>0.33177417068635534</v>
      </c>
      <c r="BE19" s="212"/>
      <c r="BF19" s="212"/>
      <c r="BG19" s="212"/>
      <c r="BH19" s="212"/>
      <c r="BI19" s="212"/>
      <c r="BJ19" s="212"/>
      <c r="BK19" s="222">
        <f t="shared" si="18"/>
        <v>0.27460841748881126</v>
      </c>
      <c r="BL19" s="212" t="s">
        <v>221</v>
      </c>
    </row>
    <row r="20" spans="1:65">
      <c r="A20" s="212">
        <f t="shared" si="19"/>
        <v>3</v>
      </c>
      <c r="B20" s="212">
        <f t="shared" si="0"/>
        <v>1</v>
      </c>
      <c r="C20" s="212">
        <f t="shared" si="1"/>
        <v>3</v>
      </c>
      <c r="D20" s="212">
        <f t="shared" si="20"/>
        <v>1</v>
      </c>
      <c r="E20" s="212">
        <f t="shared" si="21"/>
        <v>3</v>
      </c>
      <c r="F20" s="212"/>
      <c r="G20" s="212" t="str">
        <f t="shared" si="2"/>
        <v>180 to 307 kWh/year- All- Baseline (effective May 2013)</v>
      </c>
      <c r="H20" s="212" t="str">
        <f t="shared" si="3"/>
        <v>180 to 295  kWh/year - Energy Star as of January 20, 2012</v>
      </c>
      <c r="I20" s="212" t="str">
        <f t="shared" si="4"/>
        <v>Any DHW</v>
      </c>
      <c r="J20" s="213"/>
      <c r="K20" s="213"/>
      <c r="L20" s="214">
        <f t="shared" si="5"/>
        <v>0.88900000000000001</v>
      </c>
      <c r="M20" s="214"/>
      <c r="N20" s="215">
        <f>HLOOKUP($G20,'Baseline and Measure Cases'!$G$2:$J$20,16,FALSE)</f>
        <v>524.93046945337699</v>
      </c>
      <c r="O20" s="215">
        <f>HLOOKUP($G20,'Baseline and Measure Cases'!$G$2:$J$20,12,FALSE)</f>
        <v>0</v>
      </c>
      <c r="P20" s="215">
        <f>HLOOKUP($G20,'Baseline and Measure Cases'!$G$2:$J$20,19,FALSE)</f>
        <v>88.506942329768805</v>
      </c>
      <c r="Q20" s="215"/>
      <c r="R20" s="215">
        <f>HLOOKUP($G20,'Baseline and Measure Cases'!$G$2:$J$20,17,FALSE)</f>
        <v>88.188318868167329</v>
      </c>
      <c r="S20" s="216"/>
      <c r="T20" s="217"/>
      <c r="U20" s="216">
        <f>HLOOKUP($G20,'Baseline and Measure Cases'!$G$2:$J$20,18,FALSE)</f>
        <v>4.0131046934803321</v>
      </c>
      <c r="V20" s="217"/>
      <c r="W20" s="215">
        <f>HLOOKUP($H20,'Baseline and Measure Cases'!$G$2:$J$20,16,FALSE)</f>
        <v>489.01056790123545</v>
      </c>
      <c r="X20" s="215">
        <f>HLOOKUP($H20,'Baseline and Measure Cases'!$G$2:$J$20,12,FALSE)</f>
        <v>5.2795660553372441</v>
      </c>
      <c r="Y20" s="215">
        <f>HLOOKUP($H20,'Baseline and Measure Cases'!$G$2:$J$20,19,FALSE)</f>
        <v>91.103595824289272</v>
      </c>
      <c r="Z20" s="215"/>
      <c r="AA20" s="215">
        <f>HLOOKUP($H20,'Baseline and Measure Cases'!$G$2:$J$20,17,FALSE)</f>
        <v>82.153775407407551</v>
      </c>
      <c r="AB20" s="216"/>
      <c r="AC20" s="215"/>
      <c r="AD20" s="216">
        <f>HLOOKUP($H20,'Baseline and Measure Cases'!$G$2:$J$20,18,FALSE)</f>
        <v>3.7384962759915208</v>
      </c>
      <c r="AE20" s="217"/>
      <c r="AF20" s="215">
        <f t="shared" si="6"/>
        <v>35.919901552141539</v>
      </c>
      <c r="AG20" s="218">
        <f t="shared" si="7"/>
        <v>5.2795660553372441</v>
      </c>
      <c r="AH20" s="219">
        <f t="shared" si="8"/>
        <v>-2.5966534945204671</v>
      </c>
      <c r="AI20" s="219"/>
      <c r="AJ20" s="219">
        <f t="shared" si="9"/>
        <v>6.0345434607597781</v>
      </c>
      <c r="AK20" s="217">
        <f t="shared" si="9"/>
        <v>0</v>
      </c>
      <c r="AL20" s="217"/>
      <c r="AM20" s="217">
        <f t="shared" si="10"/>
        <v>0.27460841748881126</v>
      </c>
      <c r="AN20" s="223"/>
      <c r="AO20" s="214" t="str">
        <f t="shared" si="11"/>
        <v>Energy Star Dishwasher - Any DHW</v>
      </c>
      <c r="AP20" s="218">
        <f t="shared" si="22"/>
        <v>5.2795660553372441</v>
      </c>
      <c r="AQ20" s="219">
        <f t="shared" si="12"/>
        <v>2.7680556420949758</v>
      </c>
      <c r="AR20" s="217">
        <f t="shared" si="13"/>
        <v>3.0481534341258047E-2</v>
      </c>
      <c r="AS20" s="217">
        <f t="shared" si="14"/>
        <v>35.919901552141539</v>
      </c>
      <c r="AT20" s="217">
        <f>VLOOKUP(AW20,RawRTF!$C$1:$DC$178,82,FALSE)</f>
        <v>0</v>
      </c>
      <c r="AU20" s="219">
        <f t="shared" si="15"/>
        <v>2.7680556420949758</v>
      </c>
      <c r="AV20" s="214"/>
      <c r="AW20" s="212" t="str">
        <f t="shared" si="23"/>
        <v>Energy Star Dishwasher - Any DHW</v>
      </c>
      <c r="AX20" s="212" t="s">
        <v>220</v>
      </c>
      <c r="AY20" s="219">
        <f t="shared" si="16"/>
        <v>2.7680556420949758</v>
      </c>
      <c r="AZ20" s="219">
        <f>'MH Assumptions'!$D$31</f>
        <v>15.4</v>
      </c>
      <c r="BA20" s="220">
        <f t="shared" si="17"/>
        <v>5.2795660553372441</v>
      </c>
      <c r="BB20" s="212"/>
      <c r="BC20" s="211" t="s">
        <v>221</v>
      </c>
      <c r="BD20" s="221">
        <f>AF20*'MH Assumptions'!$D$36/1000</f>
        <v>0.33177417068635534</v>
      </c>
      <c r="BE20" s="212"/>
      <c r="BF20" s="212"/>
      <c r="BG20" s="212"/>
      <c r="BH20" s="212"/>
      <c r="BI20" s="212"/>
      <c r="BJ20" s="212"/>
      <c r="BK20" s="222">
        <f t="shared" si="18"/>
        <v>3.0481534341258047E-2</v>
      </c>
      <c r="BL20" s="212" t="s">
        <v>221</v>
      </c>
    </row>
    <row r="21" spans="1:65">
      <c r="A21" s="212">
        <f t="shared" si="19"/>
        <v>4</v>
      </c>
      <c r="B21" s="212">
        <f t="shared" si="0"/>
        <v>1</v>
      </c>
      <c r="C21" s="212">
        <f t="shared" si="1"/>
        <v>4</v>
      </c>
      <c r="D21" s="212">
        <f t="shared" si="20"/>
        <v>2</v>
      </c>
      <c r="E21" s="212">
        <f t="shared" si="21"/>
        <v>1</v>
      </c>
      <c r="F21" s="212"/>
      <c r="G21" s="212" t="str">
        <f t="shared" si="2"/>
        <v>180 to 307 kWh/year- All- Baseline (effective May 2013)</v>
      </c>
      <c r="H21" s="212" t="str">
        <f t="shared" si="3"/>
        <v>180 to 295  kWh/year - CEE Tier 1 as of January 20, 2012;  min EF= 0.75</v>
      </c>
      <c r="I21" s="212" t="str">
        <f t="shared" si="4"/>
        <v>Electric DHW</v>
      </c>
      <c r="J21" s="213"/>
      <c r="K21" s="213"/>
      <c r="L21" s="214">
        <f t="shared" si="5"/>
        <v>1</v>
      </c>
      <c r="M21" s="214"/>
      <c r="N21" s="215">
        <f>HLOOKUP($G21,'Baseline and Measure Cases'!$G$2:$J$20,16,FALSE)</f>
        <v>524.93046945337699</v>
      </c>
      <c r="O21" s="215">
        <f>HLOOKUP($G21,'Baseline and Measure Cases'!$G$2:$J$20,12,FALSE)</f>
        <v>0</v>
      </c>
      <c r="P21" s="215">
        <f>HLOOKUP($G21,'Baseline and Measure Cases'!$G$2:$J$20,19,FALSE)</f>
        <v>88.506942329768805</v>
      </c>
      <c r="Q21" s="215"/>
      <c r="R21" s="215">
        <f>HLOOKUP($G21,'Baseline and Measure Cases'!$G$2:$J$20,17,FALSE)</f>
        <v>88.188318868167329</v>
      </c>
      <c r="S21" s="216"/>
      <c r="T21" s="217"/>
      <c r="U21" s="216">
        <f>HLOOKUP($G21,'Baseline and Measure Cases'!$G$2:$J$20,18,FALSE)</f>
        <v>4.0131046934803321</v>
      </c>
      <c r="V21" s="217"/>
      <c r="W21" s="215">
        <f>HLOOKUP($H21,'Baseline and Measure Cases'!$G$2:$J$20,16,FALSE)</f>
        <v>487.72696995708242</v>
      </c>
      <c r="X21" s="215">
        <f>HLOOKUP($H21,'Baseline and Measure Cases'!$G$2:$J$20,12,FALSE)</f>
        <v>6.1994832121220673</v>
      </c>
      <c r="Y21" s="215">
        <f>HLOOKUP($H21,'Baseline and Measure Cases'!$G$2:$J$20,19,FALSE)</f>
        <v>90.75049026689274</v>
      </c>
      <c r="Z21" s="215"/>
      <c r="AA21" s="215">
        <f>HLOOKUP($H21,'Baseline and Measure Cases'!$G$2:$J$20,17,FALSE)</f>
        <v>81.938130952789834</v>
      </c>
      <c r="AB21" s="216"/>
      <c r="AC21" s="215"/>
      <c r="AD21" s="216">
        <f>HLOOKUP($H21,'Baseline and Measure Cases'!$G$2:$J$20,18,FALSE)</f>
        <v>3.7286831421881308</v>
      </c>
      <c r="AE21" s="217"/>
      <c r="AF21" s="215">
        <f t="shared" si="6"/>
        <v>37.203499496294569</v>
      </c>
      <c r="AG21" s="218">
        <f t="shared" si="7"/>
        <v>6.1994832121220673</v>
      </c>
      <c r="AH21" s="219">
        <f t="shared" si="8"/>
        <v>-2.2435479371239353</v>
      </c>
      <c r="AI21" s="219"/>
      <c r="AJ21" s="219">
        <f t="shared" si="9"/>
        <v>6.2501879153774951</v>
      </c>
      <c r="AK21" s="217">
        <f t="shared" si="9"/>
        <v>0</v>
      </c>
      <c r="AL21" s="217"/>
      <c r="AM21" s="217">
        <f t="shared" si="10"/>
        <v>0.28442155129220126</v>
      </c>
      <c r="AN21" s="223"/>
      <c r="AO21" s="214" t="str">
        <f t="shared" si="11"/>
        <v>CEE Tier 1 Dishwasher - Electric DHW</v>
      </c>
      <c r="AP21" s="218">
        <f t="shared" si="22"/>
        <v>6.1994832121220673</v>
      </c>
      <c r="AQ21" s="219">
        <f t="shared" si="12"/>
        <v>4.0066399782535598</v>
      </c>
      <c r="AR21" s="217">
        <f t="shared" si="13"/>
        <v>0</v>
      </c>
      <c r="AS21" s="217">
        <f t="shared" si="14"/>
        <v>37.203499496294569</v>
      </c>
      <c r="AT21" s="217">
        <f>VLOOKUP(AW21,RawRTF!$C$1:$DC$178,82,FALSE)</f>
        <v>0</v>
      </c>
      <c r="AU21" s="219">
        <f t="shared" si="15"/>
        <v>4.0066399782535598</v>
      </c>
      <c r="AV21" s="214"/>
      <c r="AW21" s="212" t="str">
        <f>CONCATENATE("CEE Tier 1 Dishwasher - ",I21)</f>
        <v>CEE Tier 1 Dishwasher - Electric DHW</v>
      </c>
      <c r="AX21" s="212" t="s">
        <v>220</v>
      </c>
      <c r="AY21" s="219">
        <f t="shared" si="16"/>
        <v>4.0066399782535598</v>
      </c>
      <c r="AZ21" s="219">
        <f>'MH Assumptions'!$D$31</f>
        <v>15.4</v>
      </c>
      <c r="BA21" s="220">
        <f t="shared" si="17"/>
        <v>6.1994832121220673</v>
      </c>
      <c r="BB21" s="212"/>
      <c r="BC21" s="211" t="s">
        <v>221</v>
      </c>
      <c r="BD21" s="221">
        <f>AF21*'MH Assumptions'!$D$36/1000</f>
        <v>0.34363012309752472</v>
      </c>
      <c r="BE21" s="212"/>
      <c r="BF21" s="212"/>
      <c r="BG21" s="212"/>
      <c r="BH21" s="212"/>
      <c r="BI21" s="212"/>
      <c r="BJ21" s="212"/>
      <c r="BK21" s="222">
        <f t="shared" si="18"/>
        <v>0</v>
      </c>
      <c r="BL21" s="212" t="s">
        <v>221</v>
      </c>
    </row>
    <row r="22" spans="1:65">
      <c r="A22" s="212">
        <f t="shared" si="19"/>
        <v>5</v>
      </c>
      <c r="B22" s="212">
        <f t="shared" si="0"/>
        <v>1</v>
      </c>
      <c r="C22" s="212">
        <f t="shared" si="1"/>
        <v>5</v>
      </c>
      <c r="D22" s="212">
        <f t="shared" si="20"/>
        <v>2</v>
      </c>
      <c r="E22" s="212">
        <f t="shared" si="21"/>
        <v>2</v>
      </c>
      <c r="F22" s="212"/>
      <c r="G22" s="212" t="str">
        <f t="shared" si="2"/>
        <v>180 to 307 kWh/year- All- Baseline (effective May 2013)</v>
      </c>
      <c r="H22" s="212" t="str">
        <f t="shared" si="3"/>
        <v>180 to 295  kWh/year - CEE Tier 1 as of January 20, 2012;  min EF= 0.75</v>
      </c>
      <c r="I22" s="212" t="str">
        <f t="shared" si="4"/>
        <v>Gas DHW</v>
      </c>
      <c r="J22" s="213"/>
      <c r="K22" s="213"/>
      <c r="L22" s="214">
        <f t="shared" si="5"/>
        <v>0</v>
      </c>
      <c r="M22" s="214"/>
      <c r="N22" s="215">
        <f>HLOOKUP($G22,'Baseline and Measure Cases'!$G$2:$J$20,16,FALSE)</f>
        <v>524.93046945337699</v>
      </c>
      <c r="O22" s="215">
        <f>HLOOKUP($G22,'Baseline and Measure Cases'!$G$2:$J$20,12,FALSE)</f>
        <v>0</v>
      </c>
      <c r="P22" s="215">
        <f>HLOOKUP($G22,'Baseline and Measure Cases'!$G$2:$J$20,19,FALSE)</f>
        <v>88.506942329768805</v>
      </c>
      <c r="Q22" s="215"/>
      <c r="R22" s="215">
        <f>HLOOKUP($G22,'Baseline and Measure Cases'!$G$2:$J$20,17,FALSE)</f>
        <v>88.188318868167329</v>
      </c>
      <c r="S22" s="216"/>
      <c r="T22" s="217"/>
      <c r="U22" s="216">
        <f>HLOOKUP($G22,'Baseline and Measure Cases'!$G$2:$J$20,18,FALSE)</f>
        <v>4.0131046934803321</v>
      </c>
      <c r="V22" s="217"/>
      <c r="W22" s="215">
        <f>HLOOKUP($H22,'Baseline and Measure Cases'!$G$2:$J$20,16,FALSE)</f>
        <v>487.72696995708242</v>
      </c>
      <c r="X22" s="215">
        <f>HLOOKUP($H22,'Baseline and Measure Cases'!$G$2:$J$20,12,FALSE)</f>
        <v>6.1994832121220673</v>
      </c>
      <c r="Y22" s="215">
        <f>HLOOKUP($H22,'Baseline and Measure Cases'!$G$2:$J$20,19,FALSE)</f>
        <v>90.75049026689274</v>
      </c>
      <c r="Z22" s="215"/>
      <c r="AA22" s="215">
        <f>HLOOKUP($H22,'Baseline and Measure Cases'!$G$2:$J$20,17,FALSE)</f>
        <v>81.938130952789834</v>
      </c>
      <c r="AB22" s="216"/>
      <c r="AC22" s="215"/>
      <c r="AD22" s="216">
        <f>HLOOKUP($H22,'Baseline and Measure Cases'!$G$2:$J$20,18,FALSE)</f>
        <v>3.7286831421881308</v>
      </c>
      <c r="AE22" s="217"/>
      <c r="AF22" s="215">
        <f t="shared" si="6"/>
        <v>37.203499496294569</v>
      </c>
      <c r="AG22" s="218">
        <f t="shared" si="7"/>
        <v>6.1994832121220673</v>
      </c>
      <c r="AH22" s="219">
        <f t="shared" si="8"/>
        <v>-2.2435479371239353</v>
      </c>
      <c r="AI22" s="219"/>
      <c r="AJ22" s="219">
        <f t="shared" si="9"/>
        <v>6.2501879153774951</v>
      </c>
      <c r="AK22" s="217">
        <f t="shared" si="9"/>
        <v>0</v>
      </c>
      <c r="AL22" s="217"/>
      <c r="AM22" s="217">
        <f t="shared" si="10"/>
        <v>0.28442155129220126</v>
      </c>
      <c r="AN22" s="223"/>
      <c r="AO22" s="214" t="str">
        <f t="shared" si="11"/>
        <v>CEE Tier 1 Dishwasher - Gas DHW</v>
      </c>
      <c r="AP22" s="218">
        <f t="shared" si="22"/>
        <v>6.1994832121220673</v>
      </c>
      <c r="AQ22" s="219">
        <f t="shared" si="12"/>
        <v>-2.2435479371239353</v>
      </c>
      <c r="AR22" s="217">
        <f t="shared" si="13"/>
        <v>0.28442155129220126</v>
      </c>
      <c r="AS22" s="217">
        <f t="shared" si="14"/>
        <v>37.203499496294569</v>
      </c>
      <c r="AT22" s="217">
        <f>VLOOKUP(AW22,RawRTF!$C$1:$DC$178,82,FALSE)</f>
        <v>0</v>
      </c>
      <c r="AU22" s="219">
        <f t="shared" si="15"/>
        <v>-2.2435479371239353</v>
      </c>
      <c r="AV22" s="214"/>
      <c r="AW22" s="212" t="str">
        <f t="shared" ref="AW22:AW23" si="24">CONCATENATE("CEE Tier 1 Dishwasher - ",I22)</f>
        <v>CEE Tier 1 Dishwasher - Gas DHW</v>
      </c>
      <c r="AX22" s="212" t="s">
        <v>220</v>
      </c>
      <c r="AY22" s="219">
        <f t="shared" si="16"/>
        <v>-2.2435479371239353</v>
      </c>
      <c r="AZ22" s="219">
        <f>'MH Assumptions'!$D$31</f>
        <v>15.4</v>
      </c>
      <c r="BA22" s="220">
        <f t="shared" si="17"/>
        <v>6.1994832121220673</v>
      </c>
      <c r="BB22" s="212"/>
      <c r="BC22" s="211" t="s">
        <v>221</v>
      </c>
      <c r="BD22" s="221">
        <f>AF22*'MH Assumptions'!$D$36/1000</f>
        <v>0.34363012309752472</v>
      </c>
      <c r="BE22" s="212"/>
      <c r="BF22" s="212"/>
      <c r="BG22" s="212"/>
      <c r="BH22" s="212"/>
      <c r="BI22" s="212"/>
      <c r="BJ22" s="212"/>
      <c r="BK22" s="222">
        <f t="shared" si="18"/>
        <v>0.28442155129220126</v>
      </c>
      <c r="BL22" s="212" t="s">
        <v>221</v>
      </c>
    </row>
    <row r="23" spans="1:65">
      <c r="A23" s="212">
        <f t="shared" si="19"/>
        <v>6</v>
      </c>
      <c r="B23" s="212">
        <f t="shared" si="0"/>
        <v>1</v>
      </c>
      <c r="C23" s="212">
        <f t="shared" si="1"/>
        <v>6</v>
      </c>
      <c r="D23" s="212">
        <f t="shared" si="20"/>
        <v>2</v>
      </c>
      <c r="E23" s="212">
        <f t="shared" si="21"/>
        <v>3</v>
      </c>
      <c r="F23" s="212"/>
      <c r="G23" s="212" t="str">
        <f t="shared" si="2"/>
        <v>180 to 307 kWh/year- All- Baseline (effective May 2013)</v>
      </c>
      <c r="H23" s="212" t="str">
        <f t="shared" si="3"/>
        <v>180 to 295  kWh/year - CEE Tier 1 as of January 20, 2012;  min EF= 0.75</v>
      </c>
      <c r="I23" s="212" t="str">
        <f t="shared" si="4"/>
        <v>Any DHW</v>
      </c>
      <c r="J23" s="213"/>
      <c r="K23" s="213"/>
      <c r="L23" s="214">
        <f t="shared" si="5"/>
        <v>0.88900000000000001</v>
      </c>
      <c r="M23" s="214"/>
      <c r="N23" s="215">
        <f>HLOOKUP($G23,'Baseline and Measure Cases'!$G$2:$J$20,16,FALSE)</f>
        <v>524.93046945337699</v>
      </c>
      <c r="O23" s="215">
        <f>HLOOKUP($G23,'Baseline and Measure Cases'!$G$2:$J$20,12,FALSE)</f>
        <v>0</v>
      </c>
      <c r="P23" s="215">
        <f>HLOOKUP($G23,'Baseline and Measure Cases'!$G$2:$J$20,19,FALSE)</f>
        <v>88.506942329768805</v>
      </c>
      <c r="Q23" s="215"/>
      <c r="R23" s="215">
        <f>HLOOKUP($G23,'Baseline and Measure Cases'!$G$2:$J$20,17,FALSE)</f>
        <v>88.188318868167329</v>
      </c>
      <c r="S23" s="216"/>
      <c r="T23" s="217"/>
      <c r="U23" s="216">
        <f>HLOOKUP($G23,'Baseline and Measure Cases'!$G$2:$J$20,18,FALSE)</f>
        <v>4.0131046934803321</v>
      </c>
      <c r="V23" s="217"/>
      <c r="W23" s="215">
        <f>HLOOKUP($H23,'Baseline and Measure Cases'!$G$2:$J$20,16,FALSE)</f>
        <v>487.72696995708242</v>
      </c>
      <c r="X23" s="215">
        <f>HLOOKUP($H23,'Baseline and Measure Cases'!$G$2:$J$20,12,FALSE)</f>
        <v>6.1994832121220673</v>
      </c>
      <c r="Y23" s="215">
        <f>HLOOKUP($H23,'Baseline and Measure Cases'!$G$2:$J$20,19,FALSE)</f>
        <v>90.75049026689274</v>
      </c>
      <c r="Z23" s="215"/>
      <c r="AA23" s="215">
        <f>HLOOKUP($H23,'Baseline and Measure Cases'!$G$2:$J$20,17,FALSE)</f>
        <v>81.938130952789834</v>
      </c>
      <c r="AB23" s="216"/>
      <c r="AC23" s="215"/>
      <c r="AD23" s="216">
        <f>HLOOKUP($H23,'Baseline and Measure Cases'!$G$2:$J$20,18,FALSE)</f>
        <v>3.7286831421881308</v>
      </c>
      <c r="AE23" s="217"/>
      <c r="AF23" s="215">
        <f t="shared" si="6"/>
        <v>37.203499496294569</v>
      </c>
      <c r="AG23" s="218">
        <f t="shared" si="7"/>
        <v>6.1994832121220673</v>
      </c>
      <c r="AH23" s="219">
        <f t="shared" si="8"/>
        <v>-2.2435479371239353</v>
      </c>
      <c r="AI23" s="219"/>
      <c r="AJ23" s="219">
        <f t="shared" si="9"/>
        <v>6.2501879153774951</v>
      </c>
      <c r="AK23" s="217">
        <f t="shared" si="9"/>
        <v>0</v>
      </c>
      <c r="AL23" s="217"/>
      <c r="AM23" s="217">
        <f t="shared" si="10"/>
        <v>0.28442155129220126</v>
      </c>
      <c r="AN23" s="223"/>
      <c r="AO23" s="214" t="str">
        <f t="shared" si="11"/>
        <v>CEE Tier 1 Dishwasher - Any DHW</v>
      </c>
      <c r="AP23" s="218">
        <f t="shared" si="22"/>
        <v>6.1994832121220673</v>
      </c>
      <c r="AQ23" s="219">
        <f t="shared" si="12"/>
        <v>3.312869119646658</v>
      </c>
      <c r="AR23" s="217">
        <f t="shared" si="13"/>
        <v>3.1570792193434338E-2</v>
      </c>
      <c r="AS23" s="217">
        <f t="shared" si="14"/>
        <v>37.203499496294569</v>
      </c>
      <c r="AT23" s="217">
        <f>VLOOKUP(AW23,RawRTF!$C$1:$DC$178,82,FALSE)</f>
        <v>0</v>
      </c>
      <c r="AU23" s="219">
        <f t="shared" si="15"/>
        <v>3.312869119646658</v>
      </c>
      <c r="AV23" s="214"/>
      <c r="AW23" s="212" t="str">
        <f t="shared" si="24"/>
        <v>CEE Tier 1 Dishwasher - Any DHW</v>
      </c>
      <c r="AX23" s="212" t="s">
        <v>220</v>
      </c>
      <c r="AY23" s="219">
        <f t="shared" si="16"/>
        <v>3.312869119646658</v>
      </c>
      <c r="AZ23" s="219">
        <f>'MH Assumptions'!$D$31</f>
        <v>15.4</v>
      </c>
      <c r="BA23" s="220">
        <f t="shared" si="17"/>
        <v>6.1994832121220673</v>
      </c>
      <c r="BB23" s="212"/>
      <c r="BC23" s="211" t="s">
        <v>221</v>
      </c>
      <c r="BD23" s="221">
        <f>AF23*'MH Assumptions'!$D$36/1000</f>
        <v>0.34363012309752472</v>
      </c>
      <c r="BE23" s="212"/>
      <c r="BF23" s="212"/>
      <c r="BG23" s="212"/>
      <c r="BH23" s="212"/>
      <c r="BI23" s="212"/>
      <c r="BJ23" s="212"/>
      <c r="BK23" s="222">
        <f t="shared" si="18"/>
        <v>3.1570792193434338E-2</v>
      </c>
      <c r="BL23" s="212" t="s">
        <v>221</v>
      </c>
    </row>
    <row r="24" spans="1:65">
      <c r="A24" s="224">
        <f t="shared" ref="A24:A29" si="25">A18</f>
        <v>1</v>
      </c>
      <c r="B24" s="224">
        <f t="shared" si="0"/>
        <v>1</v>
      </c>
      <c r="C24" s="224">
        <f t="shared" si="1"/>
        <v>1</v>
      </c>
      <c r="D24" s="224">
        <f t="shared" si="20"/>
        <v>1</v>
      </c>
      <c r="E24" s="224">
        <f t="shared" si="21"/>
        <v>1</v>
      </c>
      <c r="F24" s="224"/>
      <c r="G24" s="224" t="str">
        <f t="shared" si="2"/>
        <v>180 to 307 kWh/year- All- Baseline (effective May 2013)</v>
      </c>
      <c r="H24" s="224" t="str">
        <f t="shared" si="3"/>
        <v>180 to 295  kWh/year - Energy Star as of January 20, 2012</v>
      </c>
      <c r="I24" s="224" t="str">
        <f t="shared" si="4"/>
        <v>Electric DHW</v>
      </c>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4"/>
      <c r="AP24" s="224"/>
      <c r="AQ24" s="224"/>
      <c r="AR24" s="224"/>
      <c r="AS24" s="224"/>
      <c r="AT24" s="224"/>
      <c r="AU24" s="224"/>
      <c r="AV24" s="224"/>
      <c r="AW24" s="224" t="str">
        <f t="shared" ref="AW24:AW29" si="26">AW18</f>
        <v>Energy Star Dishwasher - Electric DHW</v>
      </c>
      <c r="AX24" s="224" t="s">
        <v>222</v>
      </c>
      <c r="AY24" s="225">
        <f>$AF18*'MH Assumptions'!$D$34/1000</f>
        <v>0.19001627921082875</v>
      </c>
      <c r="AZ24" s="224">
        <f>'MH Assumptions'!$D$31</f>
        <v>15.4</v>
      </c>
      <c r="BA24" s="224">
        <v>0</v>
      </c>
      <c r="BB24" s="224"/>
      <c r="BC24" s="226" t="s">
        <v>223</v>
      </c>
      <c r="BD24" s="224">
        <v>0</v>
      </c>
      <c r="BE24" s="224"/>
      <c r="BF24" s="224"/>
      <c r="BG24" s="224"/>
      <c r="BH24" s="224"/>
      <c r="BI24" s="224"/>
      <c r="BJ24" s="224"/>
      <c r="BK24" s="224">
        <v>0</v>
      </c>
      <c r="BL24" s="224"/>
    </row>
    <row r="25" spans="1:65">
      <c r="A25" s="224">
        <f t="shared" si="25"/>
        <v>2</v>
      </c>
      <c r="B25" s="224">
        <f t="shared" si="0"/>
        <v>1</v>
      </c>
      <c r="C25" s="224">
        <f t="shared" si="1"/>
        <v>2</v>
      </c>
      <c r="D25" s="224">
        <f t="shared" si="20"/>
        <v>1</v>
      </c>
      <c r="E25" s="224">
        <f t="shared" si="21"/>
        <v>2</v>
      </c>
      <c r="F25" s="224"/>
      <c r="G25" s="224" t="str">
        <f t="shared" si="2"/>
        <v>180 to 307 kWh/year- All- Baseline (effective May 2013)</v>
      </c>
      <c r="H25" s="224" t="str">
        <f t="shared" si="3"/>
        <v>180 to 295  kWh/year - Energy Star as of January 20, 2012</v>
      </c>
      <c r="I25" s="224" t="str">
        <f t="shared" si="4"/>
        <v>Gas DHW</v>
      </c>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24"/>
      <c r="AT25" s="224"/>
      <c r="AU25" s="224"/>
      <c r="AV25" s="224"/>
      <c r="AW25" s="224" t="str">
        <f t="shared" si="26"/>
        <v>Energy Star Dishwasher - Gas DHW</v>
      </c>
      <c r="AX25" s="224" t="s">
        <v>222</v>
      </c>
      <c r="AY25" s="225">
        <f>$AF19*'MH Assumptions'!$D$34/1000</f>
        <v>0.19001627921082875</v>
      </c>
      <c r="AZ25" s="224">
        <f>'MH Assumptions'!$D$31</f>
        <v>15.4</v>
      </c>
      <c r="BA25" s="224">
        <v>0</v>
      </c>
      <c r="BB25" s="224"/>
      <c r="BC25" s="226" t="s">
        <v>223</v>
      </c>
      <c r="BD25" s="224">
        <v>0</v>
      </c>
      <c r="BE25" s="224"/>
      <c r="BF25" s="224"/>
      <c r="BG25" s="224"/>
      <c r="BH25" s="224"/>
      <c r="BI25" s="224"/>
      <c r="BJ25" s="224"/>
      <c r="BK25" s="224">
        <v>0</v>
      </c>
      <c r="BL25" s="224"/>
    </row>
    <row r="26" spans="1:65">
      <c r="A26" s="224">
        <f t="shared" si="25"/>
        <v>3</v>
      </c>
      <c r="B26" s="224">
        <f t="shared" si="0"/>
        <v>1</v>
      </c>
      <c r="C26" s="224">
        <f t="shared" si="1"/>
        <v>3</v>
      </c>
      <c r="D26" s="224">
        <f t="shared" si="20"/>
        <v>1</v>
      </c>
      <c r="E26" s="224">
        <f t="shared" si="21"/>
        <v>3</v>
      </c>
      <c r="F26" s="224"/>
      <c r="G26" s="224" t="str">
        <f t="shared" si="2"/>
        <v>180 to 307 kWh/year- All- Baseline (effective May 2013)</v>
      </c>
      <c r="H26" s="224" t="str">
        <f t="shared" si="3"/>
        <v>180 to 295  kWh/year - Energy Star as of January 20, 2012</v>
      </c>
      <c r="I26" s="224" t="str">
        <f t="shared" si="4"/>
        <v>Any DHW</v>
      </c>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4"/>
      <c r="AR26" s="224"/>
      <c r="AS26" s="224"/>
      <c r="AT26" s="224"/>
      <c r="AU26" s="224"/>
      <c r="AV26" s="224"/>
      <c r="AW26" s="224" t="str">
        <f t="shared" si="26"/>
        <v>Energy Star Dishwasher - Any DHW</v>
      </c>
      <c r="AX26" s="224" t="s">
        <v>222</v>
      </c>
      <c r="AY26" s="225">
        <f>$AF20*'MH Assumptions'!$D$34/1000</f>
        <v>0.19001627921082875</v>
      </c>
      <c r="AZ26" s="224">
        <f>'MH Assumptions'!$D$31</f>
        <v>15.4</v>
      </c>
      <c r="BA26" s="224">
        <v>0</v>
      </c>
      <c r="BB26" s="224"/>
      <c r="BC26" s="226" t="s">
        <v>223</v>
      </c>
      <c r="BD26" s="224">
        <v>0</v>
      </c>
      <c r="BE26" s="224"/>
      <c r="BF26" s="224"/>
      <c r="BG26" s="224"/>
      <c r="BH26" s="224"/>
      <c r="BI26" s="224"/>
      <c r="BJ26" s="224"/>
      <c r="BK26" s="224">
        <v>0</v>
      </c>
      <c r="BL26" s="224"/>
    </row>
    <row r="27" spans="1:65">
      <c r="A27" s="224">
        <f t="shared" si="25"/>
        <v>4</v>
      </c>
      <c r="B27" s="224">
        <f t="shared" si="0"/>
        <v>1</v>
      </c>
      <c r="C27" s="224">
        <f t="shared" si="1"/>
        <v>4</v>
      </c>
      <c r="D27" s="224">
        <f t="shared" si="20"/>
        <v>2</v>
      </c>
      <c r="E27" s="224">
        <f t="shared" si="21"/>
        <v>1</v>
      </c>
      <c r="F27" s="224"/>
      <c r="G27" s="224" t="str">
        <f t="shared" si="2"/>
        <v>180 to 307 kWh/year- All- Baseline (effective May 2013)</v>
      </c>
      <c r="H27" s="224" t="str">
        <f t="shared" si="3"/>
        <v>180 to 295  kWh/year - CEE Tier 1 as of January 20, 2012;  min EF= 0.75</v>
      </c>
      <c r="I27" s="224" t="str">
        <f t="shared" si="4"/>
        <v>Electric DHW</v>
      </c>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224"/>
      <c r="AO27" s="224"/>
      <c r="AP27" s="224"/>
      <c r="AQ27" s="224"/>
      <c r="AR27" s="224"/>
      <c r="AS27" s="224"/>
      <c r="AT27" s="224"/>
      <c r="AU27" s="224"/>
      <c r="AV27" s="224"/>
      <c r="AW27" s="224" t="str">
        <f t="shared" si="26"/>
        <v>CEE Tier 1 Dishwasher - Electric DHW</v>
      </c>
      <c r="AX27" s="224" t="s">
        <v>222</v>
      </c>
      <c r="AY27" s="225">
        <f>$AF21*'MH Assumptions'!$D$34/1000</f>
        <v>0.19680651233539828</v>
      </c>
      <c r="AZ27" s="224">
        <f>'MH Assumptions'!$D$31</f>
        <v>15.4</v>
      </c>
      <c r="BA27" s="224">
        <v>0</v>
      </c>
      <c r="BB27" s="224"/>
      <c r="BC27" s="226" t="s">
        <v>223</v>
      </c>
      <c r="BD27" s="224">
        <v>0</v>
      </c>
      <c r="BE27" s="224"/>
      <c r="BF27" s="224"/>
      <c r="BG27" s="224"/>
      <c r="BH27" s="224"/>
      <c r="BI27" s="224"/>
      <c r="BJ27" s="224"/>
      <c r="BK27" s="224">
        <v>0</v>
      </c>
      <c r="BL27" s="224"/>
    </row>
    <row r="28" spans="1:65">
      <c r="A28" s="224">
        <f t="shared" si="25"/>
        <v>5</v>
      </c>
      <c r="B28" s="224">
        <f t="shared" si="0"/>
        <v>1</v>
      </c>
      <c r="C28" s="224">
        <f t="shared" si="1"/>
        <v>5</v>
      </c>
      <c r="D28" s="224">
        <f t="shared" si="20"/>
        <v>2</v>
      </c>
      <c r="E28" s="224">
        <f t="shared" si="21"/>
        <v>2</v>
      </c>
      <c r="F28" s="224"/>
      <c r="G28" s="224" t="str">
        <f t="shared" si="2"/>
        <v>180 to 307 kWh/year- All- Baseline (effective May 2013)</v>
      </c>
      <c r="H28" s="224" t="str">
        <f t="shared" si="3"/>
        <v>180 to 295  kWh/year - CEE Tier 1 as of January 20, 2012;  min EF= 0.75</v>
      </c>
      <c r="I28" s="224" t="str">
        <f t="shared" si="4"/>
        <v>Gas DHW</v>
      </c>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4"/>
      <c r="AM28" s="224"/>
      <c r="AN28" s="224"/>
      <c r="AO28" s="224"/>
      <c r="AP28" s="224"/>
      <c r="AQ28" s="224"/>
      <c r="AR28" s="224"/>
      <c r="AS28" s="224"/>
      <c r="AT28" s="224"/>
      <c r="AU28" s="224"/>
      <c r="AV28" s="224"/>
      <c r="AW28" s="224" t="str">
        <f t="shared" si="26"/>
        <v>CEE Tier 1 Dishwasher - Gas DHW</v>
      </c>
      <c r="AX28" s="224" t="s">
        <v>222</v>
      </c>
      <c r="AY28" s="225">
        <f>$AF22*'MH Assumptions'!$D$34/1000</f>
        <v>0.19680651233539828</v>
      </c>
      <c r="AZ28" s="224">
        <f>'MH Assumptions'!$D$31</f>
        <v>15.4</v>
      </c>
      <c r="BA28" s="224">
        <v>0</v>
      </c>
      <c r="BB28" s="224"/>
      <c r="BC28" s="226" t="s">
        <v>223</v>
      </c>
      <c r="BD28" s="224">
        <v>0</v>
      </c>
      <c r="BE28" s="224"/>
      <c r="BF28" s="224"/>
      <c r="BG28" s="224"/>
      <c r="BH28" s="224"/>
      <c r="BI28" s="224"/>
      <c r="BJ28" s="224"/>
      <c r="BK28" s="224">
        <v>0</v>
      </c>
      <c r="BL28" s="224"/>
    </row>
    <row r="29" spans="1:65">
      <c r="A29" s="224">
        <f t="shared" si="25"/>
        <v>6</v>
      </c>
      <c r="B29" s="224">
        <f t="shared" si="0"/>
        <v>1</v>
      </c>
      <c r="C29" s="224">
        <f t="shared" si="1"/>
        <v>6</v>
      </c>
      <c r="D29" s="224">
        <f t="shared" si="20"/>
        <v>2</v>
      </c>
      <c r="E29" s="224">
        <f t="shared" si="21"/>
        <v>3</v>
      </c>
      <c r="F29" s="224"/>
      <c r="G29" s="224" t="str">
        <f t="shared" si="2"/>
        <v>180 to 307 kWh/year- All- Baseline (effective May 2013)</v>
      </c>
      <c r="H29" s="224" t="str">
        <f t="shared" si="3"/>
        <v>180 to 295  kWh/year - CEE Tier 1 as of January 20, 2012;  min EF= 0.75</v>
      </c>
      <c r="I29" s="224" t="str">
        <f t="shared" si="4"/>
        <v>Any DHW</v>
      </c>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4"/>
      <c r="AQ29" s="224"/>
      <c r="AR29" s="224"/>
      <c r="AS29" s="224"/>
      <c r="AT29" s="224"/>
      <c r="AU29" s="224"/>
      <c r="AV29" s="224"/>
      <c r="AW29" s="224" t="str">
        <f t="shared" si="26"/>
        <v>CEE Tier 1 Dishwasher - Any DHW</v>
      </c>
      <c r="AX29" s="224" t="s">
        <v>222</v>
      </c>
      <c r="AY29" s="225">
        <f>$AF23*'MH Assumptions'!$D$34/1000</f>
        <v>0.19680651233539828</v>
      </c>
      <c r="AZ29" s="224">
        <f>'MH Assumptions'!$D$31</f>
        <v>15.4</v>
      </c>
      <c r="BA29" s="224">
        <v>0</v>
      </c>
      <c r="BB29" s="224"/>
      <c r="BC29" s="226" t="s">
        <v>223</v>
      </c>
      <c r="BD29" s="224">
        <v>0</v>
      </c>
      <c r="BE29" s="224"/>
      <c r="BF29" s="224"/>
      <c r="BG29" s="224"/>
      <c r="BH29" s="224"/>
      <c r="BI29" s="224"/>
      <c r="BJ29" s="224"/>
      <c r="BK29" s="224">
        <v>0</v>
      </c>
      <c r="BL29" s="224"/>
    </row>
    <row r="30" spans="1:65">
      <c r="J30" s="227"/>
      <c r="K30" s="227"/>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M30" s="223"/>
      <c r="AN30" s="228"/>
      <c r="AO30" s="223"/>
      <c r="AP30" s="223"/>
      <c r="AQ30" s="223"/>
      <c r="AR30" s="223"/>
      <c r="AS30" s="223"/>
      <c r="AT30" s="223"/>
      <c r="AU30" s="223"/>
      <c r="AV30" s="223"/>
      <c r="AW30" s="227"/>
      <c r="AX30" s="229"/>
      <c r="AY30" s="230"/>
      <c r="AZ30" s="230"/>
      <c r="BA30" s="227"/>
      <c r="BB30" s="227"/>
      <c r="BC30" s="231"/>
    </row>
    <row r="31" spans="1:65">
      <c r="J31" s="227"/>
      <c r="K31" s="227"/>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8"/>
      <c r="AO31" s="223"/>
      <c r="AP31" s="223"/>
      <c r="AQ31" s="223"/>
      <c r="AR31" s="223"/>
      <c r="AS31" s="223"/>
      <c r="AT31" s="223"/>
      <c r="AU31" s="223"/>
      <c r="AV31" s="223"/>
      <c r="AW31" s="227"/>
      <c r="AX31" s="229"/>
      <c r="AY31" s="230"/>
      <c r="AZ31" s="230"/>
      <c r="BA31" s="227"/>
      <c r="BB31" s="227"/>
      <c r="BC31" s="231"/>
    </row>
    <row r="32" spans="1:65">
      <c r="J32" s="227"/>
      <c r="K32" s="227"/>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8"/>
      <c r="AO32" s="223"/>
      <c r="AP32" s="223"/>
      <c r="AQ32" s="223"/>
      <c r="AR32" s="223"/>
      <c r="AS32" s="223"/>
      <c r="AT32" s="223"/>
      <c r="AU32" s="223"/>
      <c r="AV32" s="223"/>
      <c r="AW32" s="227"/>
      <c r="AX32" s="229"/>
      <c r="AY32" s="230"/>
      <c r="AZ32" s="230"/>
      <c r="BA32" s="227"/>
      <c r="BB32" s="227"/>
      <c r="BC32" s="231"/>
    </row>
    <row r="33" spans="12:55">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8"/>
      <c r="AO33" s="223"/>
      <c r="AP33" s="223"/>
      <c r="AQ33" s="223"/>
      <c r="AR33" s="223"/>
      <c r="AS33" s="223"/>
      <c r="AT33" s="223"/>
      <c r="AU33" s="223"/>
      <c r="AV33" s="223"/>
      <c r="AW33" s="227"/>
      <c r="AX33" s="229"/>
      <c r="AY33" s="230"/>
      <c r="AZ33" s="230"/>
      <c r="BA33" s="227"/>
      <c r="BB33" s="227"/>
      <c r="BC33" s="231"/>
    </row>
    <row r="34" spans="12:55">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8"/>
      <c r="AO34" s="223"/>
      <c r="AP34" s="223"/>
      <c r="AQ34" s="223"/>
      <c r="AR34" s="223"/>
      <c r="AS34" s="223"/>
      <c r="AT34" s="223"/>
      <c r="AU34" s="223"/>
      <c r="AV34" s="223"/>
      <c r="AW34" s="227"/>
      <c r="AX34" s="229"/>
      <c r="AY34" s="230"/>
      <c r="AZ34" s="230"/>
      <c r="BA34" s="227"/>
      <c r="BB34" s="227"/>
      <c r="BC34" s="231"/>
    </row>
  </sheetData>
  <mergeCells count="8">
    <mergeCell ref="BE16:BJ16"/>
    <mergeCell ref="BK16:BL16"/>
    <mergeCell ref="P16:R16"/>
    <mergeCell ref="S16:U16"/>
    <mergeCell ref="Y16:AA16"/>
    <mergeCell ref="AB16:AD16"/>
    <mergeCell ref="AH16:AJ16"/>
    <mergeCell ref="AK16:AM16"/>
  </mergeCell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14"/>
  <dimension ref="A1:U383"/>
  <sheetViews>
    <sheetView topLeftCell="A5" workbookViewId="0">
      <selection activeCell="U30" sqref="U30"/>
    </sheetView>
  </sheetViews>
  <sheetFormatPr defaultRowHeight="12.75"/>
  <cols>
    <col min="1" max="1" width="15.85546875" style="162" customWidth="1"/>
    <col min="2" max="2" width="16" style="162" customWidth="1"/>
    <col min="3" max="3" width="26.85546875" style="162" customWidth="1"/>
    <col min="4" max="4" width="24.42578125" style="162" customWidth="1"/>
    <col min="5" max="9" width="9.140625" style="162"/>
    <col min="10" max="10" width="15.28515625" style="162" customWidth="1"/>
    <col min="11" max="11" width="23.28515625" style="162" customWidth="1"/>
    <col min="12" max="12" width="17.5703125" style="162" customWidth="1"/>
    <col min="13" max="13" width="17.7109375" style="162" customWidth="1"/>
    <col min="14" max="14" width="2.140625" style="157" customWidth="1"/>
    <col min="15" max="15" width="24.42578125" style="162" customWidth="1"/>
    <col min="16" max="16" width="9.140625" style="157"/>
    <col min="17" max="17" width="56.28515625" style="162" customWidth="1"/>
    <col min="18" max="18" width="23.7109375" style="162" customWidth="1"/>
    <col min="19" max="19" width="27.5703125" style="162" customWidth="1"/>
    <col min="20" max="20" width="21.28515625" style="162" customWidth="1"/>
    <col min="21" max="21" width="24.28515625" style="162" customWidth="1"/>
    <col min="22" max="16384" width="9.140625" style="162"/>
  </cols>
  <sheetData>
    <row r="1" spans="1:21" s="157" customFormat="1" hidden="1">
      <c r="A1" s="157" t="s">
        <v>240</v>
      </c>
      <c r="E1" s="157" t="s">
        <v>241</v>
      </c>
      <c r="F1" s="157">
        <v>407</v>
      </c>
      <c r="G1" s="157" t="s">
        <v>242</v>
      </c>
    </row>
    <row r="2" spans="1:21" s="157" customFormat="1" hidden="1">
      <c r="A2" s="157" t="s">
        <v>243</v>
      </c>
    </row>
    <row r="3" spans="1:21" s="157" customFormat="1" hidden="1">
      <c r="A3" s="157" t="s">
        <v>244</v>
      </c>
    </row>
    <row r="4" spans="1:21" s="157" customFormat="1" hidden="1">
      <c r="A4" s="158" t="s">
        <v>245</v>
      </c>
      <c r="B4" s="158">
        <v>41187</v>
      </c>
    </row>
    <row r="5" spans="1:21" s="157" customFormat="1" ht="15.75" thickBot="1">
      <c r="A5" s="158"/>
      <c r="B5" s="158"/>
      <c r="Q5" s="159" t="s">
        <v>246</v>
      </c>
      <c r="R5" s="160">
        <v>8</v>
      </c>
      <c r="S5" s="160">
        <v>9</v>
      </c>
      <c r="T5" s="160">
        <v>11</v>
      </c>
      <c r="U5" s="160">
        <v>16</v>
      </c>
    </row>
    <row r="6" spans="1:21" ht="46.5" thickTop="1" thickBot="1">
      <c r="A6" s="161"/>
      <c r="B6" s="161"/>
      <c r="Q6" s="163"/>
      <c r="R6" s="164" t="str">
        <f>'SF Assumptions'!C19</f>
        <v xml:space="preserve">180 to 355  kWh/year - All - Baseline (meets Fed. criteria for January 2010). </v>
      </c>
      <c r="S6" s="164" t="str">
        <f>'SF Assumptions'!C20</f>
        <v>180 to 307 kWh/year- All- Baseline (effective May 2013)</v>
      </c>
      <c r="T6" s="164" t="str">
        <f>'SF Assumptions'!C15</f>
        <v>180 to 295  kWh/year - Energy Star as of January 20, 2012</v>
      </c>
      <c r="U6" s="164" t="str">
        <f>'SF Assumptions'!C16</f>
        <v>180 to 295  kWh/year - CEE Tier 1 as of January 20, 2012;  min EF= 0.75</v>
      </c>
    </row>
    <row r="7" spans="1:21" ht="16.5" thickTop="1" thickBot="1">
      <c r="A7" s="161"/>
      <c r="B7" s="161"/>
      <c r="Q7" s="165" t="s">
        <v>14</v>
      </c>
      <c r="R7" s="166">
        <f>'SF Assumptions'!D14</f>
        <v>180</v>
      </c>
      <c r="S7" s="166">
        <f>'SF Assumptions'!D14</f>
        <v>180</v>
      </c>
      <c r="T7" s="166">
        <f>'SF Assumptions'!D15</f>
        <v>180</v>
      </c>
      <c r="U7" s="166">
        <f>'SF Assumptions'!D16</f>
        <v>180</v>
      </c>
    </row>
    <row r="8" spans="1:21" ht="16.5" thickTop="1" thickBot="1">
      <c r="A8" s="161"/>
      <c r="B8" s="161"/>
      <c r="Q8" s="165" t="s">
        <v>15</v>
      </c>
      <c r="R8" s="166">
        <f>'SF Assumptions'!E19</f>
        <v>355</v>
      </c>
      <c r="S8" s="166">
        <f>'SF Assumptions'!E20</f>
        <v>307</v>
      </c>
      <c r="T8" s="166">
        <v>295</v>
      </c>
      <c r="U8" s="166">
        <v>295</v>
      </c>
    </row>
    <row r="9" spans="1:21" ht="16.5" thickTop="1" thickBot="1">
      <c r="A9" s="161"/>
      <c r="B9" s="161"/>
      <c r="Q9" s="165" t="s">
        <v>247</v>
      </c>
      <c r="R9" s="167">
        <v>6.5</v>
      </c>
      <c r="S9" s="167">
        <v>6.5</v>
      </c>
      <c r="T9" s="167">
        <v>4.25</v>
      </c>
      <c r="U9" s="167">
        <v>4.25</v>
      </c>
    </row>
    <row r="10" spans="1:21" ht="16.5" thickTop="1" thickBot="1">
      <c r="A10" s="161"/>
      <c r="B10" s="161"/>
      <c r="Q10" s="165" t="s">
        <v>16</v>
      </c>
      <c r="R10" s="167">
        <f>'SF Assumptions'!F19</f>
        <v>0.87853994490357945</v>
      </c>
      <c r="S10" s="167">
        <f>'SF Assumptions'!F20</f>
        <v>0.87853994490357945</v>
      </c>
      <c r="T10" s="167">
        <f>'SF Assumptions'!F15</f>
        <v>1.19</v>
      </c>
      <c r="U10" s="167">
        <f>'SF Assumptions'!F16</f>
        <v>1.19</v>
      </c>
    </row>
    <row r="11" spans="1:21" ht="16.5" thickTop="1" thickBot="1">
      <c r="A11" s="161"/>
      <c r="B11" s="161"/>
      <c r="Q11" s="165" t="s">
        <v>17</v>
      </c>
      <c r="R11" s="167">
        <f>'SF Assumptions'!G14</f>
        <v>0</v>
      </c>
      <c r="S11" s="167">
        <f>'SF Assumptions'!G14</f>
        <v>0</v>
      </c>
      <c r="T11" s="167">
        <f>'SF Assumptions'!G15</f>
        <v>0</v>
      </c>
      <c r="U11" s="167">
        <f>'SF Assumptions'!G16</f>
        <v>0.75</v>
      </c>
    </row>
    <row r="12" spans="1:21" ht="16.5" thickTop="1" thickBot="1">
      <c r="A12" s="161"/>
      <c r="B12" s="161"/>
      <c r="Q12" s="165" t="s">
        <v>248</v>
      </c>
      <c r="R12" s="168">
        <f>COUNTIF(R21:R383,"YES")</f>
        <v>363</v>
      </c>
      <c r="S12" s="168">
        <f>COUNTIF(S21:S383,"YES")</f>
        <v>311</v>
      </c>
      <c r="T12" s="168">
        <f>COUNTIF(T21:T383,"YES")</f>
        <v>243</v>
      </c>
      <c r="U12" s="168">
        <f>COUNTIF(U21:U383,"YES")</f>
        <v>233</v>
      </c>
    </row>
    <row r="13" spans="1:21" ht="16.5" thickTop="1" thickBot="1">
      <c r="A13" s="161"/>
      <c r="B13" s="161"/>
      <c r="Q13" s="165" t="s">
        <v>31</v>
      </c>
      <c r="R13" s="167">
        <f>AVERAGEIF(R21:R383,"YES",$J$21:$J$383)</f>
        <v>0.77853994490357947</v>
      </c>
      <c r="S13" s="167">
        <f>AVERAGEIF(S21:S383,"YES",$J$21:$J$383)</f>
        <v>0.79282958199356746</v>
      </c>
      <c r="T13" s="167">
        <f>AVERAGEIF(T21:T383,"YES",$J$21:$J$383)</f>
        <v>0.80860082304526615</v>
      </c>
      <c r="U13" s="167">
        <f>AVERAGEIF(U21:U383,"YES",$J$21:$J$383)</f>
        <v>0.81248927038626506</v>
      </c>
    </row>
    <row r="14" spans="1:21" ht="16.5" thickTop="1" thickBot="1">
      <c r="A14" s="161"/>
      <c r="B14" s="161"/>
      <c r="Q14" s="165" t="s">
        <v>249</v>
      </c>
      <c r="R14" s="167">
        <f>AVERAGEIF(R21:R383,"YES",$L$21:$L$383)</f>
        <v>3.9801652892562007</v>
      </c>
      <c r="S14" s="167">
        <f>AVERAGEIF(S21:S383,"YES",$L$21:$L$383)</f>
        <v>3.8237942122186555</v>
      </c>
      <c r="T14" s="167">
        <f>AVERAGEIF(T21:T383,"YES",$L$21:$L$383)</f>
        <v>3.5621399176954798</v>
      </c>
      <c r="U14" s="167">
        <f>AVERAGEIF(U21:U383,"YES",$L$21:$L$383)</f>
        <v>3.5527896995708219</v>
      </c>
    </row>
    <row r="15" spans="1:21" ht="16.5" thickTop="1" thickBot="1">
      <c r="A15" s="161"/>
      <c r="B15" s="161"/>
      <c r="Q15" s="165" t="s">
        <v>186</v>
      </c>
      <c r="R15" s="166">
        <f>AVERAGEIF(R21:R383,"YES",$K$21:$K$383)</f>
        <v>282.49862258953169</v>
      </c>
      <c r="S15" s="166">
        <f>AVERAGEIF(S21:S383,"YES",$K$21:$K$383)</f>
        <v>276.72990353697747</v>
      </c>
      <c r="T15" s="166">
        <f>AVERAGEIF(T21:T383,"YES",$K$21:$K$383)</f>
        <v>271.34567901234567</v>
      </c>
      <c r="U15" s="166">
        <f>AVERAGEIF(U21:U383,"YES",$K$21:$K$383)</f>
        <v>270.45493562231758</v>
      </c>
    </row>
    <row r="16" spans="1:21" ht="16.5" thickTop="1" thickBot="1">
      <c r="A16" s="161"/>
      <c r="B16" s="161"/>
      <c r="Q16" s="165" t="s">
        <v>187</v>
      </c>
      <c r="R16" s="169">
        <f>AVERAGEIF(R21:R383,"YES",$F$21:$F$383)</f>
        <v>11.680440771349863</v>
      </c>
      <c r="S16" s="169">
        <f>AVERAGEIF(S21:S383,"YES",$F$21:$F$383)</f>
        <v>11.967845659163988</v>
      </c>
      <c r="T16" s="169">
        <f>AVERAGEIF(T21:T383,"YES",$F$21:$F$383)</f>
        <v>12.230452674897119</v>
      </c>
      <c r="U16" s="169">
        <f>AVERAGEIF(U21:U383,"YES",$F$21:$F$383)</f>
        <v>12.231759656652361</v>
      </c>
    </row>
    <row r="17" spans="1:21" ht="16.5" thickTop="1" thickBot="1">
      <c r="A17" s="161"/>
      <c r="B17" s="161"/>
      <c r="Q17" s="165" t="s">
        <v>250</v>
      </c>
      <c r="R17" s="170">
        <f>AVERAGEIF(R21:R383,"YES",$O$21:$O$383)</f>
        <v>35.191587743732704</v>
      </c>
      <c r="S17" s="170">
        <f>AVERAGEIF(S21:S383,"YES",$O$21:$O$383)</f>
        <v>39.805434083601376</v>
      </c>
      <c r="T17" s="170">
        <f>AVERAGEIF(T21:T383,"YES",$O$21:$O$383)</f>
        <v>45.482386831275832</v>
      </c>
      <c r="U17" s="170">
        <f>AVERAGEIF(U21:U383,"YES",$O$21:$O$383)</f>
        <v>46.471545064377793</v>
      </c>
    </row>
    <row r="18" spans="1:21" ht="16.5" thickTop="1">
      <c r="A18" s="161"/>
      <c r="B18" s="161"/>
      <c r="Q18" s="171"/>
      <c r="R18" s="172"/>
      <c r="S18" s="172"/>
      <c r="T18" s="172"/>
    </row>
    <row r="19" spans="1:21">
      <c r="A19" s="173" t="s">
        <v>251</v>
      </c>
      <c r="B19" s="173"/>
      <c r="C19" s="173"/>
      <c r="D19" s="173"/>
      <c r="E19" s="173"/>
      <c r="F19" s="173"/>
      <c r="G19" s="173"/>
      <c r="H19" s="173"/>
      <c r="I19" s="173"/>
      <c r="J19" s="173"/>
      <c r="K19" s="173"/>
      <c r="L19" s="173"/>
      <c r="M19" s="173"/>
      <c r="O19" s="173" t="s">
        <v>252</v>
      </c>
      <c r="R19" s="173" t="s">
        <v>253</v>
      </c>
      <c r="S19" s="173"/>
      <c r="T19" s="173"/>
    </row>
    <row r="20" spans="1:21" ht="60">
      <c r="A20" s="174" t="s">
        <v>254</v>
      </c>
      <c r="B20" s="174" t="s">
        <v>255</v>
      </c>
      <c r="C20" s="175" t="s">
        <v>256</v>
      </c>
      <c r="D20" s="175" t="s">
        <v>257</v>
      </c>
      <c r="E20" s="175" t="s">
        <v>258</v>
      </c>
      <c r="F20" s="175" t="s">
        <v>259</v>
      </c>
      <c r="G20" s="175" t="s">
        <v>260</v>
      </c>
      <c r="H20" s="175" t="s">
        <v>261</v>
      </c>
      <c r="I20" s="175" t="s">
        <v>262</v>
      </c>
      <c r="J20" s="175" t="s">
        <v>263</v>
      </c>
      <c r="K20" s="175" t="s">
        <v>264</v>
      </c>
      <c r="L20" s="175" t="s">
        <v>265</v>
      </c>
      <c r="M20" s="175" t="s">
        <v>266</v>
      </c>
      <c r="O20" s="175" t="s">
        <v>267</v>
      </c>
      <c r="P20" s="176"/>
      <c r="R20" s="177" t="str">
        <f>R6</f>
        <v xml:space="preserve">180 to 355  kWh/year - All - Baseline (meets Fed. criteria for January 2010). </v>
      </c>
      <c r="S20" s="177" t="str">
        <f>S6</f>
        <v>180 to 307 kWh/year- All- Baseline (effective May 2013)</v>
      </c>
      <c r="T20" s="177" t="str">
        <f>T6</f>
        <v>180 to 295  kWh/year - Energy Star as of January 20, 2012</v>
      </c>
      <c r="U20" s="177" t="str">
        <f>U6</f>
        <v>180 to 295  kWh/year - CEE Tier 1 as of January 20, 2012;  min EF= 0.75</v>
      </c>
    </row>
    <row r="21" spans="1:21" ht="15">
      <c r="A21" s="174">
        <v>641</v>
      </c>
      <c r="B21" s="174" t="s">
        <v>268</v>
      </c>
      <c r="C21" s="174" t="s">
        <v>269</v>
      </c>
      <c r="D21" s="174" t="s">
        <v>270</v>
      </c>
      <c r="E21" s="174" t="s">
        <v>271</v>
      </c>
      <c r="F21" s="174">
        <v>12</v>
      </c>
      <c r="G21" s="174">
        <v>1.45</v>
      </c>
      <c r="H21" s="174" t="b">
        <v>1</v>
      </c>
      <c r="I21" s="174" t="b">
        <v>1</v>
      </c>
      <c r="J21" s="174">
        <v>0.69</v>
      </c>
      <c r="K21" s="174">
        <v>315</v>
      </c>
      <c r="L21" s="174">
        <v>4.2</v>
      </c>
      <c r="M21" s="178">
        <v>40297</v>
      </c>
      <c r="O21" s="179">
        <f>VLOOKUP(K21,'Cost Model '!$G$11:$J$200,4,FALSE)</f>
        <v>5.8999999999999995</v>
      </c>
      <c r="R21" s="162" t="str">
        <f>IF(AND($K21&gt;=$R$7,$K21&lt;=$R$8,$L21&lt;=$R$9),"YES","No")</f>
        <v>YES</v>
      </c>
      <c r="S21" s="162" t="str">
        <f t="shared" ref="S21:S84" si="0">IF(AND($K21&gt;=$S$7,$K21&lt;=$S$8,$L21&lt;=$S$9),"YES","No")</f>
        <v>No</v>
      </c>
      <c r="T21" s="162" t="str">
        <f t="shared" ref="T21:T84" si="1">IF(AND($K21&gt;=$T$7,$K21&lt;=$T$8,$L21&lt;=$T$9),"YES","No")</f>
        <v>No</v>
      </c>
      <c r="U21" s="162" t="str">
        <f t="shared" ref="U21:U84" si="2">IF(AND($K21&gt;=$U$7,$K21&lt;=$U$8,$L21&lt;=$U$9,J21&gt;=$U$11),"YES","No")</f>
        <v>No</v>
      </c>
    </row>
    <row r="22" spans="1:21" ht="15">
      <c r="A22" s="174">
        <v>642</v>
      </c>
      <c r="B22" s="174" t="s">
        <v>268</v>
      </c>
      <c r="C22" s="174" t="s">
        <v>269</v>
      </c>
      <c r="D22" s="174" t="s">
        <v>272</v>
      </c>
      <c r="E22" s="174" t="s">
        <v>271</v>
      </c>
      <c r="F22" s="174">
        <v>12</v>
      </c>
      <c r="G22" s="174">
        <v>1.45</v>
      </c>
      <c r="H22" s="174" t="b">
        <v>1</v>
      </c>
      <c r="I22" s="174" t="b">
        <v>1</v>
      </c>
      <c r="J22" s="174">
        <v>0.69</v>
      </c>
      <c r="K22" s="174">
        <v>315</v>
      </c>
      <c r="L22" s="174">
        <v>4.2</v>
      </c>
      <c r="M22" s="178">
        <v>40297</v>
      </c>
      <c r="O22" s="179">
        <f>VLOOKUP(K22,'Cost Model '!$G$11:$J$200,4,FALSE)</f>
        <v>5.8999999999999995</v>
      </c>
      <c r="R22" s="162" t="str">
        <f t="shared" ref="R22:R85" si="3">IF(AND($K22&gt;=$R$7,$K22&lt;=$R$8,$L22&lt;=$R$9),"YES","No")</f>
        <v>YES</v>
      </c>
      <c r="S22" s="162" t="str">
        <f t="shared" si="0"/>
        <v>No</v>
      </c>
      <c r="T22" s="162" t="str">
        <f t="shared" si="1"/>
        <v>No</v>
      </c>
      <c r="U22" s="162" t="str">
        <f t="shared" si="2"/>
        <v>No</v>
      </c>
    </row>
    <row r="23" spans="1:21" ht="15">
      <c r="A23" s="174">
        <v>637</v>
      </c>
      <c r="B23" s="174" t="s">
        <v>268</v>
      </c>
      <c r="C23" s="174" t="s">
        <v>269</v>
      </c>
      <c r="D23" s="174" t="s">
        <v>273</v>
      </c>
      <c r="E23" s="174" t="s">
        <v>271</v>
      </c>
      <c r="F23" s="174">
        <v>12</v>
      </c>
      <c r="G23" s="174">
        <v>1.45</v>
      </c>
      <c r="H23" s="174" t="b">
        <v>1</v>
      </c>
      <c r="I23" s="174" t="b">
        <v>1</v>
      </c>
      <c r="J23" s="174">
        <v>0.69</v>
      </c>
      <c r="K23" s="174">
        <v>315</v>
      </c>
      <c r="L23" s="174">
        <v>4.2</v>
      </c>
      <c r="M23" s="178">
        <v>40297</v>
      </c>
      <c r="O23" s="179">
        <f>VLOOKUP(K23,'Cost Model '!$G$11:$J$200,4,FALSE)</f>
        <v>5.8999999999999995</v>
      </c>
      <c r="R23" s="162" t="str">
        <f t="shared" si="3"/>
        <v>YES</v>
      </c>
      <c r="S23" s="162" t="str">
        <f t="shared" si="0"/>
        <v>No</v>
      </c>
      <c r="T23" s="162" t="str">
        <f t="shared" si="1"/>
        <v>No</v>
      </c>
      <c r="U23" s="162" t="str">
        <f t="shared" si="2"/>
        <v>No</v>
      </c>
    </row>
    <row r="24" spans="1:21" ht="15">
      <c r="A24" s="174">
        <v>638</v>
      </c>
      <c r="B24" s="174" t="s">
        <v>268</v>
      </c>
      <c r="C24" s="174" t="s">
        <v>269</v>
      </c>
      <c r="D24" s="174" t="s">
        <v>274</v>
      </c>
      <c r="E24" s="174" t="s">
        <v>271</v>
      </c>
      <c r="F24" s="174">
        <v>12</v>
      </c>
      <c r="G24" s="174">
        <v>1.45</v>
      </c>
      <c r="H24" s="174" t="b">
        <v>1</v>
      </c>
      <c r="I24" s="174" t="b">
        <v>1</v>
      </c>
      <c r="J24" s="174">
        <v>0.69</v>
      </c>
      <c r="K24" s="174">
        <v>315</v>
      </c>
      <c r="L24" s="174">
        <v>4.2</v>
      </c>
      <c r="M24" s="178">
        <v>40297</v>
      </c>
      <c r="O24" s="179">
        <f>VLOOKUP(K24,'Cost Model '!$G$11:$J$200,4,FALSE)</f>
        <v>5.8999999999999995</v>
      </c>
      <c r="R24" s="162" t="str">
        <f t="shared" si="3"/>
        <v>YES</v>
      </c>
      <c r="S24" s="162" t="str">
        <f t="shared" si="0"/>
        <v>No</v>
      </c>
      <c r="T24" s="162" t="str">
        <f t="shared" si="1"/>
        <v>No</v>
      </c>
      <c r="U24" s="162" t="str">
        <f t="shared" si="2"/>
        <v>No</v>
      </c>
    </row>
    <row r="25" spans="1:21" ht="15">
      <c r="A25" s="174">
        <v>639</v>
      </c>
      <c r="B25" s="174" t="s">
        <v>268</v>
      </c>
      <c r="C25" s="174" t="s">
        <v>269</v>
      </c>
      <c r="D25" s="174" t="s">
        <v>275</v>
      </c>
      <c r="E25" s="174" t="s">
        <v>271</v>
      </c>
      <c r="F25" s="174">
        <v>12</v>
      </c>
      <c r="G25" s="174">
        <v>1.45</v>
      </c>
      <c r="H25" s="174" t="b">
        <v>1</v>
      </c>
      <c r="I25" s="174" t="b">
        <v>1</v>
      </c>
      <c r="J25" s="174">
        <v>0.69</v>
      </c>
      <c r="K25" s="174">
        <v>315</v>
      </c>
      <c r="L25" s="174">
        <v>4.2</v>
      </c>
      <c r="M25" s="178">
        <v>40297</v>
      </c>
      <c r="O25" s="179">
        <f>VLOOKUP(K25,'Cost Model '!$G$11:$J$200,4,FALSE)</f>
        <v>5.8999999999999995</v>
      </c>
      <c r="R25" s="162" t="str">
        <f t="shared" si="3"/>
        <v>YES</v>
      </c>
      <c r="S25" s="162" t="str">
        <f t="shared" si="0"/>
        <v>No</v>
      </c>
      <c r="T25" s="162" t="str">
        <f t="shared" si="1"/>
        <v>No</v>
      </c>
      <c r="U25" s="162" t="str">
        <f t="shared" si="2"/>
        <v>No</v>
      </c>
    </row>
    <row r="26" spans="1:21" ht="15">
      <c r="A26" s="174">
        <v>640</v>
      </c>
      <c r="B26" s="174" t="s">
        <v>268</v>
      </c>
      <c r="C26" s="174" t="s">
        <v>269</v>
      </c>
      <c r="D26" s="174" t="s">
        <v>276</v>
      </c>
      <c r="E26" s="174" t="s">
        <v>271</v>
      </c>
      <c r="F26" s="174">
        <v>12</v>
      </c>
      <c r="G26" s="174">
        <v>1.45</v>
      </c>
      <c r="H26" s="174" t="b">
        <v>1</v>
      </c>
      <c r="I26" s="174" t="b">
        <v>1</v>
      </c>
      <c r="J26" s="174">
        <v>0.69</v>
      </c>
      <c r="K26" s="174">
        <v>315</v>
      </c>
      <c r="L26" s="174">
        <v>4.2</v>
      </c>
      <c r="M26" s="178">
        <v>40297</v>
      </c>
      <c r="O26" s="179">
        <f>VLOOKUP(K26,'Cost Model '!$G$11:$J$200,4,FALSE)</f>
        <v>5.8999999999999995</v>
      </c>
      <c r="R26" s="162" t="str">
        <f t="shared" si="3"/>
        <v>YES</v>
      </c>
      <c r="S26" s="162" t="str">
        <f t="shared" si="0"/>
        <v>No</v>
      </c>
      <c r="T26" s="162" t="str">
        <f t="shared" si="1"/>
        <v>No</v>
      </c>
      <c r="U26" s="162" t="str">
        <f t="shared" si="2"/>
        <v>No</v>
      </c>
    </row>
    <row r="27" spans="1:21" ht="15">
      <c r="A27" s="174">
        <v>4368</v>
      </c>
      <c r="B27" s="174" t="s">
        <v>277</v>
      </c>
      <c r="C27" s="174" t="s">
        <v>277</v>
      </c>
      <c r="D27" s="174" t="s">
        <v>278</v>
      </c>
      <c r="E27" s="174" t="s">
        <v>271</v>
      </c>
      <c r="F27" s="174">
        <v>8</v>
      </c>
      <c r="G27" s="174">
        <v>1.34</v>
      </c>
      <c r="H27" s="174" t="b">
        <v>1</v>
      </c>
      <c r="I27" s="174" t="b">
        <v>0</v>
      </c>
      <c r="J27" s="174">
        <v>0.74</v>
      </c>
      <c r="K27" s="174">
        <v>289</v>
      </c>
      <c r="L27" s="174">
        <v>4.0999999999999996</v>
      </c>
      <c r="M27" s="178">
        <v>40753</v>
      </c>
      <c r="O27" s="179">
        <f>VLOOKUP(K27,'Cost Model '!$G$11:$J$200,4,FALSE)</f>
        <v>25.999999999999989</v>
      </c>
      <c r="R27" s="162" t="str">
        <f t="shared" si="3"/>
        <v>YES</v>
      </c>
      <c r="S27" s="162" t="str">
        <f t="shared" si="0"/>
        <v>YES</v>
      </c>
      <c r="T27" s="162" t="str">
        <f t="shared" si="1"/>
        <v>YES</v>
      </c>
      <c r="U27" s="162" t="str">
        <f t="shared" si="2"/>
        <v>No</v>
      </c>
    </row>
    <row r="28" spans="1:21" ht="15">
      <c r="A28" s="174">
        <v>4363</v>
      </c>
      <c r="B28" s="174" t="s">
        <v>277</v>
      </c>
      <c r="C28" s="174" t="s">
        <v>277</v>
      </c>
      <c r="D28" s="174" t="s">
        <v>279</v>
      </c>
      <c r="E28" s="174" t="s">
        <v>271</v>
      </c>
      <c r="F28" s="174">
        <v>8</v>
      </c>
      <c r="G28" s="174">
        <v>1.3</v>
      </c>
      <c r="H28" s="174" t="b">
        <v>1</v>
      </c>
      <c r="I28" s="174" t="b">
        <v>0</v>
      </c>
      <c r="J28" s="174">
        <v>0.77</v>
      </c>
      <c r="K28" s="174">
        <v>285</v>
      </c>
      <c r="L28" s="174">
        <v>3.4</v>
      </c>
      <c r="M28" s="178">
        <v>40753</v>
      </c>
      <c r="O28" s="179">
        <f>VLOOKUP(K28,'Cost Model '!$G$11:$J$200,4,FALSE)</f>
        <v>30.599999999999984</v>
      </c>
      <c r="R28" s="162" t="str">
        <f t="shared" si="3"/>
        <v>YES</v>
      </c>
      <c r="S28" s="162" t="str">
        <f t="shared" si="0"/>
        <v>YES</v>
      </c>
      <c r="T28" s="162" t="str">
        <f t="shared" si="1"/>
        <v>YES</v>
      </c>
      <c r="U28" s="162" t="str">
        <f t="shared" si="2"/>
        <v>YES</v>
      </c>
    </row>
    <row r="29" spans="1:21" ht="15">
      <c r="A29" s="174">
        <v>4364</v>
      </c>
      <c r="B29" s="174" t="s">
        <v>277</v>
      </c>
      <c r="C29" s="174" t="s">
        <v>277</v>
      </c>
      <c r="D29" s="174" t="s">
        <v>280</v>
      </c>
      <c r="E29" s="174" t="s">
        <v>271</v>
      </c>
      <c r="F29" s="174">
        <v>8</v>
      </c>
      <c r="G29" s="174">
        <v>1.3</v>
      </c>
      <c r="H29" s="174" t="b">
        <v>1</v>
      </c>
      <c r="I29" s="174" t="b">
        <v>0</v>
      </c>
      <c r="J29" s="174">
        <v>0.77</v>
      </c>
      <c r="K29" s="174">
        <v>285</v>
      </c>
      <c r="L29" s="174">
        <v>3.4</v>
      </c>
      <c r="M29" s="178">
        <v>40753</v>
      </c>
      <c r="O29" s="179">
        <f>VLOOKUP(K29,'Cost Model '!$G$11:$J$200,4,FALSE)</f>
        <v>30.599999999999984</v>
      </c>
      <c r="R29" s="162" t="str">
        <f t="shared" si="3"/>
        <v>YES</v>
      </c>
      <c r="S29" s="162" t="str">
        <f t="shared" si="0"/>
        <v>YES</v>
      </c>
      <c r="T29" s="162" t="str">
        <f t="shared" si="1"/>
        <v>YES</v>
      </c>
      <c r="U29" s="162" t="str">
        <f t="shared" si="2"/>
        <v>YES</v>
      </c>
    </row>
    <row r="30" spans="1:21" ht="15">
      <c r="A30" s="174">
        <v>4365</v>
      </c>
      <c r="B30" s="174" t="s">
        <v>277</v>
      </c>
      <c r="C30" s="174" t="s">
        <v>277</v>
      </c>
      <c r="D30" s="174" t="s">
        <v>281</v>
      </c>
      <c r="E30" s="174" t="s">
        <v>271</v>
      </c>
      <c r="F30" s="174">
        <v>8</v>
      </c>
      <c r="G30" s="174">
        <v>1.3</v>
      </c>
      <c r="H30" s="174" t="b">
        <v>1</v>
      </c>
      <c r="I30" s="174" t="b">
        <v>0</v>
      </c>
      <c r="J30" s="174">
        <v>0.77</v>
      </c>
      <c r="K30" s="174">
        <v>285</v>
      </c>
      <c r="L30" s="174">
        <v>3.4</v>
      </c>
      <c r="M30" s="178">
        <v>40753</v>
      </c>
      <c r="O30" s="179">
        <f>VLOOKUP(K30,'Cost Model '!$G$11:$J$200,4,FALSE)</f>
        <v>30.599999999999984</v>
      </c>
      <c r="R30" s="162" t="str">
        <f t="shared" si="3"/>
        <v>YES</v>
      </c>
      <c r="S30" s="162" t="str">
        <f t="shared" si="0"/>
        <v>YES</v>
      </c>
      <c r="T30" s="162" t="str">
        <f t="shared" si="1"/>
        <v>YES</v>
      </c>
      <c r="U30" s="162" t="str">
        <f t="shared" si="2"/>
        <v>YES</v>
      </c>
    </row>
    <row r="31" spans="1:21" ht="15">
      <c r="A31" s="174">
        <v>4366</v>
      </c>
      <c r="B31" s="174" t="s">
        <v>277</v>
      </c>
      <c r="C31" s="174" t="s">
        <v>277</v>
      </c>
      <c r="D31" s="174" t="s">
        <v>282</v>
      </c>
      <c r="E31" s="174" t="s">
        <v>271</v>
      </c>
      <c r="F31" s="174">
        <v>8</v>
      </c>
      <c r="G31" s="174">
        <v>1.35</v>
      </c>
      <c r="H31" s="174" t="b">
        <v>1</v>
      </c>
      <c r="I31" s="174" t="b">
        <v>0</v>
      </c>
      <c r="J31" s="174">
        <v>0.69</v>
      </c>
      <c r="K31" s="174">
        <v>290</v>
      </c>
      <c r="L31" s="174">
        <v>4.2</v>
      </c>
      <c r="M31" s="178">
        <v>40753</v>
      </c>
      <c r="O31" s="179">
        <f>VLOOKUP(K31,'Cost Model '!$G$11:$J$200,4,FALSE)</f>
        <v>24.849999999999991</v>
      </c>
      <c r="R31" s="162" t="str">
        <f t="shared" si="3"/>
        <v>YES</v>
      </c>
      <c r="S31" s="162" t="str">
        <f t="shared" si="0"/>
        <v>YES</v>
      </c>
      <c r="T31" s="162" t="str">
        <f t="shared" si="1"/>
        <v>YES</v>
      </c>
      <c r="U31" s="162" t="str">
        <f t="shared" si="2"/>
        <v>No</v>
      </c>
    </row>
    <row r="32" spans="1:21" ht="15">
      <c r="A32" s="174">
        <v>4367</v>
      </c>
      <c r="B32" s="174" t="s">
        <v>277</v>
      </c>
      <c r="C32" s="174" t="s">
        <v>277</v>
      </c>
      <c r="D32" s="174" t="s">
        <v>283</v>
      </c>
      <c r="E32" s="174" t="s">
        <v>271</v>
      </c>
      <c r="F32" s="174">
        <v>8</v>
      </c>
      <c r="G32" s="174">
        <v>1.35</v>
      </c>
      <c r="H32" s="174" t="b">
        <v>1</v>
      </c>
      <c r="I32" s="174" t="b">
        <v>0</v>
      </c>
      <c r="J32" s="174">
        <v>0.69</v>
      </c>
      <c r="K32" s="174">
        <v>290</v>
      </c>
      <c r="L32" s="174">
        <v>4.2</v>
      </c>
      <c r="M32" s="178">
        <v>40753</v>
      </c>
      <c r="O32" s="179">
        <f>VLOOKUP(K32,'Cost Model '!$G$11:$J$200,4,FALSE)</f>
        <v>24.849999999999991</v>
      </c>
      <c r="R32" s="162" t="str">
        <f t="shared" si="3"/>
        <v>YES</v>
      </c>
      <c r="S32" s="162" t="str">
        <f t="shared" si="0"/>
        <v>YES</v>
      </c>
      <c r="T32" s="162" t="str">
        <f t="shared" si="1"/>
        <v>YES</v>
      </c>
      <c r="U32" s="162" t="str">
        <f t="shared" si="2"/>
        <v>No</v>
      </c>
    </row>
    <row r="33" spans="1:21" ht="15">
      <c r="A33" s="174">
        <v>4558</v>
      </c>
      <c r="B33" s="174" t="s">
        <v>277</v>
      </c>
      <c r="C33" s="174" t="s">
        <v>277</v>
      </c>
      <c r="D33" s="174" t="s">
        <v>284</v>
      </c>
      <c r="E33" s="174" t="s">
        <v>271</v>
      </c>
      <c r="F33" s="174">
        <v>8</v>
      </c>
      <c r="G33" s="174">
        <v>1.35</v>
      </c>
      <c r="H33" s="174" t="b">
        <v>1</v>
      </c>
      <c r="I33" s="174" t="b">
        <v>0</v>
      </c>
      <c r="J33" s="174">
        <v>0.69</v>
      </c>
      <c r="K33" s="174">
        <v>290</v>
      </c>
      <c r="L33" s="174">
        <v>4.2</v>
      </c>
      <c r="M33" s="178">
        <v>40918</v>
      </c>
      <c r="O33" s="179">
        <f>VLOOKUP(K33,'Cost Model '!$G$11:$J$200,4,FALSE)</f>
        <v>24.849999999999991</v>
      </c>
      <c r="R33" s="162" t="str">
        <f t="shared" si="3"/>
        <v>YES</v>
      </c>
      <c r="S33" s="162" t="str">
        <f t="shared" si="0"/>
        <v>YES</v>
      </c>
      <c r="T33" s="162" t="str">
        <f t="shared" si="1"/>
        <v>YES</v>
      </c>
      <c r="U33" s="162" t="str">
        <f t="shared" si="2"/>
        <v>No</v>
      </c>
    </row>
    <row r="34" spans="1:21" ht="15">
      <c r="A34" s="174">
        <v>4311</v>
      </c>
      <c r="B34" s="174" t="s">
        <v>285</v>
      </c>
      <c r="C34" s="174" t="s">
        <v>286</v>
      </c>
      <c r="D34" s="174" t="s">
        <v>287</v>
      </c>
      <c r="E34" s="174" t="s">
        <v>271</v>
      </c>
      <c r="F34" s="174">
        <v>14</v>
      </c>
      <c r="G34" s="174">
        <v>1.0900000000000001</v>
      </c>
      <c r="H34" s="174" t="b">
        <v>1</v>
      </c>
      <c r="I34" s="174" t="b">
        <v>0</v>
      </c>
      <c r="J34" s="174">
        <v>0.92</v>
      </c>
      <c r="K34" s="174">
        <v>234</v>
      </c>
      <c r="L34" s="174">
        <v>2.2000000000000002</v>
      </c>
      <c r="M34" s="178">
        <v>40746</v>
      </c>
      <c r="O34" s="179">
        <f>VLOOKUP(K34,'Cost Model '!$G$11:$J$200,4,FALSE)</f>
        <v>88.72000000000007</v>
      </c>
      <c r="R34" s="162" t="str">
        <f t="shared" si="3"/>
        <v>YES</v>
      </c>
      <c r="S34" s="162" t="str">
        <f t="shared" si="0"/>
        <v>YES</v>
      </c>
      <c r="T34" s="162" t="str">
        <f t="shared" si="1"/>
        <v>YES</v>
      </c>
      <c r="U34" s="162" t="str">
        <f t="shared" si="2"/>
        <v>YES</v>
      </c>
    </row>
    <row r="35" spans="1:21" ht="15">
      <c r="A35" s="174">
        <v>4312</v>
      </c>
      <c r="B35" s="174" t="s">
        <v>285</v>
      </c>
      <c r="C35" s="174" t="s">
        <v>286</v>
      </c>
      <c r="D35" s="174" t="s">
        <v>288</v>
      </c>
      <c r="E35" s="174" t="s">
        <v>271</v>
      </c>
      <c r="F35" s="174">
        <v>14</v>
      </c>
      <c r="G35" s="174">
        <v>1.0900000000000001</v>
      </c>
      <c r="H35" s="174" t="b">
        <v>1</v>
      </c>
      <c r="I35" s="174" t="b">
        <v>0</v>
      </c>
      <c r="J35" s="174">
        <v>0.92</v>
      </c>
      <c r="K35" s="174">
        <v>234</v>
      </c>
      <c r="L35" s="174">
        <v>2.2000000000000002</v>
      </c>
      <c r="M35" s="178">
        <v>40746</v>
      </c>
      <c r="O35" s="179">
        <f>VLOOKUP(K35,'Cost Model '!$G$11:$J$200,4,FALSE)</f>
        <v>88.72000000000007</v>
      </c>
      <c r="R35" s="162" t="str">
        <f t="shared" si="3"/>
        <v>YES</v>
      </c>
      <c r="S35" s="162" t="str">
        <f t="shared" si="0"/>
        <v>YES</v>
      </c>
      <c r="T35" s="162" t="str">
        <f t="shared" si="1"/>
        <v>YES</v>
      </c>
      <c r="U35" s="162" t="str">
        <f t="shared" si="2"/>
        <v>YES</v>
      </c>
    </row>
    <row r="36" spans="1:21" ht="15">
      <c r="A36" s="174">
        <v>4347</v>
      </c>
      <c r="B36" s="174" t="s">
        <v>285</v>
      </c>
      <c r="C36" s="174" t="s">
        <v>286</v>
      </c>
      <c r="D36" s="174" t="s">
        <v>289</v>
      </c>
      <c r="E36" s="174" t="s">
        <v>271</v>
      </c>
      <c r="F36" s="174">
        <v>14</v>
      </c>
      <c r="G36" s="174">
        <v>1.0900000000000001</v>
      </c>
      <c r="H36" s="174" t="b">
        <v>1</v>
      </c>
      <c r="I36" s="174" t="b">
        <v>0</v>
      </c>
      <c r="J36" s="174">
        <v>0.92</v>
      </c>
      <c r="K36" s="174">
        <v>234</v>
      </c>
      <c r="L36" s="174">
        <v>2.2000000000000002</v>
      </c>
      <c r="M36" s="178">
        <v>40746</v>
      </c>
      <c r="O36" s="179">
        <f>VLOOKUP(K36,'Cost Model '!$G$11:$J$200,4,FALSE)</f>
        <v>88.72000000000007</v>
      </c>
      <c r="R36" s="162" t="str">
        <f t="shared" si="3"/>
        <v>YES</v>
      </c>
      <c r="S36" s="162" t="str">
        <f t="shared" si="0"/>
        <v>YES</v>
      </c>
      <c r="T36" s="162" t="str">
        <f t="shared" si="1"/>
        <v>YES</v>
      </c>
      <c r="U36" s="162" t="str">
        <f t="shared" si="2"/>
        <v>YES</v>
      </c>
    </row>
    <row r="37" spans="1:21" ht="15">
      <c r="A37" s="174">
        <v>4330</v>
      </c>
      <c r="B37" s="174" t="s">
        <v>285</v>
      </c>
      <c r="C37" s="174" t="s">
        <v>286</v>
      </c>
      <c r="D37" s="174" t="s">
        <v>290</v>
      </c>
      <c r="E37" s="174" t="s">
        <v>271</v>
      </c>
      <c r="F37" s="174">
        <v>14</v>
      </c>
      <c r="G37" s="174">
        <v>1.2</v>
      </c>
      <c r="H37" s="174" t="b">
        <v>1</v>
      </c>
      <c r="I37" s="174" t="b">
        <v>0</v>
      </c>
      <c r="J37" s="174">
        <v>0.83</v>
      </c>
      <c r="K37" s="174">
        <v>259</v>
      </c>
      <c r="L37" s="174">
        <v>3</v>
      </c>
      <c r="M37" s="178">
        <v>40746</v>
      </c>
      <c r="O37" s="179">
        <f>VLOOKUP(K37,'Cost Model '!$G$11:$J$200,4,FALSE)</f>
        <v>60.49999999999995</v>
      </c>
      <c r="R37" s="162" t="str">
        <f t="shared" si="3"/>
        <v>YES</v>
      </c>
      <c r="S37" s="162" t="str">
        <f t="shared" si="0"/>
        <v>YES</v>
      </c>
      <c r="T37" s="162" t="str">
        <f t="shared" si="1"/>
        <v>YES</v>
      </c>
      <c r="U37" s="162" t="str">
        <f t="shared" si="2"/>
        <v>YES</v>
      </c>
    </row>
    <row r="38" spans="1:21" ht="15">
      <c r="A38" s="174">
        <v>4321</v>
      </c>
      <c r="B38" s="174" t="s">
        <v>285</v>
      </c>
      <c r="C38" s="174" t="s">
        <v>286</v>
      </c>
      <c r="D38" s="174" t="s">
        <v>291</v>
      </c>
      <c r="E38" s="174" t="s">
        <v>271</v>
      </c>
      <c r="F38" s="174">
        <v>14</v>
      </c>
      <c r="G38" s="174">
        <v>1.3</v>
      </c>
      <c r="H38" s="174" t="b">
        <v>1</v>
      </c>
      <c r="I38" s="174" t="b">
        <v>0</v>
      </c>
      <c r="J38" s="174">
        <v>0.77</v>
      </c>
      <c r="K38" s="174">
        <v>279</v>
      </c>
      <c r="L38" s="174">
        <v>3</v>
      </c>
      <c r="M38" s="178">
        <v>40746</v>
      </c>
      <c r="O38" s="179">
        <f>VLOOKUP(K38,'Cost Model '!$G$11:$J$200,4,FALSE)</f>
        <v>37.499999999999979</v>
      </c>
      <c r="R38" s="162" t="str">
        <f t="shared" si="3"/>
        <v>YES</v>
      </c>
      <c r="S38" s="162" t="str">
        <f t="shared" si="0"/>
        <v>YES</v>
      </c>
      <c r="T38" s="162" t="str">
        <f t="shared" si="1"/>
        <v>YES</v>
      </c>
      <c r="U38" s="162" t="str">
        <f t="shared" si="2"/>
        <v>YES</v>
      </c>
    </row>
    <row r="39" spans="1:21" ht="15">
      <c r="A39" s="174">
        <v>4325</v>
      </c>
      <c r="B39" s="174" t="s">
        <v>285</v>
      </c>
      <c r="C39" s="174" t="s">
        <v>286</v>
      </c>
      <c r="D39" s="174" t="s">
        <v>292</v>
      </c>
      <c r="E39" s="174" t="s">
        <v>271</v>
      </c>
      <c r="F39" s="174">
        <v>14</v>
      </c>
      <c r="G39" s="174">
        <v>1.3</v>
      </c>
      <c r="H39" s="174" t="b">
        <v>1</v>
      </c>
      <c r="I39" s="174" t="b">
        <v>0</v>
      </c>
      <c r="J39" s="174">
        <v>0.77</v>
      </c>
      <c r="K39" s="174">
        <v>279</v>
      </c>
      <c r="L39" s="174">
        <v>3</v>
      </c>
      <c r="M39" s="178">
        <v>40746</v>
      </c>
      <c r="O39" s="179">
        <f>VLOOKUP(K39,'Cost Model '!$G$11:$J$200,4,FALSE)</f>
        <v>37.499999999999979</v>
      </c>
      <c r="R39" s="162" t="str">
        <f t="shared" si="3"/>
        <v>YES</v>
      </c>
      <c r="S39" s="162" t="str">
        <f t="shared" si="0"/>
        <v>YES</v>
      </c>
      <c r="T39" s="162" t="str">
        <f t="shared" si="1"/>
        <v>YES</v>
      </c>
      <c r="U39" s="162" t="str">
        <f t="shared" si="2"/>
        <v>YES</v>
      </c>
    </row>
    <row r="40" spans="1:21" ht="15">
      <c r="A40" s="174">
        <v>4323</v>
      </c>
      <c r="B40" s="174" t="s">
        <v>285</v>
      </c>
      <c r="C40" s="174" t="s">
        <v>286</v>
      </c>
      <c r="D40" s="174" t="s">
        <v>293</v>
      </c>
      <c r="E40" s="174" t="s">
        <v>271</v>
      </c>
      <c r="F40" s="174">
        <v>14</v>
      </c>
      <c r="G40" s="174">
        <v>1.3</v>
      </c>
      <c r="H40" s="174" t="b">
        <v>1</v>
      </c>
      <c r="I40" s="174" t="b">
        <v>0</v>
      </c>
      <c r="J40" s="174">
        <v>0.77</v>
      </c>
      <c r="K40" s="174">
        <v>279</v>
      </c>
      <c r="L40" s="174">
        <v>3</v>
      </c>
      <c r="M40" s="178">
        <v>40746</v>
      </c>
      <c r="O40" s="179">
        <f>VLOOKUP(K40,'Cost Model '!$G$11:$J$200,4,FALSE)</f>
        <v>37.499999999999979</v>
      </c>
      <c r="R40" s="162" t="str">
        <f t="shared" si="3"/>
        <v>YES</v>
      </c>
      <c r="S40" s="162" t="str">
        <f t="shared" si="0"/>
        <v>YES</v>
      </c>
      <c r="T40" s="162" t="str">
        <f t="shared" si="1"/>
        <v>YES</v>
      </c>
      <c r="U40" s="162" t="str">
        <f t="shared" si="2"/>
        <v>YES</v>
      </c>
    </row>
    <row r="41" spans="1:21" ht="15">
      <c r="A41" s="174">
        <v>4322</v>
      </c>
      <c r="B41" s="174" t="s">
        <v>285</v>
      </c>
      <c r="C41" s="174" t="s">
        <v>286</v>
      </c>
      <c r="D41" s="174" t="s">
        <v>294</v>
      </c>
      <c r="E41" s="174" t="s">
        <v>271</v>
      </c>
      <c r="F41" s="174">
        <v>14</v>
      </c>
      <c r="G41" s="174">
        <v>1.3</v>
      </c>
      <c r="H41" s="174" t="b">
        <v>1</v>
      </c>
      <c r="I41" s="174" t="b">
        <v>0</v>
      </c>
      <c r="J41" s="174">
        <v>0.77</v>
      </c>
      <c r="K41" s="174">
        <v>279</v>
      </c>
      <c r="L41" s="174">
        <v>3</v>
      </c>
      <c r="M41" s="178">
        <v>40746</v>
      </c>
      <c r="O41" s="179">
        <f>VLOOKUP(K41,'Cost Model '!$G$11:$J$200,4,FALSE)</f>
        <v>37.499999999999979</v>
      </c>
      <c r="R41" s="162" t="str">
        <f t="shared" si="3"/>
        <v>YES</v>
      </c>
      <c r="S41" s="162" t="str">
        <f t="shared" si="0"/>
        <v>YES</v>
      </c>
      <c r="T41" s="162" t="str">
        <f t="shared" si="1"/>
        <v>YES</v>
      </c>
      <c r="U41" s="162" t="str">
        <f t="shared" si="2"/>
        <v>YES</v>
      </c>
    </row>
    <row r="42" spans="1:21" ht="15">
      <c r="A42" s="174">
        <v>4263</v>
      </c>
      <c r="B42" s="174" t="s">
        <v>285</v>
      </c>
      <c r="C42" s="174" t="s">
        <v>286</v>
      </c>
      <c r="D42" s="174" t="s">
        <v>295</v>
      </c>
      <c r="E42" s="174" t="s">
        <v>271</v>
      </c>
      <c r="F42" s="174">
        <v>14</v>
      </c>
      <c r="G42" s="174">
        <v>1.2</v>
      </c>
      <c r="H42" s="174" t="b">
        <v>1</v>
      </c>
      <c r="I42" s="174" t="b">
        <v>0</v>
      </c>
      <c r="J42" s="174">
        <v>0.83</v>
      </c>
      <c r="K42" s="174">
        <v>259</v>
      </c>
      <c r="L42" s="174">
        <v>3.7</v>
      </c>
      <c r="M42" s="178">
        <v>40746</v>
      </c>
      <c r="O42" s="179">
        <f>VLOOKUP(K42,'Cost Model '!$G$11:$J$200,4,FALSE)</f>
        <v>60.49999999999995</v>
      </c>
      <c r="R42" s="162" t="str">
        <f t="shared" si="3"/>
        <v>YES</v>
      </c>
      <c r="S42" s="162" t="str">
        <f t="shared" si="0"/>
        <v>YES</v>
      </c>
      <c r="T42" s="162" t="str">
        <f t="shared" si="1"/>
        <v>YES</v>
      </c>
      <c r="U42" s="162" t="str">
        <f t="shared" si="2"/>
        <v>YES</v>
      </c>
    </row>
    <row r="43" spans="1:21" ht="15">
      <c r="A43" s="174">
        <v>4336</v>
      </c>
      <c r="B43" s="174" t="s">
        <v>285</v>
      </c>
      <c r="C43" s="174" t="s">
        <v>286</v>
      </c>
      <c r="D43" s="174" t="s">
        <v>296</v>
      </c>
      <c r="E43" s="174" t="s">
        <v>271</v>
      </c>
      <c r="F43" s="174">
        <v>14</v>
      </c>
      <c r="G43" s="174">
        <v>1.2</v>
      </c>
      <c r="H43" s="174" t="b">
        <v>1</v>
      </c>
      <c r="I43" s="174" t="b">
        <v>0</v>
      </c>
      <c r="J43" s="174">
        <v>0.83</v>
      </c>
      <c r="K43" s="174">
        <v>259</v>
      </c>
      <c r="L43" s="174">
        <v>3</v>
      </c>
      <c r="M43" s="178">
        <v>40746</v>
      </c>
      <c r="O43" s="179">
        <f>VLOOKUP(K43,'Cost Model '!$G$11:$J$200,4,FALSE)</f>
        <v>60.49999999999995</v>
      </c>
      <c r="R43" s="162" t="str">
        <f t="shared" si="3"/>
        <v>YES</v>
      </c>
      <c r="S43" s="162" t="str">
        <f t="shared" si="0"/>
        <v>YES</v>
      </c>
      <c r="T43" s="162" t="str">
        <f t="shared" si="1"/>
        <v>YES</v>
      </c>
      <c r="U43" s="162" t="str">
        <f t="shared" si="2"/>
        <v>YES</v>
      </c>
    </row>
    <row r="44" spans="1:21" ht="15">
      <c r="A44" s="174">
        <v>4337</v>
      </c>
      <c r="B44" s="174" t="s">
        <v>285</v>
      </c>
      <c r="C44" s="174" t="s">
        <v>286</v>
      </c>
      <c r="D44" s="174" t="s">
        <v>297</v>
      </c>
      <c r="E44" s="174" t="s">
        <v>271</v>
      </c>
      <c r="F44" s="174">
        <v>14</v>
      </c>
      <c r="G44" s="174">
        <v>1.2</v>
      </c>
      <c r="H44" s="174" t="b">
        <v>1</v>
      </c>
      <c r="I44" s="174" t="b">
        <v>0</v>
      </c>
      <c r="J44" s="174">
        <v>0.83</v>
      </c>
      <c r="K44" s="174">
        <v>259</v>
      </c>
      <c r="L44" s="174">
        <v>3</v>
      </c>
      <c r="M44" s="178">
        <v>40746</v>
      </c>
      <c r="O44" s="179">
        <f>VLOOKUP(K44,'Cost Model '!$G$11:$J$200,4,FALSE)</f>
        <v>60.49999999999995</v>
      </c>
      <c r="R44" s="162" t="str">
        <f t="shared" si="3"/>
        <v>YES</v>
      </c>
      <c r="S44" s="162" t="str">
        <f t="shared" si="0"/>
        <v>YES</v>
      </c>
      <c r="T44" s="162" t="str">
        <f t="shared" si="1"/>
        <v>YES</v>
      </c>
      <c r="U44" s="162" t="str">
        <f t="shared" si="2"/>
        <v>YES</v>
      </c>
    </row>
    <row r="45" spans="1:21" ht="15">
      <c r="A45" s="174">
        <v>4335</v>
      </c>
      <c r="B45" s="174" t="s">
        <v>285</v>
      </c>
      <c r="C45" s="174" t="s">
        <v>286</v>
      </c>
      <c r="D45" s="174" t="s">
        <v>298</v>
      </c>
      <c r="E45" s="174" t="s">
        <v>271</v>
      </c>
      <c r="F45" s="174">
        <v>14</v>
      </c>
      <c r="G45" s="174">
        <v>1.2</v>
      </c>
      <c r="H45" s="174" t="b">
        <v>1</v>
      </c>
      <c r="I45" s="174" t="b">
        <v>0</v>
      </c>
      <c r="J45" s="174">
        <v>0.83</v>
      </c>
      <c r="K45" s="174">
        <v>259</v>
      </c>
      <c r="L45" s="174">
        <v>3</v>
      </c>
      <c r="M45" s="178">
        <v>40746</v>
      </c>
      <c r="O45" s="179">
        <f>VLOOKUP(K45,'Cost Model '!$G$11:$J$200,4,FALSE)</f>
        <v>60.49999999999995</v>
      </c>
      <c r="R45" s="162" t="str">
        <f t="shared" si="3"/>
        <v>YES</v>
      </c>
      <c r="S45" s="162" t="str">
        <f t="shared" si="0"/>
        <v>YES</v>
      </c>
      <c r="T45" s="162" t="str">
        <f t="shared" si="1"/>
        <v>YES</v>
      </c>
      <c r="U45" s="162" t="str">
        <f t="shared" si="2"/>
        <v>YES</v>
      </c>
    </row>
    <row r="46" spans="1:21" ht="15">
      <c r="A46" s="174">
        <v>4436</v>
      </c>
      <c r="B46" s="174" t="s">
        <v>285</v>
      </c>
      <c r="C46" s="174" t="s">
        <v>286</v>
      </c>
      <c r="D46" s="174" t="s">
        <v>299</v>
      </c>
      <c r="E46" s="174" t="s">
        <v>271</v>
      </c>
      <c r="F46" s="174">
        <v>14</v>
      </c>
      <c r="G46" s="174">
        <v>1.2</v>
      </c>
      <c r="H46" s="174" t="b">
        <v>1</v>
      </c>
      <c r="I46" s="174" t="b">
        <v>0</v>
      </c>
      <c r="J46" s="174">
        <v>0.83</v>
      </c>
      <c r="K46" s="174">
        <v>259</v>
      </c>
      <c r="L46" s="174">
        <v>3</v>
      </c>
      <c r="M46" s="178">
        <v>40812</v>
      </c>
      <c r="O46" s="179">
        <f>VLOOKUP(K46,'Cost Model '!$G$11:$J$200,4,FALSE)</f>
        <v>60.49999999999995</v>
      </c>
      <c r="R46" s="162" t="str">
        <f t="shared" si="3"/>
        <v>YES</v>
      </c>
      <c r="S46" s="162" t="str">
        <f t="shared" si="0"/>
        <v>YES</v>
      </c>
      <c r="T46" s="162" t="str">
        <f t="shared" si="1"/>
        <v>YES</v>
      </c>
      <c r="U46" s="162" t="str">
        <f t="shared" si="2"/>
        <v>YES</v>
      </c>
    </row>
    <row r="47" spans="1:21" ht="15">
      <c r="A47" s="174">
        <v>4235</v>
      </c>
      <c r="B47" s="174" t="s">
        <v>285</v>
      </c>
      <c r="C47" s="174" t="s">
        <v>286</v>
      </c>
      <c r="D47" s="174" t="s">
        <v>300</v>
      </c>
      <c r="E47" s="174" t="s">
        <v>271</v>
      </c>
      <c r="F47" s="174">
        <v>14</v>
      </c>
      <c r="G47" s="174">
        <v>1.21</v>
      </c>
      <c r="H47" s="174" t="b">
        <v>1</v>
      </c>
      <c r="I47" s="174" t="b">
        <v>0</v>
      </c>
      <c r="J47" s="174">
        <v>0.83</v>
      </c>
      <c r="K47" s="174">
        <v>259</v>
      </c>
      <c r="L47" s="174">
        <v>3.7</v>
      </c>
      <c r="M47" s="178">
        <v>40746</v>
      </c>
      <c r="O47" s="179">
        <f>VLOOKUP(K47,'Cost Model '!$G$11:$J$200,4,FALSE)</f>
        <v>60.49999999999995</v>
      </c>
      <c r="R47" s="162" t="str">
        <f t="shared" si="3"/>
        <v>YES</v>
      </c>
      <c r="S47" s="162" t="str">
        <f t="shared" si="0"/>
        <v>YES</v>
      </c>
      <c r="T47" s="162" t="str">
        <f t="shared" si="1"/>
        <v>YES</v>
      </c>
      <c r="U47" s="162" t="str">
        <f t="shared" si="2"/>
        <v>YES</v>
      </c>
    </row>
    <row r="48" spans="1:21" ht="15">
      <c r="A48" s="174">
        <v>4236</v>
      </c>
      <c r="B48" s="174" t="s">
        <v>285</v>
      </c>
      <c r="C48" s="174" t="s">
        <v>286</v>
      </c>
      <c r="D48" s="174" t="s">
        <v>301</v>
      </c>
      <c r="E48" s="174" t="s">
        <v>271</v>
      </c>
      <c r="F48" s="174">
        <v>14</v>
      </c>
      <c r="G48" s="174">
        <v>1.21</v>
      </c>
      <c r="H48" s="174" t="b">
        <v>1</v>
      </c>
      <c r="I48" s="174" t="b">
        <v>0</v>
      </c>
      <c r="J48" s="174">
        <v>0.83</v>
      </c>
      <c r="K48" s="174">
        <v>259</v>
      </c>
      <c r="L48" s="174">
        <v>3.7</v>
      </c>
      <c r="M48" s="178">
        <v>40746</v>
      </c>
      <c r="O48" s="179">
        <f>VLOOKUP(K48,'Cost Model '!$G$11:$J$200,4,FALSE)</f>
        <v>60.49999999999995</v>
      </c>
      <c r="R48" s="162" t="str">
        <f t="shared" si="3"/>
        <v>YES</v>
      </c>
      <c r="S48" s="162" t="str">
        <f t="shared" si="0"/>
        <v>YES</v>
      </c>
      <c r="T48" s="162" t="str">
        <f t="shared" si="1"/>
        <v>YES</v>
      </c>
      <c r="U48" s="162" t="str">
        <f t="shared" si="2"/>
        <v>YES</v>
      </c>
    </row>
    <row r="49" spans="1:21" ht="15">
      <c r="A49" s="174">
        <v>4237</v>
      </c>
      <c r="B49" s="174" t="s">
        <v>285</v>
      </c>
      <c r="C49" s="174" t="s">
        <v>286</v>
      </c>
      <c r="D49" s="174" t="s">
        <v>302</v>
      </c>
      <c r="E49" s="174" t="s">
        <v>271</v>
      </c>
      <c r="F49" s="174">
        <v>14</v>
      </c>
      <c r="G49" s="174">
        <v>1.21</v>
      </c>
      <c r="H49" s="174" t="b">
        <v>1</v>
      </c>
      <c r="I49" s="174" t="b">
        <v>0</v>
      </c>
      <c r="J49" s="174">
        <v>0.83</v>
      </c>
      <c r="K49" s="174">
        <v>259</v>
      </c>
      <c r="L49" s="174">
        <v>3.7</v>
      </c>
      <c r="M49" s="178">
        <v>40746</v>
      </c>
      <c r="O49" s="179">
        <f>VLOOKUP(K49,'Cost Model '!$G$11:$J$200,4,FALSE)</f>
        <v>60.49999999999995</v>
      </c>
      <c r="R49" s="162" t="str">
        <f t="shared" si="3"/>
        <v>YES</v>
      </c>
      <c r="S49" s="162" t="str">
        <f t="shared" si="0"/>
        <v>YES</v>
      </c>
      <c r="T49" s="162" t="str">
        <f t="shared" si="1"/>
        <v>YES</v>
      </c>
      <c r="U49" s="162" t="str">
        <f t="shared" si="2"/>
        <v>YES</v>
      </c>
    </row>
    <row r="50" spans="1:21" ht="15">
      <c r="A50" s="174">
        <v>4342</v>
      </c>
      <c r="B50" s="174" t="s">
        <v>285</v>
      </c>
      <c r="C50" s="174" t="s">
        <v>286</v>
      </c>
      <c r="D50" s="174" t="s">
        <v>303</v>
      </c>
      <c r="E50" s="174" t="s">
        <v>271</v>
      </c>
      <c r="F50" s="174">
        <v>14</v>
      </c>
      <c r="G50" s="174">
        <v>1.2</v>
      </c>
      <c r="H50" s="174" t="b">
        <v>1</v>
      </c>
      <c r="I50" s="174" t="b">
        <v>0</v>
      </c>
      <c r="J50" s="174">
        <v>0.83</v>
      </c>
      <c r="K50" s="174">
        <v>259</v>
      </c>
      <c r="L50" s="174">
        <v>3</v>
      </c>
      <c r="M50" s="178">
        <v>40746</v>
      </c>
      <c r="O50" s="179">
        <f>VLOOKUP(K50,'Cost Model '!$G$11:$J$200,4,FALSE)</f>
        <v>60.49999999999995</v>
      </c>
      <c r="R50" s="162" t="str">
        <f t="shared" si="3"/>
        <v>YES</v>
      </c>
      <c r="S50" s="162" t="str">
        <f t="shared" si="0"/>
        <v>YES</v>
      </c>
      <c r="T50" s="162" t="str">
        <f t="shared" si="1"/>
        <v>YES</v>
      </c>
      <c r="U50" s="162" t="str">
        <f t="shared" si="2"/>
        <v>YES</v>
      </c>
    </row>
    <row r="51" spans="1:21" ht="15">
      <c r="A51" s="174">
        <v>4435</v>
      </c>
      <c r="B51" s="174" t="s">
        <v>285</v>
      </c>
      <c r="C51" s="174" t="s">
        <v>286</v>
      </c>
      <c r="D51" s="174" t="s">
        <v>304</v>
      </c>
      <c r="E51" s="174" t="s">
        <v>271</v>
      </c>
      <c r="F51" s="174">
        <v>14</v>
      </c>
      <c r="G51" s="174">
        <v>1.2</v>
      </c>
      <c r="H51" s="174" t="b">
        <v>1</v>
      </c>
      <c r="I51" s="174" t="b">
        <v>0</v>
      </c>
      <c r="J51" s="174">
        <v>0.83</v>
      </c>
      <c r="K51" s="174">
        <v>259</v>
      </c>
      <c r="L51" s="174">
        <v>2.9</v>
      </c>
      <c r="M51" s="178">
        <v>40812</v>
      </c>
      <c r="O51" s="179">
        <f>VLOOKUP(K51,'Cost Model '!$G$11:$J$200,4,FALSE)</f>
        <v>60.49999999999995</v>
      </c>
      <c r="R51" s="162" t="str">
        <f t="shared" si="3"/>
        <v>YES</v>
      </c>
      <c r="S51" s="162" t="str">
        <f t="shared" si="0"/>
        <v>YES</v>
      </c>
      <c r="T51" s="162" t="str">
        <f t="shared" si="1"/>
        <v>YES</v>
      </c>
      <c r="U51" s="162" t="str">
        <f t="shared" si="2"/>
        <v>YES</v>
      </c>
    </row>
    <row r="52" spans="1:21" ht="15">
      <c r="A52" s="174">
        <v>4272</v>
      </c>
      <c r="B52" s="174" t="s">
        <v>285</v>
      </c>
      <c r="C52" s="174" t="s">
        <v>286</v>
      </c>
      <c r="D52" s="174" t="s">
        <v>305</v>
      </c>
      <c r="E52" s="174" t="s">
        <v>271</v>
      </c>
      <c r="F52" s="174">
        <v>14</v>
      </c>
      <c r="G52" s="174">
        <v>1.21</v>
      </c>
      <c r="H52" s="174" t="b">
        <v>1</v>
      </c>
      <c r="I52" s="174" t="b">
        <v>0</v>
      </c>
      <c r="J52" s="174">
        <v>0.83</v>
      </c>
      <c r="K52" s="174">
        <v>259</v>
      </c>
      <c r="L52" s="174">
        <v>3.1</v>
      </c>
      <c r="M52" s="178">
        <v>40746</v>
      </c>
      <c r="O52" s="179">
        <f>VLOOKUP(K52,'Cost Model '!$G$11:$J$200,4,FALSE)</f>
        <v>60.49999999999995</v>
      </c>
      <c r="R52" s="162" t="str">
        <f t="shared" si="3"/>
        <v>YES</v>
      </c>
      <c r="S52" s="162" t="str">
        <f t="shared" si="0"/>
        <v>YES</v>
      </c>
      <c r="T52" s="162" t="str">
        <f t="shared" si="1"/>
        <v>YES</v>
      </c>
      <c r="U52" s="162" t="str">
        <f t="shared" si="2"/>
        <v>YES</v>
      </c>
    </row>
    <row r="53" spans="1:21" ht="15">
      <c r="A53" s="174">
        <v>4273</v>
      </c>
      <c r="B53" s="174" t="s">
        <v>285</v>
      </c>
      <c r="C53" s="174" t="s">
        <v>286</v>
      </c>
      <c r="D53" s="174" t="s">
        <v>306</v>
      </c>
      <c r="E53" s="174" t="s">
        <v>271</v>
      </c>
      <c r="F53" s="174">
        <v>14</v>
      </c>
      <c r="G53" s="174">
        <v>1.21</v>
      </c>
      <c r="H53" s="174" t="b">
        <v>1</v>
      </c>
      <c r="I53" s="174" t="b">
        <v>0</v>
      </c>
      <c r="J53" s="174">
        <v>0.83</v>
      </c>
      <c r="K53" s="174">
        <v>259</v>
      </c>
      <c r="L53" s="174">
        <v>3.1</v>
      </c>
      <c r="M53" s="178">
        <v>40746</v>
      </c>
      <c r="O53" s="179">
        <f>VLOOKUP(K53,'Cost Model '!$G$11:$J$200,4,FALSE)</f>
        <v>60.49999999999995</v>
      </c>
      <c r="R53" s="162" t="str">
        <f t="shared" si="3"/>
        <v>YES</v>
      </c>
      <c r="S53" s="162" t="str">
        <f t="shared" si="0"/>
        <v>YES</v>
      </c>
      <c r="T53" s="162" t="str">
        <f t="shared" si="1"/>
        <v>YES</v>
      </c>
      <c r="U53" s="162" t="str">
        <f t="shared" si="2"/>
        <v>YES</v>
      </c>
    </row>
    <row r="54" spans="1:21" ht="15">
      <c r="A54" s="174">
        <v>4274</v>
      </c>
      <c r="B54" s="174" t="s">
        <v>285</v>
      </c>
      <c r="C54" s="174" t="s">
        <v>286</v>
      </c>
      <c r="D54" s="174" t="s">
        <v>307</v>
      </c>
      <c r="E54" s="174" t="s">
        <v>271</v>
      </c>
      <c r="F54" s="174">
        <v>14</v>
      </c>
      <c r="G54" s="174">
        <v>1.21</v>
      </c>
      <c r="H54" s="174" t="b">
        <v>1</v>
      </c>
      <c r="I54" s="174" t="b">
        <v>0</v>
      </c>
      <c r="J54" s="174">
        <v>0.83</v>
      </c>
      <c r="K54" s="174">
        <v>259</v>
      </c>
      <c r="L54" s="174">
        <v>3.1</v>
      </c>
      <c r="M54" s="178">
        <v>40746</v>
      </c>
      <c r="O54" s="179">
        <f>VLOOKUP(K54,'Cost Model '!$G$11:$J$200,4,FALSE)</f>
        <v>60.49999999999995</v>
      </c>
      <c r="R54" s="162" t="str">
        <f t="shared" si="3"/>
        <v>YES</v>
      </c>
      <c r="S54" s="162" t="str">
        <f t="shared" si="0"/>
        <v>YES</v>
      </c>
      <c r="T54" s="162" t="str">
        <f t="shared" si="1"/>
        <v>YES</v>
      </c>
      <c r="U54" s="162" t="str">
        <f t="shared" si="2"/>
        <v>YES</v>
      </c>
    </row>
    <row r="55" spans="1:21" ht="15">
      <c r="A55" s="174">
        <v>4327</v>
      </c>
      <c r="B55" s="174" t="s">
        <v>285</v>
      </c>
      <c r="C55" s="174" t="s">
        <v>286</v>
      </c>
      <c r="D55" s="174" t="s">
        <v>308</v>
      </c>
      <c r="E55" s="174" t="s">
        <v>271</v>
      </c>
      <c r="F55" s="174">
        <v>14</v>
      </c>
      <c r="G55" s="174">
        <v>1.0900000000000001</v>
      </c>
      <c r="H55" s="174" t="b">
        <v>1</v>
      </c>
      <c r="I55" s="174" t="b">
        <v>0</v>
      </c>
      <c r="J55" s="174">
        <v>0.92</v>
      </c>
      <c r="K55" s="174">
        <v>234</v>
      </c>
      <c r="L55" s="174">
        <v>2.9</v>
      </c>
      <c r="M55" s="178">
        <v>40746</v>
      </c>
      <c r="O55" s="179">
        <f>VLOOKUP(K55,'Cost Model '!$G$11:$J$200,4,FALSE)</f>
        <v>88.72000000000007</v>
      </c>
      <c r="R55" s="162" t="str">
        <f t="shared" si="3"/>
        <v>YES</v>
      </c>
      <c r="S55" s="162" t="str">
        <f t="shared" si="0"/>
        <v>YES</v>
      </c>
      <c r="T55" s="162" t="str">
        <f t="shared" si="1"/>
        <v>YES</v>
      </c>
      <c r="U55" s="162" t="str">
        <f t="shared" si="2"/>
        <v>YES</v>
      </c>
    </row>
    <row r="56" spans="1:21" ht="15">
      <c r="A56" s="174">
        <v>4344</v>
      </c>
      <c r="B56" s="174" t="s">
        <v>285</v>
      </c>
      <c r="C56" s="174" t="s">
        <v>286</v>
      </c>
      <c r="D56" s="174" t="s">
        <v>309</v>
      </c>
      <c r="E56" s="174" t="s">
        <v>271</v>
      </c>
      <c r="F56" s="174">
        <v>14</v>
      </c>
      <c r="G56" s="174">
        <v>1.2</v>
      </c>
      <c r="H56" s="174" t="b">
        <v>1</v>
      </c>
      <c r="I56" s="174" t="b">
        <v>0</v>
      </c>
      <c r="J56" s="174">
        <v>0.83</v>
      </c>
      <c r="K56" s="174">
        <v>259</v>
      </c>
      <c r="L56" s="174">
        <v>2.2000000000000002</v>
      </c>
      <c r="M56" s="178">
        <v>40746</v>
      </c>
      <c r="O56" s="179">
        <f>VLOOKUP(K56,'Cost Model '!$G$11:$J$200,4,FALSE)</f>
        <v>60.49999999999995</v>
      </c>
      <c r="R56" s="162" t="str">
        <f t="shared" si="3"/>
        <v>YES</v>
      </c>
      <c r="S56" s="162" t="str">
        <f t="shared" si="0"/>
        <v>YES</v>
      </c>
      <c r="T56" s="162" t="str">
        <f t="shared" si="1"/>
        <v>YES</v>
      </c>
      <c r="U56" s="162" t="str">
        <f t="shared" si="2"/>
        <v>YES</v>
      </c>
    </row>
    <row r="57" spans="1:21" ht="15">
      <c r="A57" s="174">
        <v>4351</v>
      </c>
      <c r="B57" s="174" t="s">
        <v>285</v>
      </c>
      <c r="C57" s="174" t="s">
        <v>286</v>
      </c>
      <c r="D57" s="174" t="s">
        <v>310</v>
      </c>
      <c r="E57" s="174" t="s">
        <v>271</v>
      </c>
      <c r="F57" s="174">
        <v>14</v>
      </c>
      <c r="G57" s="174">
        <v>0.84</v>
      </c>
      <c r="H57" s="174" t="b">
        <v>1</v>
      </c>
      <c r="I57" s="174" t="b">
        <v>0</v>
      </c>
      <c r="J57" s="174">
        <v>1.19</v>
      </c>
      <c r="K57" s="174">
        <v>180</v>
      </c>
      <c r="L57" s="174">
        <v>2.2000000000000002</v>
      </c>
      <c r="M57" s="178">
        <v>40746</v>
      </c>
      <c r="O57" s="179">
        <f>VLOOKUP(K57,'Cost Model '!$G$11:$J$200,4,FALSE)</f>
        <v>122.20000000000032</v>
      </c>
      <c r="R57" s="162" t="str">
        <f t="shared" si="3"/>
        <v>YES</v>
      </c>
      <c r="S57" s="162" t="str">
        <f t="shared" si="0"/>
        <v>YES</v>
      </c>
      <c r="T57" s="162" t="str">
        <f t="shared" si="1"/>
        <v>YES</v>
      </c>
      <c r="U57" s="162" t="str">
        <f t="shared" si="2"/>
        <v>YES</v>
      </c>
    </row>
    <row r="58" spans="1:21" ht="15">
      <c r="A58" s="174">
        <v>4348</v>
      </c>
      <c r="B58" s="174" t="s">
        <v>285</v>
      </c>
      <c r="C58" s="174" t="s">
        <v>286</v>
      </c>
      <c r="D58" s="174" t="s">
        <v>311</v>
      </c>
      <c r="E58" s="174" t="s">
        <v>271</v>
      </c>
      <c r="F58" s="174">
        <v>14</v>
      </c>
      <c r="G58" s="174">
        <v>0.93</v>
      </c>
      <c r="H58" s="174" t="b">
        <v>1</v>
      </c>
      <c r="I58" s="174" t="b">
        <v>0</v>
      </c>
      <c r="J58" s="174">
        <v>1.07</v>
      </c>
      <c r="K58" s="174">
        <v>200</v>
      </c>
      <c r="L58" s="174">
        <v>2.2000000000000002</v>
      </c>
      <c r="M58" s="178">
        <v>40746</v>
      </c>
      <c r="O58" s="179">
        <f>VLOOKUP(K58,'Cost Model '!$G$11:$J$200,4,FALSE)</f>
        <v>109.80000000000022</v>
      </c>
      <c r="R58" s="162" t="str">
        <f t="shared" si="3"/>
        <v>YES</v>
      </c>
      <c r="S58" s="162" t="str">
        <f t="shared" si="0"/>
        <v>YES</v>
      </c>
      <c r="T58" s="162" t="str">
        <f t="shared" si="1"/>
        <v>YES</v>
      </c>
      <c r="U58" s="162" t="str">
        <f t="shared" si="2"/>
        <v>YES</v>
      </c>
    </row>
    <row r="59" spans="1:21" ht="15">
      <c r="A59" s="174">
        <v>4332</v>
      </c>
      <c r="B59" s="174" t="s">
        <v>285</v>
      </c>
      <c r="C59" s="174" t="s">
        <v>286</v>
      </c>
      <c r="D59" s="174" t="s">
        <v>312</v>
      </c>
      <c r="E59" s="174" t="s">
        <v>271</v>
      </c>
      <c r="F59" s="174">
        <v>14</v>
      </c>
      <c r="G59" s="174">
        <v>1.2</v>
      </c>
      <c r="H59" s="174" t="b">
        <v>1</v>
      </c>
      <c r="I59" s="174" t="b">
        <v>0</v>
      </c>
      <c r="J59" s="174">
        <v>0.83</v>
      </c>
      <c r="K59" s="174">
        <v>259</v>
      </c>
      <c r="L59" s="174">
        <v>3</v>
      </c>
      <c r="M59" s="178">
        <v>40746</v>
      </c>
      <c r="O59" s="179">
        <f>VLOOKUP(K59,'Cost Model '!$G$11:$J$200,4,FALSE)</f>
        <v>60.49999999999995</v>
      </c>
      <c r="R59" s="162" t="str">
        <f t="shared" si="3"/>
        <v>YES</v>
      </c>
      <c r="S59" s="162" t="str">
        <f t="shared" si="0"/>
        <v>YES</v>
      </c>
      <c r="T59" s="162" t="str">
        <f t="shared" si="1"/>
        <v>YES</v>
      </c>
      <c r="U59" s="162" t="str">
        <f t="shared" si="2"/>
        <v>YES</v>
      </c>
    </row>
    <row r="60" spans="1:21" ht="15">
      <c r="A60" s="174">
        <v>4341</v>
      </c>
      <c r="B60" s="174" t="s">
        <v>285</v>
      </c>
      <c r="C60" s="174" t="s">
        <v>286</v>
      </c>
      <c r="D60" s="174" t="s">
        <v>313</v>
      </c>
      <c r="E60" s="174" t="s">
        <v>271</v>
      </c>
      <c r="F60" s="174">
        <v>14</v>
      </c>
      <c r="G60" s="174">
        <v>1.2</v>
      </c>
      <c r="H60" s="174" t="b">
        <v>1</v>
      </c>
      <c r="I60" s="174" t="b">
        <v>0</v>
      </c>
      <c r="J60" s="174">
        <v>0.83</v>
      </c>
      <c r="K60" s="174">
        <v>259</v>
      </c>
      <c r="L60" s="174">
        <v>3</v>
      </c>
      <c r="M60" s="178">
        <v>40746</v>
      </c>
      <c r="O60" s="179">
        <f>VLOOKUP(K60,'Cost Model '!$G$11:$J$200,4,FALSE)</f>
        <v>60.49999999999995</v>
      </c>
      <c r="R60" s="162" t="str">
        <f t="shared" si="3"/>
        <v>YES</v>
      </c>
      <c r="S60" s="162" t="str">
        <f t="shared" si="0"/>
        <v>YES</v>
      </c>
      <c r="T60" s="162" t="str">
        <f t="shared" si="1"/>
        <v>YES</v>
      </c>
      <c r="U60" s="162" t="str">
        <f t="shared" si="2"/>
        <v>YES</v>
      </c>
    </row>
    <row r="61" spans="1:21" ht="15">
      <c r="A61" s="174">
        <v>4329</v>
      </c>
      <c r="B61" s="174" t="s">
        <v>285</v>
      </c>
      <c r="C61" s="174" t="s">
        <v>286</v>
      </c>
      <c r="D61" s="174" t="s">
        <v>314</v>
      </c>
      <c r="E61" s="174" t="s">
        <v>271</v>
      </c>
      <c r="F61" s="174">
        <v>14</v>
      </c>
      <c r="G61" s="174">
        <v>1.0900000000000001</v>
      </c>
      <c r="H61" s="174" t="b">
        <v>1</v>
      </c>
      <c r="I61" s="174" t="b">
        <v>0</v>
      </c>
      <c r="J61" s="174">
        <v>0.92</v>
      </c>
      <c r="K61" s="174">
        <v>234</v>
      </c>
      <c r="L61" s="174">
        <v>2.9</v>
      </c>
      <c r="M61" s="178">
        <v>40746</v>
      </c>
      <c r="O61" s="179">
        <f>VLOOKUP(K61,'Cost Model '!$G$11:$J$200,4,FALSE)</f>
        <v>88.72000000000007</v>
      </c>
      <c r="R61" s="162" t="str">
        <f t="shared" si="3"/>
        <v>YES</v>
      </c>
      <c r="S61" s="162" t="str">
        <f t="shared" si="0"/>
        <v>YES</v>
      </c>
      <c r="T61" s="162" t="str">
        <f t="shared" si="1"/>
        <v>YES</v>
      </c>
      <c r="U61" s="162" t="str">
        <f t="shared" si="2"/>
        <v>YES</v>
      </c>
    </row>
    <row r="62" spans="1:21" ht="15">
      <c r="A62" s="174">
        <v>4345</v>
      </c>
      <c r="B62" s="174" t="s">
        <v>285</v>
      </c>
      <c r="C62" s="174" t="s">
        <v>286</v>
      </c>
      <c r="D62" s="174" t="s">
        <v>315</v>
      </c>
      <c r="E62" s="174" t="s">
        <v>271</v>
      </c>
      <c r="F62" s="174">
        <v>14</v>
      </c>
      <c r="G62" s="174">
        <v>1.2</v>
      </c>
      <c r="H62" s="174" t="b">
        <v>1</v>
      </c>
      <c r="I62" s="174" t="b">
        <v>0</v>
      </c>
      <c r="J62" s="174">
        <v>0.83</v>
      </c>
      <c r="K62" s="174">
        <v>259</v>
      </c>
      <c r="L62" s="174">
        <v>2.2000000000000002</v>
      </c>
      <c r="M62" s="178">
        <v>40746</v>
      </c>
      <c r="O62" s="179">
        <f>VLOOKUP(K62,'Cost Model '!$G$11:$J$200,4,FALSE)</f>
        <v>60.49999999999995</v>
      </c>
      <c r="R62" s="162" t="str">
        <f t="shared" si="3"/>
        <v>YES</v>
      </c>
      <c r="S62" s="162" t="str">
        <f t="shared" si="0"/>
        <v>YES</v>
      </c>
      <c r="T62" s="162" t="str">
        <f t="shared" si="1"/>
        <v>YES</v>
      </c>
      <c r="U62" s="162" t="str">
        <f t="shared" si="2"/>
        <v>YES</v>
      </c>
    </row>
    <row r="63" spans="1:21" ht="15">
      <c r="A63" s="174">
        <v>4349</v>
      </c>
      <c r="B63" s="174" t="s">
        <v>285</v>
      </c>
      <c r="C63" s="174" t="s">
        <v>286</v>
      </c>
      <c r="D63" s="174" t="s">
        <v>316</v>
      </c>
      <c r="E63" s="174" t="s">
        <v>271</v>
      </c>
      <c r="F63" s="174">
        <v>14</v>
      </c>
      <c r="G63" s="174">
        <v>0.93</v>
      </c>
      <c r="H63" s="174" t="b">
        <v>1</v>
      </c>
      <c r="I63" s="174" t="b">
        <v>0</v>
      </c>
      <c r="J63" s="174">
        <v>1.07</v>
      </c>
      <c r="K63" s="174">
        <v>200</v>
      </c>
      <c r="L63" s="174">
        <v>2.2000000000000002</v>
      </c>
      <c r="M63" s="178">
        <v>40746</v>
      </c>
      <c r="O63" s="179">
        <f>VLOOKUP(K63,'Cost Model '!$G$11:$J$200,4,FALSE)</f>
        <v>109.80000000000022</v>
      </c>
      <c r="R63" s="162" t="str">
        <f t="shared" si="3"/>
        <v>YES</v>
      </c>
      <c r="S63" s="162" t="str">
        <f t="shared" si="0"/>
        <v>YES</v>
      </c>
      <c r="T63" s="162" t="str">
        <f t="shared" si="1"/>
        <v>YES</v>
      </c>
      <c r="U63" s="162" t="str">
        <f t="shared" si="2"/>
        <v>YES</v>
      </c>
    </row>
    <row r="64" spans="1:21" ht="15">
      <c r="A64" s="174">
        <v>4565</v>
      </c>
      <c r="B64" s="174" t="s">
        <v>285</v>
      </c>
      <c r="C64" s="174" t="s">
        <v>286</v>
      </c>
      <c r="D64" s="174" t="s">
        <v>317</v>
      </c>
      <c r="E64" s="174" t="s">
        <v>271</v>
      </c>
      <c r="F64" s="174">
        <v>14</v>
      </c>
      <c r="G64" s="174">
        <v>1.3</v>
      </c>
      <c r="H64" s="174" t="b">
        <v>1</v>
      </c>
      <c r="I64" s="174" t="b">
        <v>0</v>
      </c>
      <c r="J64" s="174">
        <v>0.77</v>
      </c>
      <c r="K64" s="174">
        <v>279</v>
      </c>
      <c r="L64" s="174">
        <v>3</v>
      </c>
      <c r="M64" s="178">
        <v>40946</v>
      </c>
      <c r="O64" s="179">
        <f>VLOOKUP(K64,'Cost Model '!$G$11:$J$200,4,FALSE)</f>
        <v>37.499999999999979</v>
      </c>
      <c r="R64" s="162" t="str">
        <f t="shared" si="3"/>
        <v>YES</v>
      </c>
      <c r="S64" s="162" t="str">
        <f t="shared" si="0"/>
        <v>YES</v>
      </c>
      <c r="T64" s="162" t="str">
        <f t="shared" si="1"/>
        <v>YES</v>
      </c>
      <c r="U64" s="162" t="str">
        <f t="shared" si="2"/>
        <v>YES</v>
      </c>
    </row>
    <row r="65" spans="1:21" ht="15">
      <c r="A65" s="174">
        <v>4338</v>
      </c>
      <c r="B65" s="174" t="s">
        <v>285</v>
      </c>
      <c r="C65" s="174" t="s">
        <v>286</v>
      </c>
      <c r="D65" s="174" t="s">
        <v>318</v>
      </c>
      <c r="E65" s="174" t="s">
        <v>271</v>
      </c>
      <c r="F65" s="174">
        <v>14</v>
      </c>
      <c r="G65" s="174">
        <v>1.2</v>
      </c>
      <c r="H65" s="174" t="b">
        <v>1</v>
      </c>
      <c r="I65" s="174" t="b">
        <v>0</v>
      </c>
      <c r="J65" s="174">
        <v>0.83</v>
      </c>
      <c r="K65" s="174">
        <v>259</v>
      </c>
      <c r="L65" s="174">
        <v>3</v>
      </c>
      <c r="M65" s="178">
        <v>40746</v>
      </c>
      <c r="O65" s="179">
        <f>VLOOKUP(K65,'Cost Model '!$G$11:$J$200,4,FALSE)</f>
        <v>60.49999999999995</v>
      </c>
      <c r="R65" s="162" t="str">
        <f t="shared" si="3"/>
        <v>YES</v>
      </c>
      <c r="S65" s="162" t="str">
        <f t="shared" si="0"/>
        <v>YES</v>
      </c>
      <c r="T65" s="162" t="str">
        <f t="shared" si="1"/>
        <v>YES</v>
      </c>
      <c r="U65" s="162" t="str">
        <f t="shared" si="2"/>
        <v>YES</v>
      </c>
    </row>
    <row r="66" spans="1:21" ht="15">
      <c r="A66" s="174">
        <v>4334</v>
      </c>
      <c r="B66" s="174" t="s">
        <v>285</v>
      </c>
      <c r="C66" s="174" t="s">
        <v>286</v>
      </c>
      <c r="D66" s="174" t="s">
        <v>319</v>
      </c>
      <c r="E66" s="174" t="s">
        <v>271</v>
      </c>
      <c r="F66" s="174">
        <v>14</v>
      </c>
      <c r="G66" s="174">
        <v>1.2</v>
      </c>
      <c r="H66" s="174" t="b">
        <v>1</v>
      </c>
      <c r="I66" s="174" t="b">
        <v>0</v>
      </c>
      <c r="J66" s="174">
        <v>0.83</v>
      </c>
      <c r="K66" s="174">
        <v>259</v>
      </c>
      <c r="L66" s="174">
        <v>3</v>
      </c>
      <c r="M66" s="178">
        <v>40746</v>
      </c>
      <c r="O66" s="179">
        <f>VLOOKUP(K66,'Cost Model '!$G$11:$J$200,4,FALSE)</f>
        <v>60.49999999999995</v>
      </c>
      <c r="R66" s="162" t="str">
        <f t="shared" si="3"/>
        <v>YES</v>
      </c>
      <c r="S66" s="162" t="str">
        <f t="shared" si="0"/>
        <v>YES</v>
      </c>
      <c r="T66" s="162" t="str">
        <f t="shared" si="1"/>
        <v>YES</v>
      </c>
      <c r="U66" s="162" t="str">
        <f t="shared" si="2"/>
        <v>YES</v>
      </c>
    </row>
    <row r="67" spans="1:21" ht="15">
      <c r="A67" s="174">
        <v>4333</v>
      </c>
      <c r="B67" s="174" t="s">
        <v>285</v>
      </c>
      <c r="C67" s="174" t="s">
        <v>286</v>
      </c>
      <c r="D67" s="174" t="s">
        <v>320</v>
      </c>
      <c r="E67" s="174" t="s">
        <v>271</v>
      </c>
      <c r="F67" s="174">
        <v>14</v>
      </c>
      <c r="G67" s="174">
        <v>1.2</v>
      </c>
      <c r="H67" s="174" t="b">
        <v>1</v>
      </c>
      <c r="I67" s="174" t="b">
        <v>0</v>
      </c>
      <c r="J67" s="174">
        <v>0.83</v>
      </c>
      <c r="K67" s="174">
        <v>259</v>
      </c>
      <c r="L67" s="174">
        <v>3</v>
      </c>
      <c r="M67" s="178">
        <v>40746</v>
      </c>
      <c r="O67" s="179">
        <f>VLOOKUP(K67,'Cost Model '!$G$11:$J$200,4,FALSE)</f>
        <v>60.49999999999995</v>
      </c>
      <c r="R67" s="162" t="str">
        <f t="shared" si="3"/>
        <v>YES</v>
      </c>
      <c r="S67" s="162" t="str">
        <f t="shared" si="0"/>
        <v>YES</v>
      </c>
      <c r="T67" s="162" t="str">
        <f t="shared" si="1"/>
        <v>YES</v>
      </c>
      <c r="U67" s="162" t="str">
        <f t="shared" si="2"/>
        <v>YES</v>
      </c>
    </row>
    <row r="68" spans="1:21" ht="15">
      <c r="A68" s="174">
        <v>4324</v>
      </c>
      <c r="B68" s="174" t="s">
        <v>285</v>
      </c>
      <c r="C68" s="174" t="s">
        <v>286</v>
      </c>
      <c r="D68" s="174" t="s">
        <v>321</v>
      </c>
      <c r="E68" s="174" t="s">
        <v>271</v>
      </c>
      <c r="F68" s="174">
        <v>14</v>
      </c>
      <c r="G68" s="174">
        <v>1.3</v>
      </c>
      <c r="H68" s="174" t="b">
        <v>1</v>
      </c>
      <c r="I68" s="174" t="b">
        <v>0</v>
      </c>
      <c r="J68" s="174">
        <v>0.77</v>
      </c>
      <c r="K68" s="174">
        <v>279</v>
      </c>
      <c r="L68" s="174">
        <v>3</v>
      </c>
      <c r="M68" s="178">
        <v>40746</v>
      </c>
      <c r="O68" s="179">
        <f>VLOOKUP(K68,'Cost Model '!$G$11:$J$200,4,FALSE)</f>
        <v>37.499999999999979</v>
      </c>
      <c r="R68" s="162" t="str">
        <f t="shared" si="3"/>
        <v>YES</v>
      </c>
      <c r="S68" s="162" t="str">
        <f t="shared" si="0"/>
        <v>YES</v>
      </c>
      <c r="T68" s="162" t="str">
        <f t="shared" si="1"/>
        <v>YES</v>
      </c>
      <c r="U68" s="162" t="str">
        <f t="shared" si="2"/>
        <v>YES</v>
      </c>
    </row>
    <row r="69" spans="1:21" ht="15">
      <c r="A69" s="174">
        <v>4326</v>
      </c>
      <c r="B69" s="174" t="s">
        <v>285</v>
      </c>
      <c r="C69" s="174" t="s">
        <v>286</v>
      </c>
      <c r="D69" s="174" t="s">
        <v>322</v>
      </c>
      <c r="E69" s="174" t="s">
        <v>271</v>
      </c>
      <c r="F69" s="174">
        <v>14</v>
      </c>
      <c r="G69" s="174">
        <v>1.3</v>
      </c>
      <c r="H69" s="174" t="b">
        <v>1</v>
      </c>
      <c r="I69" s="174" t="b">
        <v>0</v>
      </c>
      <c r="J69" s="174">
        <v>0.77</v>
      </c>
      <c r="K69" s="174">
        <v>279</v>
      </c>
      <c r="L69" s="174">
        <v>3</v>
      </c>
      <c r="M69" s="178">
        <v>40746</v>
      </c>
      <c r="O69" s="179">
        <f>VLOOKUP(K69,'Cost Model '!$G$11:$J$200,4,FALSE)</f>
        <v>37.499999999999979</v>
      </c>
      <c r="R69" s="162" t="str">
        <f t="shared" si="3"/>
        <v>YES</v>
      </c>
      <c r="S69" s="162" t="str">
        <f t="shared" si="0"/>
        <v>YES</v>
      </c>
      <c r="T69" s="162" t="str">
        <f t="shared" si="1"/>
        <v>YES</v>
      </c>
      <c r="U69" s="162" t="str">
        <f t="shared" si="2"/>
        <v>YES</v>
      </c>
    </row>
    <row r="70" spans="1:21" ht="15">
      <c r="A70" s="174">
        <v>4331</v>
      </c>
      <c r="B70" s="174" t="s">
        <v>285</v>
      </c>
      <c r="C70" s="174" t="s">
        <v>286</v>
      </c>
      <c r="D70" s="174" t="s">
        <v>323</v>
      </c>
      <c r="E70" s="174" t="s">
        <v>271</v>
      </c>
      <c r="F70" s="174">
        <v>14</v>
      </c>
      <c r="G70" s="174">
        <v>1.2</v>
      </c>
      <c r="H70" s="174" t="b">
        <v>1</v>
      </c>
      <c r="I70" s="174" t="b">
        <v>0</v>
      </c>
      <c r="J70" s="174">
        <v>0.83</v>
      </c>
      <c r="K70" s="174">
        <v>259</v>
      </c>
      <c r="L70" s="174">
        <v>3</v>
      </c>
      <c r="M70" s="178">
        <v>40746</v>
      </c>
      <c r="O70" s="179">
        <f>VLOOKUP(K70,'Cost Model '!$G$11:$J$200,4,FALSE)</f>
        <v>60.49999999999995</v>
      </c>
      <c r="R70" s="162" t="str">
        <f t="shared" si="3"/>
        <v>YES</v>
      </c>
      <c r="S70" s="162" t="str">
        <f t="shared" si="0"/>
        <v>YES</v>
      </c>
      <c r="T70" s="162" t="str">
        <f t="shared" si="1"/>
        <v>YES</v>
      </c>
      <c r="U70" s="162" t="str">
        <f t="shared" si="2"/>
        <v>YES</v>
      </c>
    </row>
    <row r="71" spans="1:21" ht="15">
      <c r="A71" s="174">
        <v>4478</v>
      </c>
      <c r="B71" s="174" t="s">
        <v>285</v>
      </c>
      <c r="C71" s="174" t="s">
        <v>286</v>
      </c>
      <c r="D71" s="174" t="s">
        <v>324</v>
      </c>
      <c r="E71" s="174" t="s">
        <v>271</v>
      </c>
      <c r="F71" s="174">
        <v>14</v>
      </c>
      <c r="G71" s="174">
        <v>1.2</v>
      </c>
      <c r="H71" s="174" t="b">
        <v>1</v>
      </c>
      <c r="I71" s="174" t="b">
        <v>0</v>
      </c>
      <c r="J71" s="174">
        <v>0.83</v>
      </c>
      <c r="K71" s="174">
        <v>259</v>
      </c>
      <c r="L71" s="174">
        <v>3</v>
      </c>
      <c r="M71" s="178">
        <v>40855</v>
      </c>
      <c r="O71" s="179">
        <f>VLOOKUP(K71,'Cost Model '!$G$11:$J$200,4,FALSE)</f>
        <v>60.49999999999995</v>
      </c>
      <c r="R71" s="162" t="str">
        <f t="shared" si="3"/>
        <v>YES</v>
      </c>
      <c r="S71" s="162" t="str">
        <f t="shared" si="0"/>
        <v>YES</v>
      </c>
      <c r="T71" s="162" t="str">
        <f t="shared" si="1"/>
        <v>YES</v>
      </c>
      <c r="U71" s="162" t="str">
        <f t="shared" si="2"/>
        <v>YES</v>
      </c>
    </row>
    <row r="72" spans="1:21" ht="15">
      <c r="A72" s="174">
        <v>4339</v>
      </c>
      <c r="B72" s="174" t="s">
        <v>285</v>
      </c>
      <c r="C72" s="174" t="s">
        <v>286</v>
      </c>
      <c r="D72" s="174" t="s">
        <v>325</v>
      </c>
      <c r="E72" s="174" t="s">
        <v>271</v>
      </c>
      <c r="F72" s="174">
        <v>14</v>
      </c>
      <c r="G72" s="174">
        <v>1.2</v>
      </c>
      <c r="H72" s="174" t="b">
        <v>1</v>
      </c>
      <c r="I72" s="174" t="b">
        <v>0</v>
      </c>
      <c r="J72" s="174">
        <v>0.83</v>
      </c>
      <c r="K72" s="174">
        <v>259</v>
      </c>
      <c r="L72" s="174">
        <v>3</v>
      </c>
      <c r="M72" s="178">
        <v>40746</v>
      </c>
      <c r="O72" s="179">
        <f>VLOOKUP(K72,'Cost Model '!$G$11:$J$200,4,FALSE)</f>
        <v>60.49999999999995</v>
      </c>
      <c r="R72" s="162" t="str">
        <f t="shared" si="3"/>
        <v>YES</v>
      </c>
      <c r="S72" s="162" t="str">
        <f t="shared" si="0"/>
        <v>YES</v>
      </c>
      <c r="T72" s="162" t="str">
        <f t="shared" si="1"/>
        <v>YES</v>
      </c>
      <c r="U72" s="162" t="str">
        <f t="shared" si="2"/>
        <v>YES</v>
      </c>
    </row>
    <row r="73" spans="1:21" ht="15">
      <c r="A73" s="174">
        <v>4340</v>
      </c>
      <c r="B73" s="174" t="s">
        <v>285</v>
      </c>
      <c r="C73" s="174" t="s">
        <v>286</v>
      </c>
      <c r="D73" s="174" t="s">
        <v>326</v>
      </c>
      <c r="E73" s="174" t="s">
        <v>271</v>
      </c>
      <c r="F73" s="174">
        <v>14</v>
      </c>
      <c r="G73" s="174">
        <v>1.2</v>
      </c>
      <c r="H73" s="174" t="b">
        <v>1</v>
      </c>
      <c r="I73" s="174" t="b">
        <v>0</v>
      </c>
      <c r="J73" s="174">
        <v>0.83</v>
      </c>
      <c r="K73" s="174">
        <v>259</v>
      </c>
      <c r="L73" s="174">
        <v>3</v>
      </c>
      <c r="M73" s="178">
        <v>40746</v>
      </c>
      <c r="O73" s="179">
        <f>VLOOKUP(K73,'Cost Model '!$G$11:$J$200,4,FALSE)</f>
        <v>60.49999999999995</v>
      </c>
      <c r="R73" s="162" t="str">
        <f t="shared" si="3"/>
        <v>YES</v>
      </c>
      <c r="S73" s="162" t="str">
        <f t="shared" si="0"/>
        <v>YES</v>
      </c>
      <c r="T73" s="162" t="str">
        <f t="shared" si="1"/>
        <v>YES</v>
      </c>
      <c r="U73" s="162" t="str">
        <f t="shared" si="2"/>
        <v>YES</v>
      </c>
    </row>
    <row r="74" spans="1:21" ht="15">
      <c r="A74" s="174">
        <v>4315</v>
      </c>
      <c r="B74" s="174" t="s">
        <v>285</v>
      </c>
      <c r="C74" s="174" t="s">
        <v>286</v>
      </c>
      <c r="D74" s="174" t="s">
        <v>327</v>
      </c>
      <c r="E74" s="174" t="s">
        <v>271</v>
      </c>
      <c r="F74" s="174">
        <v>14</v>
      </c>
      <c r="G74" s="174">
        <v>1.2</v>
      </c>
      <c r="H74" s="174" t="b">
        <v>1</v>
      </c>
      <c r="I74" s="174" t="b">
        <v>0</v>
      </c>
      <c r="J74" s="174">
        <v>0.83</v>
      </c>
      <c r="K74" s="174">
        <v>259</v>
      </c>
      <c r="L74" s="174">
        <v>2.2000000000000002</v>
      </c>
      <c r="M74" s="178">
        <v>40746</v>
      </c>
      <c r="O74" s="179">
        <f>VLOOKUP(K74,'Cost Model '!$G$11:$J$200,4,FALSE)</f>
        <v>60.49999999999995</v>
      </c>
      <c r="R74" s="162" t="str">
        <f t="shared" si="3"/>
        <v>YES</v>
      </c>
      <c r="S74" s="162" t="str">
        <f t="shared" si="0"/>
        <v>YES</v>
      </c>
      <c r="T74" s="162" t="str">
        <f t="shared" si="1"/>
        <v>YES</v>
      </c>
      <c r="U74" s="162" t="str">
        <f t="shared" si="2"/>
        <v>YES</v>
      </c>
    </row>
    <row r="75" spans="1:21" ht="15">
      <c r="A75" s="174">
        <v>4328</v>
      </c>
      <c r="B75" s="174" t="s">
        <v>285</v>
      </c>
      <c r="C75" s="174" t="s">
        <v>286</v>
      </c>
      <c r="D75" s="174" t="s">
        <v>328</v>
      </c>
      <c r="E75" s="174" t="s">
        <v>271</v>
      </c>
      <c r="F75" s="174">
        <v>14</v>
      </c>
      <c r="G75" s="174">
        <v>1.0900000000000001</v>
      </c>
      <c r="H75" s="174" t="b">
        <v>1</v>
      </c>
      <c r="I75" s="174" t="b">
        <v>0</v>
      </c>
      <c r="J75" s="174">
        <v>0.92</v>
      </c>
      <c r="K75" s="174">
        <v>234</v>
      </c>
      <c r="L75" s="174">
        <v>2.9</v>
      </c>
      <c r="M75" s="178">
        <v>40746</v>
      </c>
      <c r="O75" s="179">
        <f>VLOOKUP(K75,'Cost Model '!$G$11:$J$200,4,FALSE)</f>
        <v>88.72000000000007</v>
      </c>
      <c r="R75" s="162" t="str">
        <f t="shared" si="3"/>
        <v>YES</v>
      </c>
      <c r="S75" s="162" t="str">
        <f t="shared" si="0"/>
        <v>YES</v>
      </c>
      <c r="T75" s="162" t="str">
        <f t="shared" si="1"/>
        <v>YES</v>
      </c>
      <c r="U75" s="162" t="str">
        <f t="shared" si="2"/>
        <v>YES</v>
      </c>
    </row>
    <row r="76" spans="1:21" ht="15">
      <c r="A76" s="174">
        <v>4346</v>
      </c>
      <c r="B76" s="174" t="s">
        <v>285</v>
      </c>
      <c r="C76" s="174" t="s">
        <v>286</v>
      </c>
      <c r="D76" s="174" t="s">
        <v>329</v>
      </c>
      <c r="E76" s="174" t="s">
        <v>271</v>
      </c>
      <c r="F76" s="174">
        <v>14</v>
      </c>
      <c r="G76" s="174">
        <v>1.2</v>
      </c>
      <c r="H76" s="174" t="b">
        <v>1</v>
      </c>
      <c r="I76" s="174" t="b">
        <v>0</v>
      </c>
      <c r="J76" s="174">
        <v>0.83</v>
      </c>
      <c r="K76" s="174">
        <v>259</v>
      </c>
      <c r="L76" s="174">
        <v>2.2000000000000002</v>
      </c>
      <c r="M76" s="178">
        <v>40746</v>
      </c>
      <c r="O76" s="179">
        <f>VLOOKUP(K76,'Cost Model '!$G$11:$J$200,4,FALSE)</f>
        <v>60.49999999999995</v>
      </c>
      <c r="R76" s="162" t="str">
        <f t="shared" si="3"/>
        <v>YES</v>
      </c>
      <c r="S76" s="162" t="str">
        <f t="shared" si="0"/>
        <v>YES</v>
      </c>
      <c r="T76" s="162" t="str">
        <f t="shared" si="1"/>
        <v>YES</v>
      </c>
      <c r="U76" s="162" t="str">
        <f t="shared" si="2"/>
        <v>YES</v>
      </c>
    </row>
    <row r="77" spans="1:21" ht="15">
      <c r="A77" s="174">
        <v>4352</v>
      </c>
      <c r="B77" s="174" t="s">
        <v>285</v>
      </c>
      <c r="C77" s="174" t="s">
        <v>286</v>
      </c>
      <c r="D77" s="174" t="s">
        <v>330</v>
      </c>
      <c r="E77" s="174" t="s">
        <v>271</v>
      </c>
      <c r="F77" s="174">
        <v>14</v>
      </c>
      <c r="G77" s="174">
        <v>0.84</v>
      </c>
      <c r="H77" s="174" t="b">
        <v>1</v>
      </c>
      <c r="I77" s="174" t="b">
        <v>0</v>
      </c>
      <c r="J77" s="174">
        <v>1.19</v>
      </c>
      <c r="K77" s="174">
        <v>180</v>
      </c>
      <c r="L77" s="174">
        <v>2.2000000000000002</v>
      </c>
      <c r="M77" s="178">
        <v>40746</v>
      </c>
      <c r="O77" s="179">
        <f>VLOOKUP(K77,'Cost Model '!$G$11:$J$200,4,FALSE)</f>
        <v>122.20000000000032</v>
      </c>
      <c r="R77" s="162" t="str">
        <f t="shared" si="3"/>
        <v>YES</v>
      </c>
      <c r="S77" s="162" t="str">
        <f t="shared" si="0"/>
        <v>YES</v>
      </c>
      <c r="T77" s="162" t="str">
        <f t="shared" si="1"/>
        <v>YES</v>
      </c>
      <c r="U77" s="162" t="str">
        <f t="shared" si="2"/>
        <v>YES</v>
      </c>
    </row>
    <row r="78" spans="1:21" ht="15">
      <c r="A78" s="174">
        <v>4343</v>
      </c>
      <c r="B78" s="174" t="s">
        <v>285</v>
      </c>
      <c r="C78" s="174" t="s">
        <v>286</v>
      </c>
      <c r="D78" s="174" t="s">
        <v>331</v>
      </c>
      <c r="E78" s="174" t="s">
        <v>271</v>
      </c>
      <c r="F78" s="174">
        <v>14</v>
      </c>
      <c r="G78" s="174">
        <v>0.88</v>
      </c>
      <c r="H78" s="174" t="b">
        <v>1</v>
      </c>
      <c r="I78" s="174" t="b">
        <v>0</v>
      </c>
      <c r="J78" s="174">
        <v>1.1299999999999999</v>
      </c>
      <c r="K78" s="174">
        <v>190</v>
      </c>
      <c r="L78" s="174">
        <v>2.9</v>
      </c>
      <c r="M78" s="178">
        <v>40746</v>
      </c>
      <c r="O78" s="179">
        <f>VLOOKUP(K78,'Cost Model '!$G$11:$J$200,4,FALSE)</f>
        <v>116.00000000000027</v>
      </c>
      <c r="R78" s="162" t="str">
        <f t="shared" si="3"/>
        <v>YES</v>
      </c>
      <c r="S78" s="162" t="str">
        <f t="shared" si="0"/>
        <v>YES</v>
      </c>
      <c r="T78" s="162" t="str">
        <f t="shared" si="1"/>
        <v>YES</v>
      </c>
      <c r="U78" s="162" t="str">
        <f t="shared" si="2"/>
        <v>YES</v>
      </c>
    </row>
    <row r="79" spans="1:21" ht="15">
      <c r="A79" s="174">
        <v>4350</v>
      </c>
      <c r="B79" s="174" t="s">
        <v>285</v>
      </c>
      <c r="C79" s="174" t="s">
        <v>286</v>
      </c>
      <c r="D79" s="174" t="s">
        <v>332</v>
      </c>
      <c r="E79" s="174" t="s">
        <v>271</v>
      </c>
      <c r="F79" s="174">
        <v>14</v>
      </c>
      <c r="G79" s="174">
        <v>0.93</v>
      </c>
      <c r="H79" s="174" t="b">
        <v>1</v>
      </c>
      <c r="I79" s="174" t="b">
        <v>0</v>
      </c>
      <c r="J79" s="174">
        <v>1.07</v>
      </c>
      <c r="K79" s="174">
        <v>200</v>
      </c>
      <c r="L79" s="174">
        <v>2.2000000000000002</v>
      </c>
      <c r="M79" s="178">
        <v>40746</v>
      </c>
      <c r="O79" s="179">
        <f>VLOOKUP(K79,'Cost Model '!$G$11:$J$200,4,FALSE)</f>
        <v>109.80000000000022</v>
      </c>
      <c r="R79" s="162" t="str">
        <f t="shared" si="3"/>
        <v>YES</v>
      </c>
      <c r="S79" s="162" t="str">
        <f t="shared" si="0"/>
        <v>YES</v>
      </c>
      <c r="T79" s="162" t="str">
        <f t="shared" si="1"/>
        <v>YES</v>
      </c>
      <c r="U79" s="162" t="str">
        <f t="shared" si="2"/>
        <v>YES</v>
      </c>
    </row>
    <row r="80" spans="1:21" ht="15">
      <c r="A80" s="174">
        <v>4438</v>
      </c>
      <c r="B80" s="174" t="s">
        <v>285</v>
      </c>
      <c r="C80" s="174" t="s">
        <v>286</v>
      </c>
      <c r="D80" s="174" t="s">
        <v>333</v>
      </c>
      <c r="E80" s="174" t="s">
        <v>271</v>
      </c>
      <c r="F80" s="174">
        <v>14</v>
      </c>
      <c r="G80" s="174">
        <v>1.2</v>
      </c>
      <c r="H80" s="174" t="b">
        <v>1</v>
      </c>
      <c r="I80" s="174" t="b">
        <v>0</v>
      </c>
      <c r="J80" s="174">
        <v>0.83</v>
      </c>
      <c r="K80" s="174">
        <v>259</v>
      </c>
      <c r="L80" s="174">
        <v>3</v>
      </c>
      <c r="M80" s="178">
        <v>40812</v>
      </c>
      <c r="O80" s="179">
        <f>VLOOKUP(K80,'Cost Model '!$G$11:$J$200,4,FALSE)</f>
        <v>60.49999999999995</v>
      </c>
      <c r="R80" s="162" t="str">
        <f t="shared" si="3"/>
        <v>YES</v>
      </c>
      <c r="S80" s="162" t="str">
        <f t="shared" si="0"/>
        <v>YES</v>
      </c>
      <c r="T80" s="162" t="str">
        <f t="shared" si="1"/>
        <v>YES</v>
      </c>
      <c r="U80" s="162" t="str">
        <f t="shared" si="2"/>
        <v>YES</v>
      </c>
    </row>
    <row r="81" spans="1:21" ht="15">
      <c r="A81" s="174">
        <v>4439</v>
      </c>
      <c r="B81" s="174" t="s">
        <v>285</v>
      </c>
      <c r="C81" s="174" t="s">
        <v>286</v>
      </c>
      <c r="D81" s="174" t="s">
        <v>334</v>
      </c>
      <c r="E81" s="174" t="s">
        <v>271</v>
      </c>
      <c r="F81" s="174">
        <v>14</v>
      </c>
      <c r="G81" s="174">
        <v>1.2</v>
      </c>
      <c r="H81" s="174" t="b">
        <v>1</v>
      </c>
      <c r="I81" s="174" t="b">
        <v>0</v>
      </c>
      <c r="J81" s="174">
        <v>0.83</v>
      </c>
      <c r="K81" s="174">
        <v>259</v>
      </c>
      <c r="L81" s="174">
        <v>3</v>
      </c>
      <c r="M81" s="178">
        <v>40812</v>
      </c>
      <c r="O81" s="179">
        <f>VLOOKUP(K81,'Cost Model '!$G$11:$J$200,4,FALSE)</f>
        <v>60.49999999999995</v>
      </c>
      <c r="R81" s="162" t="str">
        <f t="shared" si="3"/>
        <v>YES</v>
      </c>
      <c r="S81" s="162" t="str">
        <f t="shared" si="0"/>
        <v>YES</v>
      </c>
      <c r="T81" s="162" t="str">
        <f t="shared" si="1"/>
        <v>YES</v>
      </c>
      <c r="U81" s="162" t="str">
        <f t="shared" si="2"/>
        <v>YES</v>
      </c>
    </row>
    <row r="82" spans="1:21" ht="15">
      <c r="A82" s="174">
        <v>4440</v>
      </c>
      <c r="B82" s="174" t="s">
        <v>285</v>
      </c>
      <c r="C82" s="174" t="s">
        <v>286</v>
      </c>
      <c r="D82" s="174" t="s">
        <v>335</v>
      </c>
      <c r="E82" s="174" t="s">
        <v>271</v>
      </c>
      <c r="F82" s="174">
        <v>14</v>
      </c>
      <c r="G82" s="174">
        <v>1.2</v>
      </c>
      <c r="H82" s="174" t="b">
        <v>1</v>
      </c>
      <c r="I82" s="174" t="b">
        <v>0</v>
      </c>
      <c r="J82" s="174">
        <v>0.83</v>
      </c>
      <c r="K82" s="174">
        <v>259</v>
      </c>
      <c r="L82" s="174">
        <v>3</v>
      </c>
      <c r="M82" s="178">
        <v>40812</v>
      </c>
      <c r="O82" s="179">
        <f>VLOOKUP(K82,'Cost Model '!$G$11:$J$200,4,FALSE)</f>
        <v>60.49999999999995</v>
      </c>
      <c r="R82" s="162" t="str">
        <f t="shared" si="3"/>
        <v>YES</v>
      </c>
      <c r="S82" s="162" t="str">
        <f t="shared" si="0"/>
        <v>YES</v>
      </c>
      <c r="T82" s="162" t="str">
        <f t="shared" si="1"/>
        <v>YES</v>
      </c>
      <c r="U82" s="162" t="str">
        <f t="shared" si="2"/>
        <v>YES</v>
      </c>
    </row>
    <row r="83" spans="1:21" ht="15">
      <c r="A83" s="174">
        <v>4279</v>
      </c>
      <c r="B83" s="174" t="s">
        <v>285</v>
      </c>
      <c r="C83" s="174" t="s">
        <v>336</v>
      </c>
      <c r="D83" s="174" t="s">
        <v>337</v>
      </c>
      <c r="E83" s="174" t="s">
        <v>271</v>
      </c>
      <c r="F83" s="174">
        <v>14</v>
      </c>
      <c r="G83" s="174">
        <v>1.35</v>
      </c>
      <c r="H83" s="174" t="b">
        <v>1</v>
      </c>
      <c r="I83" s="174" t="b">
        <v>0</v>
      </c>
      <c r="J83" s="174">
        <v>0.74</v>
      </c>
      <c r="K83" s="174">
        <v>290</v>
      </c>
      <c r="L83" s="174">
        <v>3.7</v>
      </c>
      <c r="M83" s="178">
        <v>40746</v>
      </c>
      <c r="O83" s="179">
        <f>VLOOKUP(K83,'Cost Model '!$G$11:$J$200,4,FALSE)</f>
        <v>24.849999999999991</v>
      </c>
      <c r="R83" s="162" t="str">
        <f t="shared" si="3"/>
        <v>YES</v>
      </c>
      <c r="S83" s="162" t="str">
        <f t="shared" si="0"/>
        <v>YES</v>
      </c>
      <c r="T83" s="162" t="str">
        <f t="shared" si="1"/>
        <v>YES</v>
      </c>
      <c r="U83" s="162" t="str">
        <f t="shared" si="2"/>
        <v>No</v>
      </c>
    </row>
    <row r="84" spans="1:21" ht="15">
      <c r="A84" s="174">
        <v>4317</v>
      </c>
      <c r="B84" s="174" t="s">
        <v>285</v>
      </c>
      <c r="C84" s="174" t="s">
        <v>336</v>
      </c>
      <c r="D84" s="174" t="s">
        <v>338</v>
      </c>
      <c r="E84" s="174" t="s">
        <v>271</v>
      </c>
      <c r="F84" s="174">
        <v>14</v>
      </c>
      <c r="G84" s="174">
        <v>0.84</v>
      </c>
      <c r="H84" s="174" t="b">
        <v>1</v>
      </c>
      <c r="I84" s="174" t="b">
        <v>0</v>
      </c>
      <c r="J84" s="174">
        <v>1.19</v>
      </c>
      <c r="K84" s="174">
        <v>180</v>
      </c>
      <c r="L84" s="174">
        <v>2.5</v>
      </c>
      <c r="M84" s="178">
        <v>40746</v>
      </c>
      <c r="O84" s="179">
        <f>VLOOKUP(K84,'Cost Model '!$G$11:$J$200,4,FALSE)</f>
        <v>122.20000000000032</v>
      </c>
      <c r="R84" s="162" t="str">
        <f t="shared" si="3"/>
        <v>YES</v>
      </c>
      <c r="S84" s="162" t="str">
        <f t="shared" si="0"/>
        <v>YES</v>
      </c>
      <c r="T84" s="162" t="str">
        <f t="shared" si="1"/>
        <v>YES</v>
      </c>
      <c r="U84" s="162" t="str">
        <f t="shared" si="2"/>
        <v>YES</v>
      </c>
    </row>
    <row r="85" spans="1:21" ht="15">
      <c r="A85" s="174">
        <v>4316</v>
      </c>
      <c r="B85" s="174" t="s">
        <v>285</v>
      </c>
      <c r="C85" s="174" t="s">
        <v>336</v>
      </c>
      <c r="D85" s="174" t="s">
        <v>339</v>
      </c>
      <c r="E85" s="174" t="s">
        <v>271</v>
      </c>
      <c r="F85" s="174">
        <v>14</v>
      </c>
      <c r="G85" s="174">
        <v>0.84</v>
      </c>
      <c r="H85" s="174" t="b">
        <v>1</v>
      </c>
      <c r="I85" s="174" t="b">
        <v>0</v>
      </c>
      <c r="J85" s="174">
        <v>1.19</v>
      </c>
      <c r="K85" s="174">
        <v>180</v>
      </c>
      <c r="L85" s="174">
        <v>2.5</v>
      </c>
      <c r="M85" s="178">
        <v>40746</v>
      </c>
      <c r="O85" s="179">
        <f>VLOOKUP(K85,'Cost Model '!$G$11:$J$200,4,FALSE)</f>
        <v>122.20000000000032</v>
      </c>
      <c r="R85" s="162" t="str">
        <f t="shared" si="3"/>
        <v>YES</v>
      </c>
      <c r="S85" s="162" t="str">
        <f t="shared" ref="S85:S148" si="4">IF(AND($K85&gt;=$S$7,$K85&lt;=$S$8,$L85&lt;=$S$9),"YES","No")</f>
        <v>YES</v>
      </c>
      <c r="T85" s="162" t="str">
        <f t="shared" ref="T85:T148" si="5">IF(AND($K85&gt;=$T$7,$K85&lt;=$T$8,$L85&lt;=$T$9),"YES","No")</f>
        <v>YES</v>
      </c>
      <c r="U85" s="162" t="str">
        <f t="shared" ref="U85:U148" si="6">IF(AND($K85&gt;=$U$7,$K85&lt;=$U$8,$L85&lt;=$U$9,J85&gt;=$U$11),"YES","No")</f>
        <v>YES</v>
      </c>
    </row>
    <row r="86" spans="1:21" ht="15">
      <c r="A86" s="174">
        <v>4476</v>
      </c>
      <c r="B86" s="174" t="s">
        <v>285</v>
      </c>
      <c r="C86" s="174" t="s">
        <v>340</v>
      </c>
      <c r="D86" s="174" t="s">
        <v>341</v>
      </c>
      <c r="E86" s="174" t="s">
        <v>271</v>
      </c>
      <c r="F86" s="174">
        <v>14</v>
      </c>
      <c r="G86" s="174">
        <v>1.3</v>
      </c>
      <c r="H86" s="174" t="b">
        <v>1</v>
      </c>
      <c r="I86" s="174" t="b">
        <v>0</v>
      </c>
      <c r="J86" s="174">
        <v>0.76</v>
      </c>
      <c r="K86" s="174">
        <v>280</v>
      </c>
      <c r="L86" s="174">
        <v>3.7</v>
      </c>
      <c r="M86" s="178">
        <v>40855</v>
      </c>
      <c r="O86" s="179">
        <f>VLOOKUP(K86,'Cost Model '!$G$11:$J$200,4,FALSE)</f>
        <v>36.34999999999998</v>
      </c>
      <c r="R86" s="162" t="str">
        <f t="shared" ref="R86:R149" si="7">IF(AND($K86&gt;=$R$7,$K86&lt;=$R$8,$L86&lt;=$R$9),"YES","No")</f>
        <v>YES</v>
      </c>
      <c r="S86" s="162" t="str">
        <f t="shared" si="4"/>
        <v>YES</v>
      </c>
      <c r="T86" s="162" t="str">
        <f t="shared" si="5"/>
        <v>YES</v>
      </c>
      <c r="U86" s="162" t="str">
        <f t="shared" si="6"/>
        <v>YES</v>
      </c>
    </row>
    <row r="87" spans="1:21" ht="15">
      <c r="A87" s="174">
        <v>4477</v>
      </c>
      <c r="B87" s="174" t="s">
        <v>285</v>
      </c>
      <c r="C87" s="174" t="s">
        <v>340</v>
      </c>
      <c r="D87" s="174" t="s">
        <v>342</v>
      </c>
      <c r="E87" s="174" t="s">
        <v>271</v>
      </c>
      <c r="F87" s="174">
        <v>14</v>
      </c>
      <c r="G87" s="174">
        <v>1.3</v>
      </c>
      <c r="H87" s="174" t="b">
        <v>1</v>
      </c>
      <c r="I87" s="174" t="b">
        <v>0</v>
      </c>
      <c r="J87" s="174">
        <v>0.76</v>
      </c>
      <c r="K87" s="174">
        <v>280</v>
      </c>
      <c r="L87" s="174">
        <v>3.7</v>
      </c>
      <c r="M87" s="178">
        <v>40855</v>
      </c>
      <c r="O87" s="179">
        <f>VLOOKUP(K87,'Cost Model '!$G$11:$J$200,4,FALSE)</f>
        <v>36.34999999999998</v>
      </c>
      <c r="R87" s="162" t="str">
        <f t="shared" si="7"/>
        <v>YES</v>
      </c>
      <c r="S87" s="162" t="str">
        <f t="shared" si="4"/>
        <v>YES</v>
      </c>
      <c r="T87" s="162" t="str">
        <f t="shared" si="5"/>
        <v>YES</v>
      </c>
      <c r="U87" s="162" t="str">
        <f t="shared" si="6"/>
        <v>YES</v>
      </c>
    </row>
    <row r="88" spans="1:21" ht="15">
      <c r="A88" s="174">
        <v>4475</v>
      </c>
      <c r="B88" s="174" t="s">
        <v>285</v>
      </c>
      <c r="C88" s="174" t="s">
        <v>340</v>
      </c>
      <c r="D88" s="174" t="s">
        <v>343</v>
      </c>
      <c r="E88" s="174" t="s">
        <v>271</v>
      </c>
      <c r="F88" s="174">
        <v>14</v>
      </c>
      <c r="G88" s="174">
        <v>1.37</v>
      </c>
      <c r="H88" s="174" t="b">
        <v>1</v>
      </c>
      <c r="I88" s="174" t="b">
        <v>0</v>
      </c>
      <c r="J88" s="174">
        <v>0.72</v>
      </c>
      <c r="K88" s="174">
        <v>295</v>
      </c>
      <c r="L88" s="174">
        <v>4.2</v>
      </c>
      <c r="M88" s="178">
        <v>40855</v>
      </c>
      <c r="O88" s="179">
        <f>VLOOKUP(K88,'Cost Model '!$G$11:$J$200,4,FALSE)</f>
        <v>19.099999999999998</v>
      </c>
      <c r="R88" s="162" t="str">
        <f t="shared" si="7"/>
        <v>YES</v>
      </c>
      <c r="S88" s="162" t="str">
        <f t="shared" si="4"/>
        <v>YES</v>
      </c>
      <c r="T88" s="162" t="str">
        <f t="shared" si="5"/>
        <v>YES</v>
      </c>
      <c r="U88" s="162" t="str">
        <f t="shared" si="6"/>
        <v>No</v>
      </c>
    </row>
    <row r="89" spans="1:21" ht="15">
      <c r="A89" s="174">
        <v>4479</v>
      </c>
      <c r="B89" s="174" t="s">
        <v>285</v>
      </c>
      <c r="C89" s="174" t="s">
        <v>344</v>
      </c>
      <c r="D89" s="174" t="s">
        <v>345</v>
      </c>
      <c r="E89" s="174" t="s">
        <v>271</v>
      </c>
      <c r="F89" s="174">
        <v>14</v>
      </c>
      <c r="G89" s="174">
        <v>1.37</v>
      </c>
      <c r="H89" s="174" t="b">
        <v>1</v>
      </c>
      <c r="I89" s="174" t="b">
        <v>0</v>
      </c>
      <c r="J89" s="174">
        <v>0.72</v>
      </c>
      <c r="K89" s="174">
        <v>295</v>
      </c>
      <c r="L89" s="174">
        <v>3</v>
      </c>
      <c r="M89" s="178">
        <v>40855</v>
      </c>
      <c r="O89" s="179">
        <f>VLOOKUP(K89,'Cost Model '!$G$11:$J$200,4,FALSE)</f>
        <v>19.099999999999998</v>
      </c>
      <c r="R89" s="162" t="str">
        <f t="shared" si="7"/>
        <v>YES</v>
      </c>
      <c r="S89" s="162" t="str">
        <f t="shared" si="4"/>
        <v>YES</v>
      </c>
      <c r="T89" s="162" t="str">
        <f t="shared" si="5"/>
        <v>YES</v>
      </c>
      <c r="U89" s="162" t="str">
        <f t="shared" si="6"/>
        <v>No</v>
      </c>
    </row>
    <row r="90" spans="1:21" ht="15">
      <c r="A90" s="174">
        <v>4450</v>
      </c>
      <c r="B90" s="174" t="s">
        <v>285</v>
      </c>
      <c r="C90" s="174" t="s">
        <v>344</v>
      </c>
      <c r="D90" s="174" t="s">
        <v>346</v>
      </c>
      <c r="E90" s="174" t="s">
        <v>271</v>
      </c>
      <c r="F90" s="174">
        <v>14</v>
      </c>
      <c r="G90" s="174">
        <v>1.28</v>
      </c>
      <c r="H90" s="174" t="b">
        <v>1</v>
      </c>
      <c r="I90" s="174" t="b">
        <v>0</v>
      </c>
      <c r="J90" s="174">
        <v>0.78</v>
      </c>
      <c r="K90" s="174">
        <v>279</v>
      </c>
      <c r="L90" s="174">
        <v>2.9</v>
      </c>
      <c r="M90" s="178">
        <v>40833</v>
      </c>
      <c r="O90" s="179">
        <f>VLOOKUP(K90,'Cost Model '!$G$11:$J$200,4,FALSE)</f>
        <v>37.499999999999979</v>
      </c>
      <c r="R90" s="162" t="str">
        <f t="shared" si="7"/>
        <v>YES</v>
      </c>
      <c r="S90" s="162" t="str">
        <f t="shared" si="4"/>
        <v>YES</v>
      </c>
      <c r="T90" s="162" t="str">
        <f t="shared" si="5"/>
        <v>YES</v>
      </c>
      <c r="U90" s="162" t="str">
        <f t="shared" si="6"/>
        <v>YES</v>
      </c>
    </row>
    <row r="91" spans="1:21" ht="15">
      <c r="A91" s="174">
        <v>4451</v>
      </c>
      <c r="B91" s="174" t="s">
        <v>285</v>
      </c>
      <c r="C91" s="174" t="s">
        <v>344</v>
      </c>
      <c r="D91" s="174" t="s">
        <v>347</v>
      </c>
      <c r="E91" s="174" t="s">
        <v>271</v>
      </c>
      <c r="F91" s="174">
        <v>14</v>
      </c>
      <c r="G91" s="174">
        <v>1.19</v>
      </c>
      <c r="H91" s="174" t="b">
        <v>1</v>
      </c>
      <c r="I91" s="174" t="b">
        <v>0</v>
      </c>
      <c r="J91" s="174">
        <v>0.83</v>
      </c>
      <c r="K91" s="174">
        <v>260</v>
      </c>
      <c r="L91" s="174">
        <v>2.9</v>
      </c>
      <c r="M91" s="178">
        <v>40833</v>
      </c>
      <c r="O91" s="179">
        <f>VLOOKUP(K91,'Cost Model '!$G$11:$J$200,4,FALSE)</f>
        <v>59.349999999999952</v>
      </c>
      <c r="R91" s="162" t="str">
        <f t="shared" si="7"/>
        <v>YES</v>
      </c>
      <c r="S91" s="162" t="str">
        <f t="shared" si="4"/>
        <v>YES</v>
      </c>
      <c r="T91" s="162" t="str">
        <f t="shared" si="5"/>
        <v>YES</v>
      </c>
      <c r="U91" s="162" t="str">
        <f t="shared" si="6"/>
        <v>YES</v>
      </c>
    </row>
    <row r="92" spans="1:21" ht="15">
      <c r="A92" s="174">
        <v>4452</v>
      </c>
      <c r="B92" s="174" t="s">
        <v>285</v>
      </c>
      <c r="C92" s="174" t="s">
        <v>344</v>
      </c>
      <c r="D92" s="174" t="s">
        <v>348</v>
      </c>
      <c r="E92" s="174" t="s">
        <v>271</v>
      </c>
      <c r="F92" s="174">
        <v>14</v>
      </c>
      <c r="G92" s="174">
        <v>1.19</v>
      </c>
      <c r="H92" s="174" t="b">
        <v>1</v>
      </c>
      <c r="I92" s="174" t="b">
        <v>0</v>
      </c>
      <c r="J92" s="174">
        <v>0.83</v>
      </c>
      <c r="K92" s="174">
        <v>260</v>
      </c>
      <c r="L92" s="174">
        <v>2.9</v>
      </c>
      <c r="M92" s="178">
        <v>40833</v>
      </c>
      <c r="O92" s="179">
        <f>VLOOKUP(K92,'Cost Model '!$G$11:$J$200,4,FALSE)</f>
        <v>59.349999999999952</v>
      </c>
      <c r="R92" s="162" t="str">
        <f t="shared" si="7"/>
        <v>YES</v>
      </c>
      <c r="S92" s="162" t="str">
        <f t="shared" si="4"/>
        <v>YES</v>
      </c>
      <c r="T92" s="162" t="str">
        <f t="shared" si="5"/>
        <v>YES</v>
      </c>
      <c r="U92" s="162" t="str">
        <f t="shared" si="6"/>
        <v>YES</v>
      </c>
    </row>
    <row r="93" spans="1:21" ht="15">
      <c r="A93" s="174">
        <v>4668</v>
      </c>
      <c r="B93" s="174" t="s">
        <v>349</v>
      </c>
      <c r="C93" s="174" t="s">
        <v>350</v>
      </c>
      <c r="D93" s="174" t="s">
        <v>351</v>
      </c>
      <c r="E93" s="174" t="s">
        <v>271</v>
      </c>
      <c r="F93" s="174">
        <v>8</v>
      </c>
      <c r="G93" s="174">
        <v>1.38</v>
      </c>
      <c r="H93" s="174" t="b">
        <v>1</v>
      </c>
      <c r="I93" s="174" t="b">
        <v>1</v>
      </c>
      <c r="J93" s="174">
        <v>0.72</v>
      </c>
      <c r="K93" s="174">
        <v>299</v>
      </c>
      <c r="L93" s="174">
        <v>4</v>
      </c>
      <c r="M93" s="178">
        <v>41110</v>
      </c>
      <c r="O93" s="179">
        <f>VLOOKUP(K93,'Cost Model '!$G$11:$J$200,4,FALSE)</f>
        <v>15.97</v>
      </c>
      <c r="R93" s="162" t="str">
        <f t="shared" si="7"/>
        <v>YES</v>
      </c>
      <c r="S93" s="162" t="str">
        <f t="shared" si="4"/>
        <v>YES</v>
      </c>
      <c r="T93" s="162" t="str">
        <f t="shared" si="5"/>
        <v>No</v>
      </c>
      <c r="U93" s="162" t="str">
        <f t="shared" si="6"/>
        <v>No</v>
      </c>
    </row>
    <row r="94" spans="1:21" ht="15">
      <c r="A94" s="174">
        <v>4598</v>
      </c>
      <c r="B94" s="174" t="s">
        <v>349</v>
      </c>
      <c r="C94" s="174" t="s">
        <v>350</v>
      </c>
      <c r="D94" s="174" t="s">
        <v>352</v>
      </c>
      <c r="E94" s="174" t="s">
        <v>271</v>
      </c>
      <c r="F94" s="174">
        <v>8</v>
      </c>
      <c r="G94" s="174">
        <v>1.4</v>
      </c>
      <c r="H94" s="174" t="b">
        <v>1</v>
      </c>
      <c r="I94" s="174" t="b">
        <v>1</v>
      </c>
      <c r="J94" s="174">
        <v>0.71</v>
      </c>
      <c r="K94" s="174">
        <v>302</v>
      </c>
      <c r="L94" s="174">
        <v>4.8</v>
      </c>
      <c r="M94" s="178">
        <v>40967</v>
      </c>
      <c r="O94" s="179">
        <f>VLOOKUP(K94,'Cost Model '!$G$11:$J$200,4,FALSE)</f>
        <v>13.99</v>
      </c>
      <c r="R94" s="162" t="str">
        <f t="shared" si="7"/>
        <v>YES</v>
      </c>
      <c r="S94" s="162" t="str">
        <f t="shared" si="4"/>
        <v>YES</v>
      </c>
      <c r="T94" s="162" t="str">
        <f t="shared" si="5"/>
        <v>No</v>
      </c>
      <c r="U94" s="162" t="str">
        <f t="shared" si="6"/>
        <v>No</v>
      </c>
    </row>
    <row r="95" spans="1:21" ht="15">
      <c r="A95" s="174">
        <v>4669</v>
      </c>
      <c r="B95" s="174" t="s">
        <v>349</v>
      </c>
      <c r="C95" s="174" t="s">
        <v>350</v>
      </c>
      <c r="D95" s="174" t="s">
        <v>353</v>
      </c>
      <c r="E95" s="174" t="s">
        <v>271</v>
      </c>
      <c r="F95" s="174">
        <v>8</v>
      </c>
      <c r="G95" s="174">
        <v>1.22</v>
      </c>
      <c r="H95" s="174" t="b">
        <v>1</v>
      </c>
      <c r="I95" s="174" t="b">
        <v>1</v>
      </c>
      <c r="J95" s="174">
        <v>0.82</v>
      </c>
      <c r="K95" s="174">
        <v>263</v>
      </c>
      <c r="L95" s="174">
        <v>4.0999999999999996</v>
      </c>
      <c r="M95" s="178">
        <v>41110</v>
      </c>
      <c r="O95" s="179">
        <f>VLOOKUP(K95,'Cost Model '!$G$11:$J$200,4,FALSE)</f>
        <v>55.899999999999956</v>
      </c>
      <c r="R95" s="162" t="str">
        <f t="shared" si="7"/>
        <v>YES</v>
      </c>
      <c r="S95" s="162" t="str">
        <f t="shared" si="4"/>
        <v>YES</v>
      </c>
      <c r="T95" s="162" t="str">
        <f t="shared" si="5"/>
        <v>YES</v>
      </c>
      <c r="U95" s="162" t="str">
        <f t="shared" si="6"/>
        <v>YES</v>
      </c>
    </row>
    <row r="96" spans="1:21" ht="15">
      <c r="A96" s="174">
        <v>4599</v>
      </c>
      <c r="B96" s="174" t="s">
        <v>349</v>
      </c>
      <c r="C96" s="174" t="s">
        <v>350</v>
      </c>
      <c r="D96" s="174" t="s">
        <v>354</v>
      </c>
      <c r="E96" s="174" t="s">
        <v>271</v>
      </c>
      <c r="F96" s="174">
        <v>8</v>
      </c>
      <c r="G96" s="174">
        <v>1.4</v>
      </c>
      <c r="H96" s="174" t="b">
        <v>1</v>
      </c>
      <c r="I96" s="174" t="b">
        <v>1</v>
      </c>
      <c r="J96" s="174">
        <v>0.71</v>
      </c>
      <c r="K96" s="174">
        <v>302</v>
      </c>
      <c r="L96" s="174">
        <v>4.8</v>
      </c>
      <c r="M96" s="178">
        <v>40967</v>
      </c>
      <c r="O96" s="179">
        <f>VLOOKUP(K96,'Cost Model '!$G$11:$J$200,4,FALSE)</f>
        <v>13.99</v>
      </c>
      <c r="R96" s="162" t="str">
        <f t="shared" si="7"/>
        <v>YES</v>
      </c>
      <c r="S96" s="162" t="str">
        <f t="shared" si="4"/>
        <v>YES</v>
      </c>
      <c r="T96" s="162" t="str">
        <f t="shared" si="5"/>
        <v>No</v>
      </c>
      <c r="U96" s="162" t="str">
        <f t="shared" si="6"/>
        <v>No</v>
      </c>
    </row>
    <row r="97" spans="1:21" ht="15">
      <c r="A97" s="174">
        <v>4670</v>
      </c>
      <c r="B97" s="174" t="s">
        <v>349</v>
      </c>
      <c r="C97" s="174" t="s">
        <v>350</v>
      </c>
      <c r="D97" s="174" t="s">
        <v>355</v>
      </c>
      <c r="E97" s="174" t="s">
        <v>271</v>
      </c>
      <c r="F97" s="174">
        <v>8</v>
      </c>
      <c r="G97" s="174">
        <v>1.21</v>
      </c>
      <c r="H97" s="174" t="b">
        <v>1</v>
      </c>
      <c r="I97" s="174" t="b">
        <v>1</v>
      </c>
      <c r="J97" s="174">
        <v>0.82</v>
      </c>
      <c r="K97" s="174">
        <v>261</v>
      </c>
      <c r="L97" s="174">
        <v>4.0999999999999996</v>
      </c>
      <c r="M97" s="178">
        <v>41110</v>
      </c>
      <c r="O97" s="179">
        <f>VLOOKUP(K97,'Cost Model '!$G$11:$J$200,4,FALSE)</f>
        <v>58.199999999999953</v>
      </c>
      <c r="R97" s="162" t="str">
        <f t="shared" si="7"/>
        <v>YES</v>
      </c>
      <c r="S97" s="162" t="str">
        <f t="shared" si="4"/>
        <v>YES</v>
      </c>
      <c r="T97" s="162" t="str">
        <f t="shared" si="5"/>
        <v>YES</v>
      </c>
      <c r="U97" s="162" t="str">
        <f t="shared" si="6"/>
        <v>YES</v>
      </c>
    </row>
    <row r="98" spans="1:21" ht="15">
      <c r="A98" s="174">
        <v>4480</v>
      </c>
      <c r="B98" s="174" t="s">
        <v>349</v>
      </c>
      <c r="C98" s="174" t="s">
        <v>356</v>
      </c>
      <c r="D98" s="174" t="s">
        <v>357</v>
      </c>
      <c r="E98" s="174" t="s">
        <v>271</v>
      </c>
      <c r="F98" s="174">
        <v>8</v>
      </c>
      <c r="G98" s="174">
        <v>1.18</v>
      </c>
      <c r="H98" s="174" t="b">
        <v>1</v>
      </c>
      <c r="I98" s="174" t="b">
        <v>1</v>
      </c>
      <c r="J98" s="174">
        <v>0.84</v>
      </c>
      <c r="K98" s="174">
        <v>255</v>
      </c>
      <c r="L98" s="174">
        <v>3</v>
      </c>
      <c r="M98" s="178">
        <v>40869</v>
      </c>
      <c r="O98" s="179">
        <f>VLOOKUP(K98,'Cost Model '!$G$11:$J$200,4,FALSE)</f>
        <v>65.099999999999952</v>
      </c>
      <c r="R98" s="162" t="str">
        <f t="shared" si="7"/>
        <v>YES</v>
      </c>
      <c r="S98" s="162" t="str">
        <f t="shared" si="4"/>
        <v>YES</v>
      </c>
      <c r="T98" s="162" t="str">
        <f t="shared" si="5"/>
        <v>YES</v>
      </c>
      <c r="U98" s="162" t="str">
        <f t="shared" si="6"/>
        <v>YES</v>
      </c>
    </row>
    <row r="99" spans="1:21" ht="15">
      <c r="A99" s="174">
        <v>4481</v>
      </c>
      <c r="B99" s="174" t="s">
        <v>349</v>
      </c>
      <c r="C99" s="174" t="s">
        <v>356</v>
      </c>
      <c r="D99" s="174" t="s">
        <v>358</v>
      </c>
      <c r="E99" s="174" t="s">
        <v>271</v>
      </c>
      <c r="F99" s="174">
        <v>8</v>
      </c>
      <c r="G99" s="174">
        <v>1.18</v>
      </c>
      <c r="H99" s="174" t="b">
        <v>1</v>
      </c>
      <c r="I99" s="174" t="b">
        <v>1</v>
      </c>
      <c r="J99" s="174">
        <v>0.84</v>
      </c>
      <c r="K99" s="174">
        <v>255</v>
      </c>
      <c r="L99" s="174">
        <v>3</v>
      </c>
      <c r="M99" s="178">
        <v>40869</v>
      </c>
      <c r="O99" s="179">
        <f>VLOOKUP(K99,'Cost Model '!$G$11:$J$200,4,FALSE)</f>
        <v>65.099999999999952</v>
      </c>
      <c r="R99" s="162" t="str">
        <f t="shared" si="7"/>
        <v>YES</v>
      </c>
      <c r="S99" s="162" t="str">
        <f t="shared" si="4"/>
        <v>YES</v>
      </c>
      <c r="T99" s="162" t="str">
        <f t="shared" si="5"/>
        <v>YES</v>
      </c>
      <c r="U99" s="162" t="str">
        <f t="shared" si="6"/>
        <v>YES</v>
      </c>
    </row>
    <row r="100" spans="1:21" ht="15">
      <c r="A100" s="174">
        <v>4482</v>
      </c>
      <c r="B100" s="174" t="s">
        <v>349</v>
      </c>
      <c r="C100" s="174" t="s">
        <v>356</v>
      </c>
      <c r="D100" s="174" t="s">
        <v>359</v>
      </c>
      <c r="E100" s="174" t="s">
        <v>271</v>
      </c>
      <c r="F100" s="174">
        <v>8</v>
      </c>
      <c r="G100" s="174">
        <v>1.18</v>
      </c>
      <c r="H100" s="174" t="b">
        <v>1</v>
      </c>
      <c r="I100" s="174" t="b">
        <v>1</v>
      </c>
      <c r="J100" s="174">
        <v>0.84</v>
      </c>
      <c r="K100" s="174">
        <v>255</v>
      </c>
      <c r="L100" s="174">
        <v>3</v>
      </c>
      <c r="M100" s="178">
        <v>40869</v>
      </c>
      <c r="O100" s="179">
        <f>VLOOKUP(K100,'Cost Model '!$G$11:$J$200,4,FALSE)</f>
        <v>65.099999999999952</v>
      </c>
      <c r="R100" s="162" t="str">
        <f t="shared" si="7"/>
        <v>YES</v>
      </c>
      <c r="S100" s="162" t="str">
        <f t="shared" si="4"/>
        <v>YES</v>
      </c>
      <c r="T100" s="162" t="str">
        <f t="shared" si="5"/>
        <v>YES</v>
      </c>
      <c r="U100" s="162" t="str">
        <f t="shared" si="6"/>
        <v>YES</v>
      </c>
    </row>
    <row r="101" spans="1:21" ht="15">
      <c r="A101" s="174">
        <v>4483</v>
      </c>
      <c r="B101" s="174" t="s">
        <v>349</v>
      </c>
      <c r="C101" s="174" t="s">
        <v>356</v>
      </c>
      <c r="D101" s="174" t="s">
        <v>360</v>
      </c>
      <c r="E101" s="174" t="s">
        <v>271</v>
      </c>
      <c r="F101" s="174">
        <v>8</v>
      </c>
      <c r="G101" s="174">
        <v>1.18</v>
      </c>
      <c r="H101" s="174" t="b">
        <v>1</v>
      </c>
      <c r="I101" s="174" t="b">
        <v>1</v>
      </c>
      <c r="J101" s="174">
        <v>0.84</v>
      </c>
      <c r="K101" s="174">
        <v>255</v>
      </c>
      <c r="L101" s="174">
        <v>3</v>
      </c>
      <c r="M101" s="178">
        <v>40869</v>
      </c>
      <c r="O101" s="179">
        <f>VLOOKUP(K101,'Cost Model '!$G$11:$J$200,4,FALSE)</f>
        <v>65.099999999999952</v>
      </c>
      <c r="R101" s="162" t="str">
        <f t="shared" si="7"/>
        <v>YES</v>
      </c>
      <c r="S101" s="162" t="str">
        <f t="shared" si="4"/>
        <v>YES</v>
      </c>
      <c r="T101" s="162" t="str">
        <f t="shared" si="5"/>
        <v>YES</v>
      </c>
      <c r="U101" s="162" t="str">
        <f t="shared" si="6"/>
        <v>YES</v>
      </c>
    </row>
    <row r="102" spans="1:21" ht="15">
      <c r="A102" s="174">
        <v>4484</v>
      </c>
      <c r="B102" s="174" t="s">
        <v>349</v>
      </c>
      <c r="C102" s="174" t="s">
        <v>356</v>
      </c>
      <c r="D102" s="174" t="s">
        <v>361</v>
      </c>
      <c r="E102" s="174" t="s">
        <v>271</v>
      </c>
      <c r="F102" s="174">
        <v>8</v>
      </c>
      <c r="G102" s="174">
        <v>1.18</v>
      </c>
      <c r="H102" s="174" t="b">
        <v>1</v>
      </c>
      <c r="I102" s="174" t="b">
        <v>1</v>
      </c>
      <c r="J102" s="174">
        <v>0.84</v>
      </c>
      <c r="K102" s="174">
        <v>255</v>
      </c>
      <c r="L102" s="174">
        <v>3</v>
      </c>
      <c r="M102" s="178">
        <v>40869</v>
      </c>
      <c r="O102" s="179">
        <f>VLOOKUP(K102,'Cost Model '!$G$11:$J$200,4,FALSE)</f>
        <v>65.099999999999952</v>
      </c>
      <c r="R102" s="162" t="str">
        <f t="shared" si="7"/>
        <v>YES</v>
      </c>
      <c r="S102" s="162" t="str">
        <f t="shared" si="4"/>
        <v>YES</v>
      </c>
      <c r="T102" s="162" t="str">
        <f t="shared" si="5"/>
        <v>YES</v>
      </c>
      <c r="U102" s="162" t="str">
        <f t="shared" si="6"/>
        <v>YES</v>
      </c>
    </row>
    <row r="103" spans="1:21" ht="15">
      <c r="A103" s="174">
        <v>4228</v>
      </c>
      <c r="B103" s="174" t="s">
        <v>349</v>
      </c>
      <c r="C103" s="174" t="s">
        <v>349</v>
      </c>
      <c r="D103" s="174" t="s">
        <v>362</v>
      </c>
      <c r="E103" s="174" t="s">
        <v>271</v>
      </c>
      <c r="F103" s="174">
        <v>8</v>
      </c>
      <c r="G103" s="174">
        <v>1.26</v>
      </c>
      <c r="H103" s="174" t="b">
        <v>1</v>
      </c>
      <c r="I103" s="174" t="b">
        <v>1</v>
      </c>
      <c r="J103" s="174">
        <v>0.79</v>
      </c>
      <c r="K103" s="174">
        <v>283</v>
      </c>
      <c r="L103" s="174">
        <v>3.7</v>
      </c>
      <c r="M103" s="178">
        <v>40743</v>
      </c>
      <c r="O103" s="179">
        <f>VLOOKUP(K103,'Cost Model '!$G$11:$J$200,4,FALSE)</f>
        <v>32.899999999999984</v>
      </c>
      <c r="R103" s="162" t="str">
        <f t="shared" si="7"/>
        <v>YES</v>
      </c>
      <c r="S103" s="162" t="str">
        <f t="shared" si="4"/>
        <v>YES</v>
      </c>
      <c r="T103" s="162" t="str">
        <f t="shared" si="5"/>
        <v>YES</v>
      </c>
      <c r="U103" s="162" t="str">
        <f t="shared" si="6"/>
        <v>YES</v>
      </c>
    </row>
    <row r="104" spans="1:21" ht="15">
      <c r="A104" s="174">
        <v>3388</v>
      </c>
      <c r="B104" s="174" t="s">
        <v>349</v>
      </c>
      <c r="C104" s="174" t="s">
        <v>349</v>
      </c>
      <c r="D104" s="174" t="s">
        <v>363</v>
      </c>
      <c r="E104" s="174" t="s">
        <v>271</v>
      </c>
      <c r="F104" s="174">
        <v>8</v>
      </c>
      <c r="G104" s="174">
        <v>1.33</v>
      </c>
      <c r="H104" s="174" t="b">
        <v>1</v>
      </c>
      <c r="I104" s="174" t="b">
        <v>1</v>
      </c>
      <c r="J104" s="174">
        <v>0.75</v>
      </c>
      <c r="K104" s="174">
        <v>299</v>
      </c>
      <c r="L104" s="174">
        <v>3.1</v>
      </c>
      <c r="M104" s="178">
        <v>40406</v>
      </c>
      <c r="O104" s="179">
        <f>VLOOKUP(K104,'Cost Model '!$G$11:$J$200,4,FALSE)</f>
        <v>15.97</v>
      </c>
      <c r="R104" s="162" t="str">
        <f t="shared" si="7"/>
        <v>YES</v>
      </c>
      <c r="S104" s="162" t="str">
        <f t="shared" si="4"/>
        <v>YES</v>
      </c>
      <c r="T104" s="162" t="str">
        <f t="shared" si="5"/>
        <v>No</v>
      </c>
      <c r="U104" s="162" t="str">
        <f t="shared" si="6"/>
        <v>No</v>
      </c>
    </row>
    <row r="105" spans="1:21" ht="15">
      <c r="A105" s="174">
        <v>3389</v>
      </c>
      <c r="B105" s="174" t="s">
        <v>349</v>
      </c>
      <c r="C105" s="174" t="s">
        <v>349</v>
      </c>
      <c r="D105" s="174" t="s">
        <v>364</v>
      </c>
      <c r="E105" s="174" t="s">
        <v>271</v>
      </c>
      <c r="F105" s="174">
        <v>8</v>
      </c>
      <c r="G105" s="174">
        <v>1.18</v>
      </c>
      <c r="H105" s="174" t="b">
        <v>1</v>
      </c>
      <c r="I105" s="174" t="b">
        <v>1</v>
      </c>
      <c r="J105" s="174">
        <v>0.85</v>
      </c>
      <c r="K105" s="174">
        <v>264</v>
      </c>
      <c r="L105" s="174">
        <v>3</v>
      </c>
      <c r="M105" s="178">
        <v>40406</v>
      </c>
      <c r="O105" s="179">
        <f>VLOOKUP(K105,'Cost Model '!$G$11:$J$200,4,FALSE)</f>
        <v>54.749999999999957</v>
      </c>
      <c r="R105" s="162" t="str">
        <f t="shared" si="7"/>
        <v>YES</v>
      </c>
      <c r="S105" s="162" t="str">
        <f t="shared" si="4"/>
        <v>YES</v>
      </c>
      <c r="T105" s="162" t="str">
        <f t="shared" si="5"/>
        <v>YES</v>
      </c>
      <c r="U105" s="162" t="str">
        <f t="shared" si="6"/>
        <v>YES</v>
      </c>
    </row>
    <row r="106" spans="1:21" ht="15">
      <c r="A106" s="174">
        <v>3386</v>
      </c>
      <c r="B106" s="174" t="s">
        <v>349</v>
      </c>
      <c r="C106" s="174" t="s">
        <v>349</v>
      </c>
      <c r="D106" s="174" t="s">
        <v>365</v>
      </c>
      <c r="E106" s="174" t="s">
        <v>271</v>
      </c>
      <c r="F106" s="174">
        <v>8</v>
      </c>
      <c r="G106" s="174">
        <v>1.33</v>
      </c>
      <c r="H106" s="174" t="b">
        <v>1</v>
      </c>
      <c r="I106" s="174" t="b">
        <v>1</v>
      </c>
      <c r="J106" s="174">
        <v>0.75</v>
      </c>
      <c r="K106" s="174">
        <v>299</v>
      </c>
      <c r="L106" s="174">
        <v>3.1</v>
      </c>
      <c r="M106" s="178">
        <v>40406</v>
      </c>
      <c r="O106" s="179">
        <f>VLOOKUP(K106,'Cost Model '!$G$11:$J$200,4,FALSE)</f>
        <v>15.97</v>
      </c>
      <c r="R106" s="162" t="str">
        <f t="shared" si="7"/>
        <v>YES</v>
      </c>
      <c r="S106" s="162" t="str">
        <f t="shared" si="4"/>
        <v>YES</v>
      </c>
      <c r="T106" s="162" t="str">
        <f t="shared" si="5"/>
        <v>No</v>
      </c>
      <c r="U106" s="162" t="str">
        <f t="shared" si="6"/>
        <v>No</v>
      </c>
    </row>
    <row r="107" spans="1:21" ht="15">
      <c r="A107" s="174">
        <v>3387</v>
      </c>
      <c r="B107" s="174" t="s">
        <v>349</v>
      </c>
      <c r="C107" s="174" t="s">
        <v>349</v>
      </c>
      <c r="D107" s="174" t="s">
        <v>366</v>
      </c>
      <c r="E107" s="174" t="s">
        <v>271</v>
      </c>
      <c r="F107" s="174">
        <v>8</v>
      </c>
      <c r="G107" s="174">
        <v>1.33</v>
      </c>
      <c r="H107" s="174" t="b">
        <v>1</v>
      </c>
      <c r="I107" s="174" t="b">
        <v>1</v>
      </c>
      <c r="J107" s="174">
        <v>0.75</v>
      </c>
      <c r="K107" s="174">
        <v>299</v>
      </c>
      <c r="L107" s="174">
        <v>3.1</v>
      </c>
      <c r="M107" s="178">
        <v>40406</v>
      </c>
      <c r="O107" s="179">
        <f>VLOOKUP(K107,'Cost Model '!$G$11:$J$200,4,FALSE)</f>
        <v>15.97</v>
      </c>
      <c r="R107" s="162" t="str">
        <f t="shared" si="7"/>
        <v>YES</v>
      </c>
      <c r="S107" s="162" t="str">
        <f t="shared" si="4"/>
        <v>YES</v>
      </c>
      <c r="T107" s="162" t="str">
        <f t="shared" si="5"/>
        <v>No</v>
      </c>
      <c r="U107" s="162" t="str">
        <f t="shared" si="6"/>
        <v>No</v>
      </c>
    </row>
    <row r="108" spans="1:21" ht="15">
      <c r="A108" s="174">
        <v>3364</v>
      </c>
      <c r="B108" s="174" t="s">
        <v>349</v>
      </c>
      <c r="C108" s="174" t="s">
        <v>349</v>
      </c>
      <c r="D108" s="174" t="s">
        <v>367</v>
      </c>
      <c r="E108" s="174" t="s">
        <v>271</v>
      </c>
      <c r="F108" s="174">
        <v>8</v>
      </c>
      <c r="G108" s="174">
        <v>1.33</v>
      </c>
      <c r="H108" s="174" t="b">
        <v>1</v>
      </c>
      <c r="I108" s="174" t="b">
        <v>1</v>
      </c>
      <c r="J108" s="174">
        <v>0.75</v>
      </c>
      <c r="K108" s="174">
        <v>299</v>
      </c>
      <c r="L108" s="174">
        <v>3.1</v>
      </c>
      <c r="M108" s="178">
        <v>40406</v>
      </c>
      <c r="O108" s="179">
        <f>VLOOKUP(K108,'Cost Model '!$G$11:$J$200,4,FALSE)</f>
        <v>15.97</v>
      </c>
      <c r="R108" s="162" t="str">
        <f t="shared" si="7"/>
        <v>YES</v>
      </c>
      <c r="S108" s="162" t="str">
        <f t="shared" si="4"/>
        <v>YES</v>
      </c>
      <c r="T108" s="162" t="str">
        <f t="shared" si="5"/>
        <v>No</v>
      </c>
      <c r="U108" s="162" t="str">
        <f t="shared" si="6"/>
        <v>No</v>
      </c>
    </row>
    <row r="109" spans="1:21" ht="15">
      <c r="A109" s="174">
        <v>3390</v>
      </c>
      <c r="B109" s="174" t="s">
        <v>349</v>
      </c>
      <c r="C109" s="174" t="s">
        <v>349</v>
      </c>
      <c r="D109" s="174" t="s">
        <v>368</v>
      </c>
      <c r="E109" s="174" t="s">
        <v>271</v>
      </c>
      <c r="F109" s="174">
        <v>8</v>
      </c>
      <c r="G109" s="174">
        <v>1.33</v>
      </c>
      <c r="H109" s="174" t="b">
        <v>1</v>
      </c>
      <c r="I109" s="174" t="b">
        <v>1</v>
      </c>
      <c r="J109" s="174">
        <v>0.75</v>
      </c>
      <c r="K109" s="174">
        <v>303</v>
      </c>
      <c r="L109" s="174">
        <v>3.1</v>
      </c>
      <c r="M109" s="178">
        <v>40406</v>
      </c>
      <c r="O109" s="179">
        <f>VLOOKUP(K109,'Cost Model '!$G$11:$J$200,4,FALSE)</f>
        <v>13.33</v>
      </c>
      <c r="R109" s="162" t="str">
        <f t="shared" si="7"/>
        <v>YES</v>
      </c>
      <c r="S109" s="162" t="str">
        <f t="shared" si="4"/>
        <v>YES</v>
      </c>
      <c r="T109" s="162" t="str">
        <f t="shared" si="5"/>
        <v>No</v>
      </c>
      <c r="U109" s="162" t="str">
        <f t="shared" si="6"/>
        <v>No</v>
      </c>
    </row>
    <row r="110" spans="1:21" ht="15">
      <c r="A110" s="174">
        <v>4223</v>
      </c>
      <c r="B110" s="174" t="s">
        <v>349</v>
      </c>
      <c r="C110" s="174" t="s">
        <v>369</v>
      </c>
      <c r="D110" s="174" t="s">
        <v>370</v>
      </c>
      <c r="E110" s="174" t="s">
        <v>271</v>
      </c>
      <c r="F110" s="174">
        <v>8</v>
      </c>
      <c r="G110" s="174">
        <v>1.45</v>
      </c>
      <c r="H110" s="174" t="b">
        <v>1</v>
      </c>
      <c r="I110" s="174" t="b">
        <v>1</v>
      </c>
      <c r="J110" s="174">
        <v>0.69</v>
      </c>
      <c r="K110" s="174">
        <v>316</v>
      </c>
      <c r="L110" s="174">
        <v>4.7</v>
      </c>
      <c r="M110" s="178">
        <v>40743</v>
      </c>
      <c r="O110" s="179">
        <f>VLOOKUP(K110,'Cost Model '!$G$11:$J$200,4,FALSE)</f>
        <v>5.31</v>
      </c>
      <c r="R110" s="162" t="str">
        <f t="shared" si="7"/>
        <v>YES</v>
      </c>
      <c r="S110" s="162" t="str">
        <f t="shared" si="4"/>
        <v>No</v>
      </c>
      <c r="T110" s="162" t="str">
        <f t="shared" si="5"/>
        <v>No</v>
      </c>
      <c r="U110" s="162" t="str">
        <f t="shared" si="6"/>
        <v>No</v>
      </c>
    </row>
    <row r="111" spans="1:21" ht="15">
      <c r="A111" s="174">
        <v>4224</v>
      </c>
      <c r="B111" s="174" t="s">
        <v>349</v>
      </c>
      <c r="C111" s="174" t="s">
        <v>369</v>
      </c>
      <c r="D111" s="174" t="s">
        <v>371</v>
      </c>
      <c r="E111" s="174" t="s">
        <v>271</v>
      </c>
      <c r="F111" s="174">
        <v>8</v>
      </c>
      <c r="G111" s="174">
        <v>1.45</v>
      </c>
      <c r="H111" s="174" t="b">
        <v>1</v>
      </c>
      <c r="I111" s="174" t="b">
        <v>1</v>
      </c>
      <c r="J111" s="174">
        <v>0.69</v>
      </c>
      <c r="K111" s="174">
        <v>316</v>
      </c>
      <c r="L111" s="174">
        <v>4.7</v>
      </c>
      <c r="M111" s="178">
        <v>40743</v>
      </c>
      <c r="O111" s="179">
        <f>VLOOKUP(K111,'Cost Model '!$G$11:$J$200,4,FALSE)</f>
        <v>5.31</v>
      </c>
      <c r="R111" s="162" t="str">
        <f t="shared" si="7"/>
        <v>YES</v>
      </c>
      <c r="S111" s="162" t="str">
        <f t="shared" si="4"/>
        <v>No</v>
      </c>
      <c r="T111" s="162" t="str">
        <f t="shared" si="5"/>
        <v>No</v>
      </c>
      <c r="U111" s="162" t="str">
        <f t="shared" si="6"/>
        <v>No</v>
      </c>
    </row>
    <row r="112" spans="1:21" ht="15">
      <c r="A112" s="174">
        <v>3374</v>
      </c>
      <c r="B112" s="174" t="s">
        <v>349</v>
      </c>
      <c r="C112" s="174" t="s">
        <v>369</v>
      </c>
      <c r="D112" s="174" t="s">
        <v>372</v>
      </c>
      <c r="E112" s="174" t="s">
        <v>271</v>
      </c>
      <c r="F112" s="174">
        <v>8</v>
      </c>
      <c r="G112" s="174">
        <v>1.27</v>
      </c>
      <c r="H112" s="174" t="b">
        <v>1</v>
      </c>
      <c r="I112" s="174" t="b">
        <v>1</v>
      </c>
      <c r="J112" s="174">
        <v>0.79</v>
      </c>
      <c r="K112" s="174">
        <v>283</v>
      </c>
      <c r="L112" s="174">
        <v>3.7</v>
      </c>
      <c r="M112" s="178">
        <v>40406</v>
      </c>
      <c r="O112" s="179">
        <f>VLOOKUP(K112,'Cost Model '!$G$11:$J$200,4,FALSE)</f>
        <v>32.899999999999984</v>
      </c>
      <c r="R112" s="162" t="str">
        <f t="shared" si="7"/>
        <v>YES</v>
      </c>
      <c r="S112" s="162" t="str">
        <f t="shared" si="4"/>
        <v>YES</v>
      </c>
      <c r="T112" s="162" t="str">
        <f t="shared" si="5"/>
        <v>YES</v>
      </c>
      <c r="U112" s="162" t="str">
        <f t="shared" si="6"/>
        <v>YES</v>
      </c>
    </row>
    <row r="113" spans="1:21" ht="15">
      <c r="A113" s="174">
        <v>3383</v>
      </c>
      <c r="B113" s="174" t="s">
        <v>349</v>
      </c>
      <c r="C113" s="174" t="s">
        <v>369</v>
      </c>
      <c r="D113" s="174" t="s">
        <v>373</v>
      </c>
      <c r="E113" s="174" t="s">
        <v>271</v>
      </c>
      <c r="F113" s="174">
        <v>8</v>
      </c>
      <c r="G113" s="174">
        <v>1.38</v>
      </c>
      <c r="H113" s="174" t="b">
        <v>1</v>
      </c>
      <c r="I113" s="174" t="b">
        <v>1</v>
      </c>
      <c r="J113" s="174">
        <v>0.72</v>
      </c>
      <c r="K113" s="174">
        <v>303</v>
      </c>
      <c r="L113" s="174">
        <v>4.9000000000000004</v>
      </c>
      <c r="M113" s="178">
        <v>40406</v>
      </c>
      <c r="O113" s="179">
        <f>VLOOKUP(K113,'Cost Model '!$G$11:$J$200,4,FALSE)</f>
        <v>13.33</v>
      </c>
      <c r="R113" s="162" t="str">
        <f t="shared" si="7"/>
        <v>YES</v>
      </c>
      <c r="S113" s="162" t="str">
        <f t="shared" si="4"/>
        <v>YES</v>
      </c>
      <c r="T113" s="162" t="str">
        <f t="shared" si="5"/>
        <v>No</v>
      </c>
      <c r="U113" s="162" t="str">
        <f t="shared" si="6"/>
        <v>No</v>
      </c>
    </row>
    <row r="114" spans="1:21" ht="15">
      <c r="A114" s="174">
        <v>3384</v>
      </c>
      <c r="B114" s="174" t="s">
        <v>349</v>
      </c>
      <c r="C114" s="174" t="s">
        <v>369</v>
      </c>
      <c r="D114" s="174" t="s">
        <v>374</v>
      </c>
      <c r="E114" s="174" t="s">
        <v>271</v>
      </c>
      <c r="F114" s="174">
        <v>8</v>
      </c>
      <c r="G114" s="174">
        <v>1.4</v>
      </c>
      <c r="H114" s="174" t="b">
        <v>1</v>
      </c>
      <c r="I114" s="174" t="b">
        <v>1</v>
      </c>
      <c r="J114" s="174">
        <v>0.71</v>
      </c>
      <c r="K114" s="174">
        <v>309</v>
      </c>
      <c r="L114" s="174">
        <v>4.9000000000000004</v>
      </c>
      <c r="M114" s="178">
        <v>40406</v>
      </c>
      <c r="O114" s="179">
        <f>VLOOKUP(K114,'Cost Model '!$G$11:$J$200,4,FALSE)</f>
        <v>9.44</v>
      </c>
      <c r="R114" s="162" t="str">
        <f t="shared" si="7"/>
        <v>YES</v>
      </c>
      <c r="S114" s="162" t="str">
        <f t="shared" si="4"/>
        <v>No</v>
      </c>
      <c r="T114" s="162" t="str">
        <f t="shared" si="5"/>
        <v>No</v>
      </c>
      <c r="U114" s="162" t="str">
        <f t="shared" si="6"/>
        <v>No</v>
      </c>
    </row>
    <row r="115" spans="1:21" ht="15">
      <c r="A115" s="174">
        <v>3371</v>
      </c>
      <c r="B115" s="174" t="s">
        <v>349</v>
      </c>
      <c r="C115" s="174" t="s">
        <v>369</v>
      </c>
      <c r="D115" s="174" t="s">
        <v>375</v>
      </c>
      <c r="E115" s="174" t="s">
        <v>271</v>
      </c>
      <c r="F115" s="174">
        <v>8</v>
      </c>
      <c r="G115" s="174">
        <v>1.45</v>
      </c>
      <c r="H115" s="174" t="b">
        <v>1</v>
      </c>
      <c r="I115" s="174" t="b">
        <v>1</v>
      </c>
      <c r="J115" s="174">
        <v>0.69</v>
      </c>
      <c r="K115" s="174">
        <v>316</v>
      </c>
      <c r="L115" s="174">
        <v>4.7</v>
      </c>
      <c r="M115" s="178">
        <v>40406</v>
      </c>
      <c r="O115" s="179">
        <f>VLOOKUP(K115,'Cost Model '!$G$11:$J$200,4,FALSE)</f>
        <v>5.31</v>
      </c>
      <c r="R115" s="162" t="str">
        <f t="shared" si="7"/>
        <v>YES</v>
      </c>
      <c r="S115" s="162" t="str">
        <f t="shared" si="4"/>
        <v>No</v>
      </c>
      <c r="T115" s="162" t="str">
        <f t="shared" si="5"/>
        <v>No</v>
      </c>
      <c r="U115" s="162" t="str">
        <f t="shared" si="6"/>
        <v>No</v>
      </c>
    </row>
    <row r="116" spans="1:21" ht="15">
      <c r="A116" s="174">
        <v>4501</v>
      </c>
      <c r="B116" s="174" t="s">
        <v>349</v>
      </c>
      <c r="C116" s="174" t="s">
        <v>369</v>
      </c>
      <c r="D116" s="174" t="s">
        <v>376</v>
      </c>
      <c r="E116" s="174" t="s">
        <v>271</v>
      </c>
      <c r="F116" s="174">
        <v>8</v>
      </c>
      <c r="G116" s="174">
        <v>1.3</v>
      </c>
      <c r="H116" s="174" t="b">
        <v>1</v>
      </c>
      <c r="I116" s="174" t="b">
        <v>1</v>
      </c>
      <c r="J116" s="174">
        <v>0.76</v>
      </c>
      <c r="K116" s="174">
        <v>280</v>
      </c>
      <c r="L116" s="174">
        <v>3.5</v>
      </c>
      <c r="M116" s="178">
        <v>40869</v>
      </c>
      <c r="O116" s="179">
        <f>VLOOKUP(K116,'Cost Model '!$G$11:$J$200,4,FALSE)</f>
        <v>36.34999999999998</v>
      </c>
      <c r="R116" s="162" t="str">
        <f t="shared" si="7"/>
        <v>YES</v>
      </c>
      <c r="S116" s="162" t="str">
        <f t="shared" si="4"/>
        <v>YES</v>
      </c>
      <c r="T116" s="162" t="str">
        <f t="shared" si="5"/>
        <v>YES</v>
      </c>
      <c r="U116" s="162" t="str">
        <f t="shared" si="6"/>
        <v>YES</v>
      </c>
    </row>
    <row r="117" spans="1:21" ht="15">
      <c r="A117" s="174">
        <v>3372</v>
      </c>
      <c r="B117" s="174" t="s">
        <v>349</v>
      </c>
      <c r="C117" s="174" t="s">
        <v>369</v>
      </c>
      <c r="D117" s="174" t="s">
        <v>377</v>
      </c>
      <c r="E117" s="174" t="s">
        <v>271</v>
      </c>
      <c r="F117" s="174">
        <v>8</v>
      </c>
      <c r="G117" s="174">
        <v>1.27</v>
      </c>
      <c r="H117" s="174" t="b">
        <v>1</v>
      </c>
      <c r="I117" s="174" t="b">
        <v>1</v>
      </c>
      <c r="J117" s="174">
        <v>0.79</v>
      </c>
      <c r="K117" s="174">
        <v>283</v>
      </c>
      <c r="L117" s="174">
        <v>3.7</v>
      </c>
      <c r="M117" s="178">
        <v>40406</v>
      </c>
      <c r="O117" s="179">
        <f>VLOOKUP(K117,'Cost Model '!$G$11:$J$200,4,FALSE)</f>
        <v>32.899999999999984</v>
      </c>
      <c r="R117" s="162" t="str">
        <f t="shared" si="7"/>
        <v>YES</v>
      </c>
      <c r="S117" s="162" t="str">
        <f t="shared" si="4"/>
        <v>YES</v>
      </c>
      <c r="T117" s="162" t="str">
        <f t="shared" si="5"/>
        <v>YES</v>
      </c>
      <c r="U117" s="162" t="str">
        <f t="shared" si="6"/>
        <v>YES</v>
      </c>
    </row>
    <row r="118" spans="1:21" ht="15">
      <c r="A118" s="174">
        <v>4600</v>
      </c>
      <c r="B118" s="174" t="s">
        <v>349</v>
      </c>
      <c r="C118" s="174" t="s">
        <v>369</v>
      </c>
      <c r="D118" s="174" t="s">
        <v>378</v>
      </c>
      <c r="E118" s="174" t="s">
        <v>271</v>
      </c>
      <c r="F118" s="174">
        <v>8</v>
      </c>
      <c r="G118" s="174">
        <v>1.4</v>
      </c>
      <c r="H118" s="174" t="b">
        <v>1</v>
      </c>
      <c r="I118" s="174" t="b">
        <v>1</v>
      </c>
      <c r="J118" s="174">
        <v>0.71</v>
      </c>
      <c r="K118" s="174">
        <v>302</v>
      </c>
      <c r="L118" s="174">
        <v>4.8</v>
      </c>
      <c r="M118" s="178">
        <v>40967</v>
      </c>
      <c r="O118" s="179">
        <f>VLOOKUP(K118,'Cost Model '!$G$11:$J$200,4,FALSE)</f>
        <v>13.99</v>
      </c>
      <c r="R118" s="162" t="str">
        <f t="shared" si="7"/>
        <v>YES</v>
      </c>
      <c r="S118" s="162" t="str">
        <f t="shared" si="4"/>
        <v>YES</v>
      </c>
      <c r="T118" s="162" t="str">
        <f t="shared" si="5"/>
        <v>No</v>
      </c>
      <c r="U118" s="162" t="str">
        <f t="shared" si="6"/>
        <v>No</v>
      </c>
    </row>
    <row r="119" spans="1:21" ht="15">
      <c r="A119" s="174">
        <v>4601</v>
      </c>
      <c r="B119" s="174" t="s">
        <v>349</v>
      </c>
      <c r="C119" s="174" t="s">
        <v>369</v>
      </c>
      <c r="D119" s="174" t="s">
        <v>379</v>
      </c>
      <c r="E119" s="174" t="s">
        <v>271</v>
      </c>
      <c r="F119" s="174">
        <v>8</v>
      </c>
      <c r="G119" s="174">
        <v>1.22</v>
      </c>
      <c r="H119" s="174" t="b">
        <v>1</v>
      </c>
      <c r="I119" s="174" t="b">
        <v>1</v>
      </c>
      <c r="J119" s="174">
        <v>0.82</v>
      </c>
      <c r="K119" s="174">
        <v>263</v>
      </c>
      <c r="L119" s="174">
        <v>4.0999999999999996</v>
      </c>
      <c r="M119" s="178">
        <v>40967</v>
      </c>
      <c r="O119" s="179">
        <f>VLOOKUP(K119,'Cost Model '!$G$11:$J$200,4,FALSE)</f>
        <v>55.899999999999956</v>
      </c>
      <c r="R119" s="162" t="str">
        <f t="shared" si="7"/>
        <v>YES</v>
      </c>
      <c r="S119" s="162" t="str">
        <f t="shared" si="4"/>
        <v>YES</v>
      </c>
      <c r="T119" s="162" t="str">
        <f t="shared" si="5"/>
        <v>YES</v>
      </c>
      <c r="U119" s="162" t="str">
        <f t="shared" si="6"/>
        <v>YES</v>
      </c>
    </row>
    <row r="120" spans="1:21" ht="15">
      <c r="A120" s="174">
        <v>3391</v>
      </c>
      <c r="B120" s="174" t="s">
        <v>349</v>
      </c>
      <c r="C120" s="174" t="s">
        <v>369</v>
      </c>
      <c r="D120" s="174" t="s">
        <v>380</v>
      </c>
      <c r="E120" s="174" t="s">
        <v>271</v>
      </c>
      <c r="F120" s="174">
        <v>8</v>
      </c>
      <c r="G120" s="174">
        <v>1.41</v>
      </c>
      <c r="H120" s="174" t="b">
        <v>1</v>
      </c>
      <c r="I120" s="174" t="b">
        <v>1</v>
      </c>
      <c r="J120" s="174">
        <v>0.71</v>
      </c>
      <c r="K120" s="174">
        <v>309</v>
      </c>
      <c r="L120" s="174">
        <v>4.8</v>
      </c>
      <c r="M120" s="178">
        <v>40406</v>
      </c>
      <c r="O120" s="179">
        <f>VLOOKUP(K120,'Cost Model '!$G$11:$J$200,4,FALSE)</f>
        <v>9.44</v>
      </c>
      <c r="R120" s="162" t="str">
        <f t="shared" si="7"/>
        <v>YES</v>
      </c>
      <c r="S120" s="162" t="str">
        <f t="shared" si="4"/>
        <v>No</v>
      </c>
      <c r="T120" s="162" t="str">
        <f t="shared" si="5"/>
        <v>No</v>
      </c>
      <c r="U120" s="162" t="str">
        <f t="shared" si="6"/>
        <v>No</v>
      </c>
    </row>
    <row r="121" spans="1:21" ht="15">
      <c r="A121" s="174">
        <v>4492</v>
      </c>
      <c r="B121" s="174" t="s">
        <v>349</v>
      </c>
      <c r="C121" s="174" t="s">
        <v>369</v>
      </c>
      <c r="D121" s="174" t="s">
        <v>381</v>
      </c>
      <c r="E121" s="174" t="s">
        <v>271</v>
      </c>
      <c r="F121" s="174">
        <v>8</v>
      </c>
      <c r="G121" s="174">
        <v>1.22</v>
      </c>
      <c r="H121" s="174" t="b">
        <v>1</v>
      </c>
      <c r="I121" s="174" t="b">
        <v>1</v>
      </c>
      <c r="J121" s="174">
        <v>0.82</v>
      </c>
      <c r="K121" s="174">
        <v>262</v>
      </c>
      <c r="L121" s="174">
        <v>4.0999999999999996</v>
      </c>
      <c r="M121" s="178">
        <v>40869</v>
      </c>
      <c r="O121" s="179">
        <f>VLOOKUP(K121,'Cost Model '!$G$11:$J$200,4,FALSE)</f>
        <v>57.049999999999955</v>
      </c>
      <c r="R121" s="162" t="str">
        <f t="shared" si="7"/>
        <v>YES</v>
      </c>
      <c r="S121" s="162" t="str">
        <f t="shared" si="4"/>
        <v>YES</v>
      </c>
      <c r="T121" s="162" t="str">
        <f t="shared" si="5"/>
        <v>YES</v>
      </c>
      <c r="U121" s="162" t="str">
        <f t="shared" si="6"/>
        <v>YES</v>
      </c>
    </row>
    <row r="122" spans="1:21" ht="15">
      <c r="A122" s="174">
        <v>4225</v>
      </c>
      <c r="B122" s="174" t="s">
        <v>349</v>
      </c>
      <c r="C122" s="174" t="s">
        <v>369</v>
      </c>
      <c r="D122" s="174" t="s">
        <v>382</v>
      </c>
      <c r="E122" s="174" t="s">
        <v>271</v>
      </c>
      <c r="F122" s="174">
        <v>8</v>
      </c>
      <c r="G122" s="174">
        <v>1.45</v>
      </c>
      <c r="H122" s="174" t="b">
        <v>1</v>
      </c>
      <c r="I122" s="174" t="b">
        <v>1</v>
      </c>
      <c r="J122" s="174">
        <v>0.69</v>
      </c>
      <c r="K122" s="174">
        <v>316</v>
      </c>
      <c r="L122" s="174">
        <v>5.2</v>
      </c>
      <c r="M122" s="178">
        <v>40743</v>
      </c>
      <c r="O122" s="179">
        <f>VLOOKUP(K122,'Cost Model '!$G$11:$J$200,4,FALSE)</f>
        <v>5.31</v>
      </c>
      <c r="R122" s="162" t="str">
        <f t="shared" si="7"/>
        <v>YES</v>
      </c>
      <c r="S122" s="162" t="str">
        <f t="shared" si="4"/>
        <v>No</v>
      </c>
      <c r="T122" s="162" t="str">
        <f t="shared" si="5"/>
        <v>No</v>
      </c>
      <c r="U122" s="162" t="str">
        <f t="shared" si="6"/>
        <v>No</v>
      </c>
    </row>
    <row r="123" spans="1:21" ht="15">
      <c r="A123" s="174">
        <v>4493</v>
      </c>
      <c r="B123" s="174" t="s">
        <v>349</v>
      </c>
      <c r="C123" s="174" t="s">
        <v>369</v>
      </c>
      <c r="D123" s="174" t="s">
        <v>383</v>
      </c>
      <c r="E123" s="174" t="s">
        <v>271</v>
      </c>
      <c r="F123" s="174">
        <v>8</v>
      </c>
      <c r="G123" s="174">
        <v>1.22</v>
      </c>
      <c r="H123" s="174" t="b">
        <v>1</v>
      </c>
      <c r="I123" s="174" t="b">
        <v>1</v>
      </c>
      <c r="J123" s="174">
        <v>0.82</v>
      </c>
      <c r="K123" s="174">
        <v>262</v>
      </c>
      <c r="L123" s="174">
        <v>4.0999999999999996</v>
      </c>
      <c r="M123" s="178">
        <v>40869</v>
      </c>
      <c r="O123" s="179">
        <f>VLOOKUP(K123,'Cost Model '!$G$11:$J$200,4,FALSE)</f>
        <v>57.049999999999955</v>
      </c>
      <c r="R123" s="162" t="str">
        <f t="shared" si="7"/>
        <v>YES</v>
      </c>
      <c r="S123" s="162" t="str">
        <f t="shared" si="4"/>
        <v>YES</v>
      </c>
      <c r="T123" s="162" t="str">
        <f t="shared" si="5"/>
        <v>YES</v>
      </c>
      <c r="U123" s="162" t="str">
        <f t="shared" si="6"/>
        <v>YES</v>
      </c>
    </row>
    <row r="124" spans="1:21" ht="15">
      <c r="A124" s="174">
        <v>3385</v>
      </c>
      <c r="B124" s="174" t="s">
        <v>349</v>
      </c>
      <c r="C124" s="174" t="s">
        <v>369</v>
      </c>
      <c r="D124" s="174" t="s">
        <v>384</v>
      </c>
      <c r="E124" s="174" t="s">
        <v>271</v>
      </c>
      <c r="F124" s="174">
        <v>8</v>
      </c>
      <c r="G124" s="174">
        <v>1.53</v>
      </c>
      <c r="H124" s="174" t="b">
        <v>1</v>
      </c>
      <c r="I124" s="174" t="b">
        <v>1</v>
      </c>
      <c r="J124" s="174">
        <v>0.65</v>
      </c>
      <c r="K124" s="174">
        <v>330</v>
      </c>
      <c r="L124" s="174">
        <v>6.1</v>
      </c>
      <c r="M124" s="178">
        <v>40406</v>
      </c>
      <c r="O124" s="179" t="str">
        <f>VLOOKUP(K124,'Cost Model '!$G$11:$J$200,4,FALSE)</f>
        <v>--</v>
      </c>
      <c r="R124" s="162" t="str">
        <f t="shared" si="7"/>
        <v>YES</v>
      </c>
      <c r="S124" s="162" t="str">
        <f t="shared" si="4"/>
        <v>No</v>
      </c>
      <c r="T124" s="162" t="str">
        <f t="shared" si="5"/>
        <v>No</v>
      </c>
      <c r="U124" s="162" t="str">
        <f t="shared" si="6"/>
        <v>No</v>
      </c>
    </row>
    <row r="125" spans="1:21" ht="15">
      <c r="A125" s="174">
        <v>4229</v>
      </c>
      <c r="B125" s="174" t="s">
        <v>349</v>
      </c>
      <c r="C125" s="174" t="s">
        <v>369</v>
      </c>
      <c r="D125" s="174" t="s">
        <v>385</v>
      </c>
      <c r="E125" s="174" t="s">
        <v>271</v>
      </c>
      <c r="F125" s="174">
        <v>8</v>
      </c>
      <c r="G125" s="174">
        <v>1.38</v>
      </c>
      <c r="H125" s="174" t="b">
        <v>1</v>
      </c>
      <c r="I125" s="174" t="b">
        <v>1</v>
      </c>
      <c r="J125" s="174">
        <v>0.72</v>
      </c>
      <c r="K125" s="174">
        <v>303</v>
      </c>
      <c r="L125" s="174">
        <v>4.9000000000000004</v>
      </c>
      <c r="M125" s="178">
        <v>40743</v>
      </c>
      <c r="O125" s="179">
        <f>VLOOKUP(K125,'Cost Model '!$G$11:$J$200,4,FALSE)</f>
        <v>13.33</v>
      </c>
      <c r="R125" s="162" t="str">
        <f t="shared" si="7"/>
        <v>YES</v>
      </c>
      <c r="S125" s="162" t="str">
        <f t="shared" si="4"/>
        <v>YES</v>
      </c>
      <c r="T125" s="162" t="str">
        <f t="shared" si="5"/>
        <v>No</v>
      </c>
      <c r="U125" s="162" t="str">
        <f t="shared" si="6"/>
        <v>No</v>
      </c>
    </row>
    <row r="126" spans="1:21" ht="15">
      <c r="A126" s="174">
        <v>3394</v>
      </c>
      <c r="B126" s="174" t="s">
        <v>349</v>
      </c>
      <c r="C126" s="174" t="s">
        <v>369</v>
      </c>
      <c r="D126" s="174" t="s">
        <v>386</v>
      </c>
      <c r="E126" s="174" t="s">
        <v>271</v>
      </c>
      <c r="F126" s="174">
        <v>8</v>
      </c>
      <c r="G126" s="174">
        <v>1.41</v>
      </c>
      <c r="H126" s="174" t="b">
        <v>1</v>
      </c>
      <c r="I126" s="174" t="b">
        <v>1</v>
      </c>
      <c r="J126" s="174">
        <v>0.71</v>
      </c>
      <c r="K126" s="174">
        <v>309</v>
      </c>
      <c r="L126" s="174">
        <v>4.8</v>
      </c>
      <c r="M126" s="178">
        <v>40406</v>
      </c>
      <c r="O126" s="179">
        <f>VLOOKUP(K126,'Cost Model '!$G$11:$J$200,4,FALSE)</f>
        <v>9.44</v>
      </c>
      <c r="R126" s="162" t="str">
        <f t="shared" si="7"/>
        <v>YES</v>
      </c>
      <c r="S126" s="162" t="str">
        <f t="shared" si="4"/>
        <v>No</v>
      </c>
      <c r="T126" s="162" t="str">
        <f t="shared" si="5"/>
        <v>No</v>
      </c>
      <c r="U126" s="162" t="str">
        <f t="shared" si="6"/>
        <v>No</v>
      </c>
    </row>
    <row r="127" spans="1:21" ht="15">
      <c r="A127" s="174">
        <v>4602</v>
      </c>
      <c r="B127" s="174" t="s">
        <v>349</v>
      </c>
      <c r="C127" s="174" t="s">
        <v>369</v>
      </c>
      <c r="D127" s="174" t="s">
        <v>387</v>
      </c>
      <c r="E127" s="174" t="s">
        <v>271</v>
      </c>
      <c r="F127" s="174">
        <v>8</v>
      </c>
      <c r="G127" s="174">
        <v>1.4</v>
      </c>
      <c r="H127" s="174" t="b">
        <v>1</v>
      </c>
      <c r="I127" s="174" t="b">
        <v>1</v>
      </c>
      <c r="J127" s="174">
        <v>0.71</v>
      </c>
      <c r="K127" s="174">
        <v>302</v>
      </c>
      <c r="L127" s="174">
        <v>4.8</v>
      </c>
      <c r="M127" s="178">
        <v>40967</v>
      </c>
      <c r="O127" s="179">
        <f>VLOOKUP(K127,'Cost Model '!$G$11:$J$200,4,FALSE)</f>
        <v>13.99</v>
      </c>
      <c r="R127" s="162" t="str">
        <f t="shared" si="7"/>
        <v>YES</v>
      </c>
      <c r="S127" s="162" t="str">
        <f t="shared" si="4"/>
        <v>YES</v>
      </c>
      <c r="T127" s="162" t="str">
        <f t="shared" si="5"/>
        <v>No</v>
      </c>
      <c r="U127" s="162" t="str">
        <f t="shared" si="6"/>
        <v>No</v>
      </c>
    </row>
    <row r="128" spans="1:21" ht="15">
      <c r="A128" s="174">
        <v>4226</v>
      </c>
      <c r="B128" s="174" t="s">
        <v>349</v>
      </c>
      <c r="C128" s="174" t="s">
        <v>369</v>
      </c>
      <c r="D128" s="174" t="s">
        <v>388</v>
      </c>
      <c r="E128" s="174" t="s">
        <v>271</v>
      </c>
      <c r="F128" s="174">
        <v>8</v>
      </c>
      <c r="G128" s="174">
        <v>1.45</v>
      </c>
      <c r="H128" s="174" t="b">
        <v>1</v>
      </c>
      <c r="I128" s="174" t="b">
        <v>1</v>
      </c>
      <c r="J128" s="174">
        <v>0.69</v>
      </c>
      <c r="K128" s="174">
        <v>316</v>
      </c>
      <c r="L128" s="174">
        <v>5.2</v>
      </c>
      <c r="M128" s="178">
        <v>40743</v>
      </c>
      <c r="O128" s="179">
        <f>VLOOKUP(K128,'Cost Model '!$G$11:$J$200,4,FALSE)</f>
        <v>5.31</v>
      </c>
      <c r="R128" s="162" t="str">
        <f t="shared" si="7"/>
        <v>YES</v>
      </c>
      <c r="S128" s="162" t="str">
        <f t="shared" si="4"/>
        <v>No</v>
      </c>
      <c r="T128" s="162" t="str">
        <f t="shared" si="5"/>
        <v>No</v>
      </c>
      <c r="U128" s="162" t="str">
        <f t="shared" si="6"/>
        <v>No</v>
      </c>
    </row>
    <row r="129" spans="1:21" ht="15">
      <c r="A129" s="174">
        <v>3395</v>
      </c>
      <c r="B129" s="174" t="s">
        <v>349</v>
      </c>
      <c r="C129" s="174" t="s">
        <v>369</v>
      </c>
      <c r="D129" s="174" t="s">
        <v>389</v>
      </c>
      <c r="E129" s="174" t="s">
        <v>271</v>
      </c>
      <c r="F129" s="174">
        <v>8</v>
      </c>
      <c r="G129" s="174">
        <v>1.41</v>
      </c>
      <c r="H129" s="174" t="b">
        <v>1</v>
      </c>
      <c r="I129" s="174" t="b">
        <v>1</v>
      </c>
      <c r="J129" s="174">
        <v>0.71</v>
      </c>
      <c r="K129" s="174">
        <v>309</v>
      </c>
      <c r="L129" s="174">
        <v>4.8</v>
      </c>
      <c r="M129" s="178">
        <v>40406</v>
      </c>
      <c r="O129" s="179">
        <f>VLOOKUP(K129,'Cost Model '!$G$11:$J$200,4,FALSE)</f>
        <v>9.44</v>
      </c>
      <c r="R129" s="162" t="str">
        <f t="shared" si="7"/>
        <v>YES</v>
      </c>
      <c r="S129" s="162" t="str">
        <f t="shared" si="4"/>
        <v>No</v>
      </c>
      <c r="T129" s="162" t="str">
        <f t="shared" si="5"/>
        <v>No</v>
      </c>
      <c r="U129" s="162" t="str">
        <f t="shared" si="6"/>
        <v>No</v>
      </c>
    </row>
    <row r="130" spans="1:21" ht="15">
      <c r="A130" s="174">
        <v>4230</v>
      </c>
      <c r="B130" s="174" t="s">
        <v>349</v>
      </c>
      <c r="C130" s="174" t="s">
        <v>369</v>
      </c>
      <c r="D130" s="174" t="s">
        <v>390</v>
      </c>
      <c r="E130" s="174" t="s">
        <v>271</v>
      </c>
      <c r="F130" s="174">
        <v>8</v>
      </c>
      <c r="G130" s="174">
        <v>1.38</v>
      </c>
      <c r="H130" s="174" t="b">
        <v>1</v>
      </c>
      <c r="I130" s="174" t="b">
        <v>1</v>
      </c>
      <c r="J130" s="174">
        <v>0.72</v>
      </c>
      <c r="K130" s="174">
        <v>303</v>
      </c>
      <c r="L130" s="174">
        <v>4.9000000000000004</v>
      </c>
      <c r="M130" s="178">
        <v>40743</v>
      </c>
      <c r="O130" s="179">
        <f>VLOOKUP(K130,'Cost Model '!$G$11:$J$200,4,FALSE)</f>
        <v>13.33</v>
      </c>
      <c r="R130" s="162" t="str">
        <f t="shared" si="7"/>
        <v>YES</v>
      </c>
      <c r="S130" s="162" t="str">
        <f t="shared" si="4"/>
        <v>YES</v>
      </c>
      <c r="T130" s="162" t="str">
        <f t="shared" si="5"/>
        <v>No</v>
      </c>
      <c r="U130" s="162" t="str">
        <f t="shared" si="6"/>
        <v>No</v>
      </c>
    </row>
    <row r="131" spans="1:21" ht="15">
      <c r="A131" s="174">
        <v>4491</v>
      </c>
      <c r="B131" s="174" t="s">
        <v>349</v>
      </c>
      <c r="C131" s="174" t="s">
        <v>369</v>
      </c>
      <c r="D131" s="174" t="s">
        <v>391</v>
      </c>
      <c r="E131" s="174" t="s">
        <v>271</v>
      </c>
      <c r="F131" s="174">
        <v>8</v>
      </c>
      <c r="G131" s="174">
        <v>1.22</v>
      </c>
      <c r="H131" s="174" t="b">
        <v>1</v>
      </c>
      <c r="I131" s="174" t="b">
        <v>1</v>
      </c>
      <c r="J131" s="174">
        <v>0.82</v>
      </c>
      <c r="K131" s="174">
        <v>262</v>
      </c>
      <c r="L131" s="174">
        <v>4.0999999999999996</v>
      </c>
      <c r="M131" s="178">
        <v>40869</v>
      </c>
      <c r="O131" s="179">
        <f>VLOOKUP(K131,'Cost Model '!$G$11:$J$200,4,FALSE)</f>
        <v>57.049999999999955</v>
      </c>
      <c r="R131" s="162" t="str">
        <f t="shared" si="7"/>
        <v>YES</v>
      </c>
      <c r="S131" s="162" t="str">
        <f t="shared" si="4"/>
        <v>YES</v>
      </c>
      <c r="T131" s="162" t="str">
        <f t="shared" si="5"/>
        <v>YES</v>
      </c>
      <c r="U131" s="162" t="str">
        <f t="shared" si="6"/>
        <v>YES</v>
      </c>
    </row>
    <row r="132" spans="1:21" ht="15">
      <c r="A132" s="174">
        <v>4231</v>
      </c>
      <c r="B132" s="174" t="s">
        <v>349</v>
      </c>
      <c r="C132" s="174" t="s">
        <v>369</v>
      </c>
      <c r="D132" s="174" t="s">
        <v>392</v>
      </c>
      <c r="E132" s="174" t="s">
        <v>271</v>
      </c>
      <c r="F132" s="174">
        <v>8</v>
      </c>
      <c r="G132" s="174">
        <v>1.38</v>
      </c>
      <c r="H132" s="174" t="b">
        <v>1</v>
      </c>
      <c r="I132" s="174" t="b">
        <v>1</v>
      </c>
      <c r="J132" s="174">
        <v>0.72</v>
      </c>
      <c r="K132" s="174">
        <v>303</v>
      </c>
      <c r="L132" s="174">
        <v>4.9000000000000004</v>
      </c>
      <c r="M132" s="178">
        <v>40743</v>
      </c>
      <c r="O132" s="179">
        <f>VLOOKUP(K132,'Cost Model '!$G$11:$J$200,4,FALSE)</f>
        <v>13.33</v>
      </c>
      <c r="R132" s="162" t="str">
        <f t="shared" si="7"/>
        <v>YES</v>
      </c>
      <c r="S132" s="162" t="str">
        <f t="shared" si="4"/>
        <v>YES</v>
      </c>
      <c r="T132" s="162" t="str">
        <f t="shared" si="5"/>
        <v>No</v>
      </c>
      <c r="U132" s="162" t="str">
        <f t="shared" si="6"/>
        <v>No</v>
      </c>
    </row>
    <row r="133" spans="1:21" ht="15">
      <c r="A133" s="174">
        <v>3393</v>
      </c>
      <c r="B133" s="174" t="s">
        <v>349</v>
      </c>
      <c r="C133" s="174" t="s">
        <v>369</v>
      </c>
      <c r="D133" s="174" t="s">
        <v>393</v>
      </c>
      <c r="E133" s="174" t="s">
        <v>271</v>
      </c>
      <c r="F133" s="174">
        <v>8</v>
      </c>
      <c r="G133" s="174">
        <v>1.41</v>
      </c>
      <c r="H133" s="174" t="b">
        <v>1</v>
      </c>
      <c r="I133" s="174" t="b">
        <v>1</v>
      </c>
      <c r="J133" s="174">
        <v>0.71</v>
      </c>
      <c r="K133" s="174">
        <v>309</v>
      </c>
      <c r="L133" s="174">
        <v>4.8</v>
      </c>
      <c r="M133" s="178">
        <v>40406</v>
      </c>
      <c r="O133" s="179">
        <f>VLOOKUP(K133,'Cost Model '!$G$11:$J$200,4,FALSE)</f>
        <v>9.44</v>
      </c>
      <c r="R133" s="162" t="str">
        <f t="shared" si="7"/>
        <v>YES</v>
      </c>
      <c r="S133" s="162" t="str">
        <f t="shared" si="4"/>
        <v>No</v>
      </c>
      <c r="T133" s="162" t="str">
        <f t="shared" si="5"/>
        <v>No</v>
      </c>
      <c r="U133" s="162" t="str">
        <f t="shared" si="6"/>
        <v>No</v>
      </c>
    </row>
    <row r="134" spans="1:21" ht="15">
      <c r="A134" s="174">
        <v>4489</v>
      </c>
      <c r="B134" s="174" t="s">
        <v>349</v>
      </c>
      <c r="C134" s="174" t="s">
        <v>369</v>
      </c>
      <c r="D134" s="174" t="s">
        <v>394</v>
      </c>
      <c r="E134" s="174" t="s">
        <v>271</v>
      </c>
      <c r="F134" s="174">
        <v>8</v>
      </c>
      <c r="G134" s="174">
        <v>1.22</v>
      </c>
      <c r="H134" s="174" t="b">
        <v>1</v>
      </c>
      <c r="I134" s="174" t="b">
        <v>1</v>
      </c>
      <c r="J134" s="174">
        <v>0.82</v>
      </c>
      <c r="K134" s="174">
        <v>262</v>
      </c>
      <c r="L134" s="174">
        <v>4.0999999999999996</v>
      </c>
      <c r="M134" s="178">
        <v>40869</v>
      </c>
      <c r="O134" s="179">
        <f>VLOOKUP(K134,'Cost Model '!$G$11:$J$200,4,FALSE)</f>
        <v>57.049999999999955</v>
      </c>
      <c r="R134" s="162" t="str">
        <f t="shared" si="7"/>
        <v>YES</v>
      </c>
      <c r="S134" s="162" t="str">
        <f t="shared" si="4"/>
        <v>YES</v>
      </c>
      <c r="T134" s="162" t="str">
        <f t="shared" si="5"/>
        <v>YES</v>
      </c>
      <c r="U134" s="162" t="str">
        <f t="shared" si="6"/>
        <v>YES</v>
      </c>
    </row>
    <row r="135" spans="1:21" ht="15">
      <c r="A135" s="174">
        <v>4227</v>
      </c>
      <c r="B135" s="174" t="s">
        <v>349</v>
      </c>
      <c r="C135" s="174" t="s">
        <v>369</v>
      </c>
      <c r="D135" s="174" t="s">
        <v>395</v>
      </c>
      <c r="E135" s="174" t="s">
        <v>271</v>
      </c>
      <c r="F135" s="174">
        <v>8</v>
      </c>
      <c r="G135" s="174">
        <v>1.4</v>
      </c>
      <c r="H135" s="174" t="b">
        <v>1</v>
      </c>
      <c r="I135" s="174" t="b">
        <v>1</v>
      </c>
      <c r="J135" s="174">
        <v>0.71</v>
      </c>
      <c r="K135" s="174">
        <v>309</v>
      </c>
      <c r="L135" s="174">
        <v>4.9000000000000004</v>
      </c>
      <c r="M135" s="178">
        <v>40743</v>
      </c>
      <c r="O135" s="179">
        <f>VLOOKUP(K135,'Cost Model '!$G$11:$J$200,4,FALSE)</f>
        <v>9.44</v>
      </c>
      <c r="R135" s="162" t="str">
        <f t="shared" si="7"/>
        <v>YES</v>
      </c>
      <c r="S135" s="162" t="str">
        <f t="shared" si="4"/>
        <v>No</v>
      </c>
      <c r="T135" s="162" t="str">
        <f t="shared" si="5"/>
        <v>No</v>
      </c>
      <c r="U135" s="162" t="str">
        <f t="shared" si="6"/>
        <v>No</v>
      </c>
    </row>
    <row r="136" spans="1:21" ht="15">
      <c r="A136" s="174">
        <v>3392</v>
      </c>
      <c r="B136" s="174" t="s">
        <v>349</v>
      </c>
      <c r="C136" s="174" t="s">
        <v>369</v>
      </c>
      <c r="D136" s="174" t="s">
        <v>396</v>
      </c>
      <c r="E136" s="174" t="s">
        <v>271</v>
      </c>
      <c r="F136" s="174">
        <v>8</v>
      </c>
      <c r="G136" s="174">
        <v>1.41</v>
      </c>
      <c r="H136" s="174" t="b">
        <v>1</v>
      </c>
      <c r="I136" s="174" t="b">
        <v>1</v>
      </c>
      <c r="J136" s="174">
        <v>0.71</v>
      </c>
      <c r="K136" s="174">
        <v>309</v>
      </c>
      <c r="L136" s="174">
        <v>4.8</v>
      </c>
      <c r="M136" s="178">
        <v>40406</v>
      </c>
      <c r="O136" s="179">
        <f>VLOOKUP(K136,'Cost Model '!$G$11:$J$200,4,FALSE)</f>
        <v>9.44</v>
      </c>
      <c r="R136" s="162" t="str">
        <f t="shared" si="7"/>
        <v>YES</v>
      </c>
      <c r="S136" s="162" t="str">
        <f t="shared" si="4"/>
        <v>No</v>
      </c>
      <c r="T136" s="162" t="str">
        <f t="shared" si="5"/>
        <v>No</v>
      </c>
      <c r="U136" s="162" t="str">
        <f t="shared" si="6"/>
        <v>No</v>
      </c>
    </row>
    <row r="137" spans="1:21" ht="15">
      <c r="A137" s="174">
        <v>4603</v>
      </c>
      <c r="B137" s="174" t="s">
        <v>349</v>
      </c>
      <c r="C137" s="174" t="s">
        <v>369</v>
      </c>
      <c r="D137" s="174" t="s">
        <v>397</v>
      </c>
      <c r="E137" s="174" t="s">
        <v>271</v>
      </c>
      <c r="F137" s="174">
        <v>8</v>
      </c>
      <c r="G137" s="174">
        <v>1.4</v>
      </c>
      <c r="H137" s="174" t="b">
        <v>1</v>
      </c>
      <c r="I137" s="174" t="b">
        <v>1</v>
      </c>
      <c r="J137" s="174">
        <v>0.71</v>
      </c>
      <c r="K137" s="174">
        <v>302</v>
      </c>
      <c r="L137" s="174">
        <v>4.8</v>
      </c>
      <c r="M137" s="178">
        <v>40967</v>
      </c>
      <c r="O137" s="179">
        <f>VLOOKUP(K137,'Cost Model '!$G$11:$J$200,4,FALSE)</f>
        <v>13.99</v>
      </c>
      <c r="R137" s="162" t="str">
        <f t="shared" si="7"/>
        <v>YES</v>
      </c>
      <c r="S137" s="162" t="str">
        <f t="shared" si="4"/>
        <v>YES</v>
      </c>
      <c r="T137" s="162" t="str">
        <f t="shared" si="5"/>
        <v>No</v>
      </c>
      <c r="U137" s="162" t="str">
        <f t="shared" si="6"/>
        <v>No</v>
      </c>
    </row>
    <row r="138" spans="1:21" ht="15">
      <c r="A138" s="174">
        <v>4490</v>
      </c>
      <c r="B138" s="174" t="s">
        <v>349</v>
      </c>
      <c r="C138" s="174" t="s">
        <v>369</v>
      </c>
      <c r="D138" s="174" t="s">
        <v>398</v>
      </c>
      <c r="E138" s="174" t="s">
        <v>271</v>
      </c>
      <c r="F138" s="174">
        <v>8</v>
      </c>
      <c r="G138" s="174">
        <v>1.22</v>
      </c>
      <c r="H138" s="174" t="b">
        <v>1</v>
      </c>
      <c r="I138" s="174" t="b">
        <v>1</v>
      </c>
      <c r="J138" s="174">
        <v>0.82</v>
      </c>
      <c r="K138" s="174">
        <v>262</v>
      </c>
      <c r="L138" s="174">
        <v>4.0999999999999996</v>
      </c>
      <c r="M138" s="178">
        <v>40869</v>
      </c>
      <c r="O138" s="179">
        <f>VLOOKUP(K138,'Cost Model '!$G$11:$J$200,4,FALSE)</f>
        <v>57.049999999999955</v>
      </c>
      <c r="R138" s="162" t="str">
        <f t="shared" si="7"/>
        <v>YES</v>
      </c>
      <c r="S138" s="162" t="str">
        <f t="shared" si="4"/>
        <v>YES</v>
      </c>
      <c r="T138" s="162" t="str">
        <f t="shared" si="5"/>
        <v>YES</v>
      </c>
      <c r="U138" s="162" t="str">
        <f t="shared" si="6"/>
        <v>YES</v>
      </c>
    </row>
    <row r="139" spans="1:21" ht="15">
      <c r="A139" s="174">
        <v>3382</v>
      </c>
      <c r="B139" s="174" t="s">
        <v>349</v>
      </c>
      <c r="C139" s="174" t="s">
        <v>369</v>
      </c>
      <c r="D139" s="174" t="s">
        <v>399</v>
      </c>
      <c r="E139" s="174" t="s">
        <v>271</v>
      </c>
      <c r="F139" s="174">
        <v>8</v>
      </c>
      <c r="G139" s="174">
        <v>1.45</v>
      </c>
      <c r="H139" s="174" t="b">
        <v>1</v>
      </c>
      <c r="I139" s="174" t="b">
        <v>1</v>
      </c>
      <c r="J139" s="174">
        <v>0.69</v>
      </c>
      <c r="K139" s="174">
        <v>318</v>
      </c>
      <c r="L139" s="174">
        <v>5.2</v>
      </c>
      <c r="M139" s="178">
        <v>40406</v>
      </c>
      <c r="O139" s="179">
        <f>VLOOKUP(K139,'Cost Model '!$G$11:$J$200,4,FALSE)</f>
        <v>4.13</v>
      </c>
      <c r="R139" s="162" t="str">
        <f t="shared" si="7"/>
        <v>YES</v>
      </c>
      <c r="S139" s="162" t="str">
        <f t="shared" si="4"/>
        <v>No</v>
      </c>
      <c r="T139" s="162" t="str">
        <f t="shared" si="5"/>
        <v>No</v>
      </c>
      <c r="U139" s="162" t="str">
        <f t="shared" si="6"/>
        <v>No</v>
      </c>
    </row>
    <row r="140" spans="1:21" ht="15">
      <c r="A140" s="174">
        <v>4494</v>
      </c>
      <c r="B140" s="174" t="s">
        <v>349</v>
      </c>
      <c r="C140" s="174" t="s">
        <v>369</v>
      </c>
      <c r="D140" s="174" t="s">
        <v>400</v>
      </c>
      <c r="E140" s="174" t="s">
        <v>271</v>
      </c>
      <c r="F140" s="174">
        <v>8</v>
      </c>
      <c r="G140" s="174">
        <v>1.22</v>
      </c>
      <c r="H140" s="174" t="b">
        <v>1</v>
      </c>
      <c r="I140" s="174" t="b">
        <v>1</v>
      </c>
      <c r="J140" s="174">
        <v>0.82</v>
      </c>
      <c r="K140" s="174">
        <v>262</v>
      </c>
      <c r="L140" s="174">
        <v>4.0999999999999996</v>
      </c>
      <c r="M140" s="178">
        <v>40869</v>
      </c>
      <c r="O140" s="179">
        <f>VLOOKUP(K140,'Cost Model '!$G$11:$J$200,4,FALSE)</f>
        <v>57.049999999999955</v>
      </c>
      <c r="R140" s="162" t="str">
        <f t="shared" si="7"/>
        <v>YES</v>
      </c>
      <c r="S140" s="162" t="str">
        <f t="shared" si="4"/>
        <v>YES</v>
      </c>
      <c r="T140" s="162" t="str">
        <f t="shared" si="5"/>
        <v>YES</v>
      </c>
      <c r="U140" s="162" t="str">
        <f t="shared" si="6"/>
        <v>YES</v>
      </c>
    </row>
    <row r="141" spans="1:21" ht="15">
      <c r="A141" s="174">
        <v>4673</v>
      </c>
      <c r="B141" s="174" t="s">
        <v>349</v>
      </c>
      <c r="C141" s="174" t="s">
        <v>369</v>
      </c>
      <c r="D141" s="174" t="s">
        <v>401</v>
      </c>
      <c r="E141" s="174" t="s">
        <v>271</v>
      </c>
      <c r="F141" s="174">
        <v>8</v>
      </c>
      <c r="G141" s="174">
        <v>1.22</v>
      </c>
      <c r="H141" s="174" t="b">
        <v>1</v>
      </c>
      <c r="I141" s="174" t="b">
        <v>1</v>
      </c>
      <c r="J141" s="174">
        <v>0.82</v>
      </c>
      <c r="K141" s="174">
        <v>263</v>
      </c>
      <c r="L141" s="174">
        <v>4.0999999999999996</v>
      </c>
      <c r="M141" s="178">
        <v>41110</v>
      </c>
      <c r="O141" s="179">
        <f>VLOOKUP(K141,'Cost Model '!$G$11:$J$200,4,FALSE)</f>
        <v>55.899999999999956</v>
      </c>
      <c r="R141" s="162" t="str">
        <f t="shared" si="7"/>
        <v>YES</v>
      </c>
      <c r="S141" s="162" t="str">
        <f t="shared" si="4"/>
        <v>YES</v>
      </c>
      <c r="T141" s="162" t="str">
        <f t="shared" si="5"/>
        <v>YES</v>
      </c>
      <c r="U141" s="162" t="str">
        <f t="shared" si="6"/>
        <v>YES</v>
      </c>
    </row>
    <row r="142" spans="1:21" ht="15">
      <c r="A142" s="174">
        <v>4488</v>
      </c>
      <c r="B142" s="174" t="s">
        <v>349</v>
      </c>
      <c r="C142" s="174" t="s">
        <v>369</v>
      </c>
      <c r="D142" s="174" t="s">
        <v>402</v>
      </c>
      <c r="E142" s="174" t="s">
        <v>271</v>
      </c>
      <c r="F142" s="174">
        <v>8</v>
      </c>
      <c r="G142" s="174">
        <v>1.21</v>
      </c>
      <c r="H142" s="174" t="b">
        <v>1</v>
      </c>
      <c r="I142" s="174" t="b">
        <v>1</v>
      </c>
      <c r="J142" s="174">
        <v>0.82</v>
      </c>
      <c r="K142" s="174">
        <v>261</v>
      </c>
      <c r="L142" s="174">
        <v>4.0999999999999996</v>
      </c>
      <c r="M142" s="178">
        <v>40869</v>
      </c>
      <c r="O142" s="179">
        <f>VLOOKUP(K142,'Cost Model '!$G$11:$J$200,4,FALSE)</f>
        <v>58.199999999999953</v>
      </c>
      <c r="R142" s="162" t="str">
        <f t="shared" si="7"/>
        <v>YES</v>
      </c>
      <c r="S142" s="162" t="str">
        <f t="shared" si="4"/>
        <v>YES</v>
      </c>
      <c r="T142" s="162" t="str">
        <f t="shared" si="5"/>
        <v>YES</v>
      </c>
      <c r="U142" s="162" t="str">
        <f t="shared" si="6"/>
        <v>YES</v>
      </c>
    </row>
    <row r="143" spans="1:21" ht="15">
      <c r="A143" s="174">
        <v>4500</v>
      </c>
      <c r="B143" s="174" t="s">
        <v>349</v>
      </c>
      <c r="C143" s="174" t="s">
        <v>369</v>
      </c>
      <c r="D143" s="174" t="s">
        <v>403</v>
      </c>
      <c r="E143" s="174" t="s">
        <v>271</v>
      </c>
      <c r="F143" s="174">
        <v>8</v>
      </c>
      <c r="G143" s="174">
        <v>1.3</v>
      </c>
      <c r="H143" s="174" t="b">
        <v>1</v>
      </c>
      <c r="I143" s="174" t="b">
        <v>1</v>
      </c>
      <c r="J143" s="174">
        <v>0.76</v>
      </c>
      <c r="K143" s="174">
        <v>280</v>
      </c>
      <c r="L143" s="174">
        <v>3.5</v>
      </c>
      <c r="M143" s="178">
        <v>40869</v>
      </c>
      <c r="O143" s="179">
        <f>VLOOKUP(K143,'Cost Model '!$G$11:$J$200,4,FALSE)</f>
        <v>36.34999999999998</v>
      </c>
      <c r="R143" s="162" t="str">
        <f t="shared" si="7"/>
        <v>YES</v>
      </c>
      <c r="S143" s="162" t="str">
        <f t="shared" si="4"/>
        <v>YES</v>
      </c>
      <c r="T143" s="162" t="str">
        <f t="shared" si="5"/>
        <v>YES</v>
      </c>
      <c r="U143" s="162" t="str">
        <f t="shared" si="6"/>
        <v>YES</v>
      </c>
    </row>
    <row r="144" spans="1:21" ht="15">
      <c r="A144" s="174">
        <v>4485</v>
      </c>
      <c r="B144" s="174" t="s">
        <v>349</v>
      </c>
      <c r="C144" s="174" t="s">
        <v>369</v>
      </c>
      <c r="D144" s="174" t="s">
        <v>404</v>
      </c>
      <c r="E144" s="174" t="s">
        <v>271</v>
      </c>
      <c r="F144" s="174">
        <v>8</v>
      </c>
      <c r="G144" s="174">
        <v>1.21</v>
      </c>
      <c r="H144" s="174" t="b">
        <v>1</v>
      </c>
      <c r="I144" s="174" t="b">
        <v>1</v>
      </c>
      <c r="J144" s="174">
        <v>0.82</v>
      </c>
      <c r="K144" s="174">
        <v>261</v>
      </c>
      <c r="L144" s="174">
        <v>4.0999999999999996</v>
      </c>
      <c r="M144" s="178">
        <v>40869</v>
      </c>
      <c r="O144" s="179">
        <f>VLOOKUP(K144,'Cost Model '!$G$11:$J$200,4,FALSE)</f>
        <v>58.199999999999953</v>
      </c>
      <c r="R144" s="162" t="str">
        <f t="shared" si="7"/>
        <v>YES</v>
      </c>
      <c r="S144" s="162" t="str">
        <f t="shared" si="4"/>
        <v>YES</v>
      </c>
      <c r="T144" s="162" t="str">
        <f t="shared" si="5"/>
        <v>YES</v>
      </c>
      <c r="U144" s="162" t="str">
        <f t="shared" si="6"/>
        <v>YES</v>
      </c>
    </row>
    <row r="145" spans="1:21" ht="15">
      <c r="A145" s="174">
        <v>4503</v>
      </c>
      <c r="B145" s="174" t="s">
        <v>349</v>
      </c>
      <c r="C145" s="174" t="s">
        <v>369</v>
      </c>
      <c r="D145" s="174" t="s">
        <v>405</v>
      </c>
      <c r="E145" s="174" t="s">
        <v>271</v>
      </c>
      <c r="F145" s="174">
        <v>8</v>
      </c>
      <c r="G145" s="174">
        <v>1.3</v>
      </c>
      <c r="H145" s="174" t="b">
        <v>1</v>
      </c>
      <c r="I145" s="174" t="b">
        <v>1</v>
      </c>
      <c r="J145" s="174">
        <v>0.76</v>
      </c>
      <c r="K145" s="174">
        <v>280</v>
      </c>
      <c r="L145" s="174">
        <v>3.5</v>
      </c>
      <c r="M145" s="178">
        <v>40869</v>
      </c>
      <c r="O145" s="179">
        <f>VLOOKUP(K145,'Cost Model '!$G$11:$J$200,4,FALSE)</f>
        <v>36.34999999999998</v>
      </c>
      <c r="R145" s="162" t="str">
        <f t="shared" si="7"/>
        <v>YES</v>
      </c>
      <c r="S145" s="162" t="str">
        <f t="shared" si="4"/>
        <v>YES</v>
      </c>
      <c r="T145" s="162" t="str">
        <f t="shared" si="5"/>
        <v>YES</v>
      </c>
      <c r="U145" s="162" t="str">
        <f t="shared" si="6"/>
        <v>YES</v>
      </c>
    </row>
    <row r="146" spans="1:21" ht="15">
      <c r="A146" s="174">
        <v>3365</v>
      </c>
      <c r="B146" s="174" t="s">
        <v>349</v>
      </c>
      <c r="C146" s="174" t="s">
        <v>369</v>
      </c>
      <c r="D146" s="174" t="s">
        <v>406</v>
      </c>
      <c r="E146" s="174" t="s">
        <v>271</v>
      </c>
      <c r="F146" s="174">
        <v>8</v>
      </c>
      <c r="G146" s="174">
        <v>1.27</v>
      </c>
      <c r="H146" s="174" t="b">
        <v>1</v>
      </c>
      <c r="I146" s="174" t="b">
        <v>1</v>
      </c>
      <c r="J146" s="174">
        <v>0.79</v>
      </c>
      <c r="K146" s="174">
        <v>283</v>
      </c>
      <c r="L146" s="174">
        <v>3.7</v>
      </c>
      <c r="M146" s="178">
        <v>40406</v>
      </c>
      <c r="O146" s="179">
        <f>VLOOKUP(K146,'Cost Model '!$G$11:$J$200,4,FALSE)</f>
        <v>32.899999999999984</v>
      </c>
      <c r="R146" s="162" t="str">
        <f t="shared" si="7"/>
        <v>YES</v>
      </c>
      <c r="S146" s="162" t="str">
        <f t="shared" si="4"/>
        <v>YES</v>
      </c>
      <c r="T146" s="162" t="str">
        <f t="shared" si="5"/>
        <v>YES</v>
      </c>
      <c r="U146" s="162" t="str">
        <f t="shared" si="6"/>
        <v>YES</v>
      </c>
    </row>
    <row r="147" spans="1:21" ht="15">
      <c r="A147" s="174">
        <v>3366</v>
      </c>
      <c r="B147" s="174" t="s">
        <v>349</v>
      </c>
      <c r="C147" s="174" t="s">
        <v>369</v>
      </c>
      <c r="D147" s="174" t="s">
        <v>407</v>
      </c>
      <c r="E147" s="174" t="s">
        <v>271</v>
      </c>
      <c r="F147" s="174">
        <v>8</v>
      </c>
      <c r="G147" s="174">
        <v>1.27</v>
      </c>
      <c r="H147" s="174" t="b">
        <v>1</v>
      </c>
      <c r="I147" s="174" t="b">
        <v>1</v>
      </c>
      <c r="J147" s="174">
        <v>0.79</v>
      </c>
      <c r="K147" s="174">
        <v>283</v>
      </c>
      <c r="L147" s="174">
        <v>3.7</v>
      </c>
      <c r="M147" s="178">
        <v>40406</v>
      </c>
      <c r="O147" s="179">
        <f>VLOOKUP(K147,'Cost Model '!$G$11:$J$200,4,FALSE)</f>
        <v>32.899999999999984</v>
      </c>
      <c r="R147" s="162" t="str">
        <f t="shared" si="7"/>
        <v>YES</v>
      </c>
      <c r="S147" s="162" t="str">
        <f t="shared" si="4"/>
        <v>YES</v>
      </c>
      <c r="T147" s="162" t="str">
        <f t="shared" si="5"/>
        <v>YES</v>
      </c>
      <c r="U147" s="162" t="str">
        <f t="shared" si="6"/>
        <v>YES</v>
      </c>
    </row>
    <row r="148" spans="1:21" ht="15">
      <c r="A148" s="174">
        <v>4674</v>
      </c>
      <c r="B148" s="174" t="s">
        <v>349</v>
      </c>
      <c r="C148" s="174" t="s">
        <v>369</v>
      </c>
      <c r="D148" s="174" t="s">
        <v>408</v>
      </c>
      <c r="E148" s="174" t="s">
        <v>271</v>
      </c>
      <c r="F148" s="174">
        <v>8</v>
      </c>
      <c r="G148" s="174">
        <v>1.26</v>
      </c>
      <c r="H148" s="174" t="b">
        <v>1</v>
      </c>
      <c r="I148" s="174" t="b">
        <v>1</v>
      </c>
      <c r="J148" s="174">
        <v>0.79</v>
      </c>
      <c r="K148" s="174">
        <v>272</v>
      </c>
      <c r="L148" s="174">
        <v>3.7</v>
      </c>
      <c r="M148" s="178">
        <v>41110</v>
      </c>
      <c r="O148" s="179">
        <f>VLOOKUP(K148,'Cost Model '!$G$11:$J$200,4,FALSE)</f>
        <v>45.549999999999969</v>
      </c>
      <c r="R148" s="162" t="str">
        <f t="shared" si="7"/>
        <v>YES</v>
      </c>
      <c r="S148" s="162" t="str">
        <f t="shared" si="4"/>
        <v>YES</v>
      </c>
      <c r="T148" s="162" t="str">
        <f t="shared" si="5"/>
        <v>YES</v>
      </c>
      <c r="U148" s="162" t="str">
        <f t="shared" si="6"/>
        <v>YES</v>
      </c>
    </row>
    <row r="149" spans="1:21" ht="15">
      <c r="A149" s="174">
        <v>3367</v>
      </c>
      <c r="B149" s="174" t="s">
        <v>349</v>
      </c>
      <c r="C149" s="174" t="s">
        <v>369</v>
      </c>
      <c r="D149" s="174" t="s">
        <v>409</v>
      </c>
      <c r="E149" s="174" t="s">
        <v>271</v>
      </c>
      <c r="F149" s="174">
        <v>8</v>
      </c>
      <c r="G149" s="174">
        <v>1.27</v>
      </c>
      <c r="H149" s="174" t="b">
        <v>1</v>
      </c>
      <c r="I149" s="174" t="b">
        <v>1</v>
      </c>
      <c r="J149" s="174">
        <v>0.79</v>
      </c>
      <c r="K149" s="174">
        <v>283</v>
      </c>
      <c r="L149" s="174">
        <v>3.7</v>
      </c>
      <c r="M149" s="178">
        <v>40406</v>
      </c>
      <c r="O149" s="179">
        <f>VLOOKUP(K149,'Cost Model '!$G$11:$J$200,4,FALSE)</f>
        <v>32.899999999999984</v>
      </c>
      <c r="R149" s="162" t="str">
        <f t="shared" si="7"/>
        <v>YES</v>
      </c>
      <c r="S149" s="162" t="str">
        <f t="shared" ref="S149:S212" si="8">IF(AND($K149&gt;=$S$7,$K149&lt;=$S$8,$L149&lt;=$S$9),"YES","No")</f>
        <v>YES</v>
      </c>
      <c r="T149" s="162" t="str">
        <f t="shared" ref="T149:T212" si="9">IF(AND($K149&gt;=$T$7,$K149&lt;=$T$8,$L149&lt;=$T$9),"YES","No")</f>
        <v>YES</v>
      </c>
      <c r="U149" s="162" t="str">
        <f t="shared" ref="U149:U212" si="10">IF(AND($K149&gt;=$U$7,$K149&lt;=$U$8,$L149&lt;=$U$9,J149&gt;=$U$11),"YES","No")</f>
        <v>YES</v>
      </c>
    </row>
    <row r="150" spans="1:21" ht="15">
      <c r="A150" s="174">
        <v>4498</v>
      </c>
      <c r="B150" s="174" t="s">
        <v>349</v>
      </c>
      <c r="C150" s="174" t="s">
        <v>369</v>
      </c>
      <c r="D150" s="174" t="s">
        <v>410</v>
      </c>
      <c r="E150" s="174" t="s">
        <v>271</v>
      </c>
      <c r="F150" s="174">
        <v>8</v>
      </c>
      <c r="G150" s="174">
        <v>1.26</v>
      </c>
      <c r="H150" s="174" t="b">
        <v>1</v>
      </c>
      <c r="I150" s="174" t="b">
        <v>1</v>
      </c>
      <c r="J150" s="174">
        <v>0.79</v>
      </c>
      <c r="K150" s="174">
        <v>272</v>
      </c>
      <c r="L150" s="174">
        <v>3.7</v>
      </c>
      <c r="M150" s="178">
        <v>40869</v>
      </c>
      <c r="O150" s="179">
        <f>VLOOKUP(K150,'Cost Model '!$G$11:$J$200,4,FALSE)</f>
        <v>45.549999999999969</v>
      </c>
      <c r="R150" s="162" t="str">
        <f t="shared" ref="R150:R213" si="11">IF(AND($K150&gt;=$R$7,$K150&lt;=$R$8,$L150&lt;=$R$9),"YES","No")</f>
        <v>YES</v>
      </c>
      <c r="S150" s="162" t="str">
        <f t="shared" si="8"/>
        <v>YES</v>
      </c>
      <c r="T150" s="162" t="str">
        <f t="shared" si="9"/>
        <v>YES</v>
      </c>
      <c r="U150" s="162" t="str">
        <f t="shared" si="10"/>
        <v>YES</v>
      </c>
    </row>
    <row r="151" spans="1:21" ht="15">
      <c r="A151" s="174">
        <v>3368</v>
      </c>
      <c r="B151" s="174" t="s">
        <v>349</v>
      </c>
      <c r="C151" s="174" t="s">
        <v>369</v>
      </c>
      <c r="D151" s="174" t="s">
        <v>411</v>
      </c>
      <c r="E151" s="174" t="s">
        <v>271</v>
      </c>
      <c r="F151" s="174">
        <v>8</v>
      </c>
      <c r="G151" s="174">
        <v>1.27</v>
      </c>
      <c r="H151" s="174" t="b">
        <v>1</v>
      </c>
      <c r="I151" s="174" t="b">
        <v>1</v>
      </c>
      <c r="J151" s="174">
        <v>0.79</v>
      </c>
      <c r="K151" s="174">
        <v>283</v>
      </c>
      <c r="L151" s="174">
        <v>3.7</v>
      </c>
      <c r="M151" s="178">
        <v>40406</v>
      </c>
      <c r="O151" s="179">
        <f>VLOOKUP(K151,'Cost Model '!$G$11:$J$200,4,FALSE)</f>
        <v>32.899999999999984</v>
      </c>
      <c r="R151" s="162" t="str">
        <f t="shared" si="11"/>
        <v>YES</v>
      </c>
      <c r="S151" s="162" t="str">
        <f t="shared" si="8"/>
        <v>YES</v>
      </c>
      <c r="T151" s="162" t="str">
        <f t="shared" si="9"/>
        <v>YES</v>
      </c>
      <c r="U151" s="162" t="str">
        <f t="shared" si="10"/>
        <v>YES</v>
      </c>
    </row>
    <row r="152" spans="1:21" ht="15">
      <c r="A152" s="174">
        <v>4497</v>
      </c>
      <c r="B152" s="174" t="s">
        <v>349</v>
      </c>
      <c r="C152" s="174" t="s">
        <v>369</v>
      </c>
      <c r="D152" s="174" t="s">
        <v>412</v>
      </c>
      <c r="E152" s="174" t="s">
        <v>271</v>
      </c>
      <c r="F152" s="174">
        <v>8</v>
      </c>
      <c r="G152" s="174">
        <v>1.26</v>
      </c>
      <c r="H152" s="174" t="b">
        <v>1</v>
      </c>
      <c r="I152" s="174" t="b">
        <v>1</v>
      </c>
      <c r="J152" s="174">
        <v>0.79</v>
      </c>
      <c r="K152" s="174">
        <v>272</v>
      </c>
      <c r="L152" s="174">
        <v>3.7</v>
      </c>
      <c r="M152" s="178">
        <v>40869</v>
      </c>
      <c r="O152" s="179">
        <f>VLOOKUP(K152,'Cost Model '!$G$11:$J$200,4,FALSE)</f>
        <v>45.549999999999969</v>
      </c>
      <c r="R152" s="162" t="str">
        <f t="shared" si="11"/>
        <v>YES</v>
      </c>
      <c r="S152" s="162" t="str">
        <f t="shared" si="8"/>
        <v>YES</v>
      </c>
      <c r="T152" s="162" t="str">
        <f t="shared" si="9"/>
        <v>YES</v>
      </c>
      <c r="U152" s="162" t="str">
        <f t="shared" si="10"/>
        <v>YES</v>
      </c>
    </row>
    <row r="153" spans="1:21" ht="15">
      <c r="A153" s="174">
        <v>3381</v>
      </c>
      <c r="B153" s="174" t="s">
        <v>349</v>
      </c>
      <c r="C153" s="174" t="s">
        <v>369</v>
      </c>
      <c r="D153" s="174" t="s">
        <v>413</v>
      </c>
      <c r="E153" s="174" t="s">
        <v>271</v>
      </c>
      <c r="F153" s="174">
        <v>8</v>
      </c>
      <c r="G153" s="174">
        <v>1.45</v>
      </c>
      <c r="H153" s="174" t="b">
        <v>1</v>
      </c>
      <c r="I153" s="174" t="b">
        <v>1</v>
      </c>
      <c r="J153" s="174">
        <v>0.69</v>
      </c>
      <c r="K153" s="174">
        <v>318</v>
      </c>
      <c r="L153" s="174">
        <v>5.2</v>
      </c>
      <c r="M153" s="178">
        <v>40406</v>
      </c>
      <c r="O153" s="179">
        <f>VLOOKUP(K153,'Cost Model '!$G$11:$J$200,4,FALSE)</f>
        <v>4.13</v>
      </c>
      <c r="R153" s="162" t="str">
        <f t="shared" si="11"/>
        <v>YES</v>
      </c>
      <c r="S153" s="162" t="str">
        <f t="shared" si="8"/>
        <v>No</v>
      </c>
      <c r="T153" s="162" t="str">
        <f t="shared" si="9"/>
        <v>No</v>
      </c>
      <c r="U153" s="162" t="str">
        <f t="shared" si="10"/>
        <v>No</v>
      </c>
    </row>
    <row r="154" spans="1:21" ht="15">
      <c r="A154" s="174">
        <v>4495</v>
      </c>
      <c r="B154" s="174" t="s">
        <v>349</v>
      </c>
      <c r="C154" s="174" t="s">
        <v>369</v>
      </c>
      <c r="D154" s="174" t="s">
        <v>414</v>
      </c>
      <c r="E154" s="174" t="s">
        <v>271</v>
      </c>
      <c r="F154" s="174">
        <v>8</v>
      </c>
      <c r="G154" s="174">
        <v>1.22</v>
      </c>
      <c r="H154" s="174" t="b">
        <v>1</v>
      </c>
      <c r="I154" s="174" t="b">
        <v>1</v>
      </c>
      <c r="J154" s="174">
        <v>0.82</v>
      </c>
      <c r="K154" s="174">
        <v>262</v>
      </c>
      <c r="L154" s="174">
        <v>4.0999999999999996</v>
      </c>
      <c r="M154" s="178">
        <v>40869</v>
      </c>
      <c r="O154" s="179">
        <f>VLOOKUP(K154,'Cost Model '!$G$11:$J$200,4,FALSE)</f>
        <v>57.049999999999955</v>
      </c>
      <c r="R154" s="162" t="str">
        <f t="shared" si="11"/>
        <v>YES</v>
      </c>
      <c r="S154" s="162" t="str">
        <f t="shared" si="8"/>
        <v>YES</v>
      </c>
      <c r="T154" s="162" t="str">
        <f t="shared" si="9"/>
        <v>YES</v>
      </c>
      <c r="U154" s="162" t="str">
        <f t="shared" si="10"/>
        <v>YES</v>
      </c>
    </row>
    <row r="155" spans="1:21" ht="15">
      <c r="A155" s="174">
        <v>3369</v>
      </c>
      <c r="B155" s="174" t="s">
        <v>349</v>
      </c>
      <c r="C155" s="174" t="s">
        <v>369</v>
      </c>
      <c r="D155" s="174" t="s">
        <v>415</v>
      </c>
      <c r="E155" s="174" t="s">
        <v>271</v>
      </c>
      <c r="F155" s="174">
        <v>8</v>
      </c>
      <c r="G155" s="174">
        <v>1.47</v>
      </c>
      <c r="H155" s="174" t="b">
        <v>1</v>
      </c>
      <c r="I155" s="174" t="b">
        <v>1</v>
      </c>
      <c r="J155" s="174">
        <v>0.68</v>
      </c>
      <c r="K155" s="174">
        <v>320</v>
      </c>
      <c r="L155" s="174">
        <v>5.3</v>
      </c>
      <c r="M155" s="178">
        <v>40406</v>
      </c>
      <c r="O155" s="179">
        <f>VLOOKUP(K155,'Cost Model '!$G$11:$J$200,4,FALSE)</f>
        <v>2.9499999999999997</v>
      </c>
      <c r="R155" s="162" t="str">
        <f t="shared" si="11"/>
        <v>YES</v>
      </c>
      <c r="S155" s="162" t="str">
        <f t="shared" si="8"/>
        <v>No</v>
      </c>
      <c r="T155" s="162" t="str">
        <f t="shared" si="9"/>
        <v>No</v>
      </c>
      <c r="U155" s="162" t="str">
        <f t="shared" si="10"/>
        <v>No</v>
      </c>
    </row>
    <row r="156" spans="1:21" ht="15">
      <c r="A156" s="174">
        <v>4487</v>
      </c>
      <c r="B156" s="174" t="s">
        <v>349</v>
      </c>
      <c r="C156" s="174" t="s">
        <v>369</v>
      </c>
      <c r="D156" s="174" t="s">
        <v>416</v>
      </c>
      <c r="E156" s="174" t="s">
        <v>271</v>
      </c>
      <c r="F156" s="174">
        <v>8</v>
      </c>
      <c r="G156" s="174">
        <v>1.21</v>
      </c>
      <c r="H156" s="174" t="b">
        <v>1</v>
      </c>
      <c r="I156" s="174" t="b">
        <v>1</v>
      </c>
      <c r="J156" s="174">
        <v>0.82</v>
      </c>
      <c r="K156" s="174">
        <v>261</v>
      </c>
      <c r="L156" s="174">
        <v>4.0999999999999996</v>
      </c>
      <c r="M156" s="178">
        <v>40869</v>
      </c>
      <c r="O156" s="179">
        <f>VLOOKUP(K156,'Cost Model '!$G$11:$J$200,4,FALSE)</f>
        <v>58.199999999999953</v>
      </c>
      <c r="R156" s="162" t="str">
        <f t="shared" si="11"/>
        <v>YES</v>
      </c>
      <c r="S156" s="162" t="str">
        <f t="shared" si="8"/>
        <v>YES</v>
      </c>
      <c r="T156" s="162" t="str">
        <f t="shared" si="9"/>
        <v>YES</v>
      </c>
      <c r="U156" s="162" t="str">
        <f t="shared" si="10"/>
        <v>YES</v>
      </c>
    </row>
    <row r="157" spans="1:21" ht="15">
      <c r="A157" s="174">
        <v>3370</v>
      </c>
      <c r="B157" s="174" t="s">
        <v>349</v>
      </c>
      <c r="C157" s="174" t="s">
        <v>369</v>
      </c>
      <c r="D157" s="174" t="s">
        <v>417</v>
      </c>
      <c r="E157" s="174" t="s">
        <v>271</v>
      </c>
      <c r="F157" s="174">
        <v>8</v>
      </c>
      <c r="G157" s="174">
        <v>1.45</v>
      </c>
      <c r="H157" s="174" t="b">
        <v>1</v>
      </c>
      <c r="I157" s="174" t="b">
        <v>1</v>
      </c>
      <c r="J157" s="174">
        <v>0.69</v>
      </c>
      <c r="K157" s="174">
        <v>316</v>
      </c>
      <c r="L157" s="174">
        <v>4.7</v>
      </c>
      <c r="M157" s="178">
        <v>40406</v>
      </c>
      <c r="O157" s="179">
        <f>VLOOKUP(K157,'Cost Model '!$G$11:$J$200,4,FALSE)</f>
        <v>5.31</v>
      </c>
      <c r="R157" s="162" t="str">
        <f t="shared" si="11"/>
        <v>YES</v>
      </c>
      <c r="S157" s="162" t="str">
        <f t="shared" si="8"/>
        <v>No</v>
      </c>
      <c r="T157" s="162" t="str">
        <f t="shared" si="9"/>
        <v>No</v>
      </c>
      <c r="U157" s="162" t="str">
        <f t="shared" si="10"/>
        <v>No</v>
      </c>
    </row>
    <row r="158" spans="1:21" ht="15">
      <c r="A158" s="174">
        <v>4604</v>
      </c>
      <c r="B158" s="174" t="s">
        <v>349</v>
      </c>
      <c r="C158" s="174" t="s">
        <v>369</v>
      </c>
      <c r="D158" s="174" t="s">
        <v>418</v>
      </c>
      <c r="E158" s="174" t="s">
        <v>271</v>
      </c>
      <c r="F158" s="174">
        <v>8</v>
      </c>
      <c r="G158" s="174">
        <v>1.3</v>
      </c>
      <c r="H158" s="174" t="b">
        <v>1</v>
      </c>
      <c r="I158" s="174" t="b">
        <v>1</v>
      </c>
      <c r="J158" s="174">
        <v>0.77</v>
      </c>
      <c r="K158" s="174">
        <v>280</v>
      </c>
      <c r="L158" s="174">
        <v>3.5</v>
      </c>
      <c r="M158" s="178">
        <v>40967</v>
      </c>
      <c r="O158" s="179">
        <f>VLOOKUP(K158,'Cost Model '!$G$11:$J$200,4,FALSE)</f>
        <v>36.34999999999998</v>
      </c>
      <c r="R158" s="162" t="str">
        <f t="shared" si="11"/>
        <v>YES</v>
      </c>
      <c r="S158" s="162" t="str">
        <f t="shared" si="8"/>
        <v>YES</v>
      </c>
      <c r="T158" s="162" t="str">
        <f t="shared" si="9"/>
        <v>YES</v>
      </c>
      <c r="U158" s="162" t="str">
        <f t="shared" si="10"/>
        <v>YES</v>
      </c>
    </row>
    <row r="159" spans="1:21" ht="15">
      <c r="A159" s="174">
        <v>4667</v>
      </c>
      <c r="B159" s="174" t="s">
        <v>349</v>
      </c>
      <c r="C159" s="174" t="s">
        <v>369</v>
      </c>
      <c r="D159" s="174" t="s">
        <v>419</v>
      </c>
      <c r="E159" s="174" t="s">
        <v>271</v>
      </c>
      <c r="F159" s="174">
        <v>8</v>
      </c>
      <c r="G159" s="174">
        <v>1.21</v>
      </c>
      <c r="H159" s="174" t="b">
        <v>1</v>
      </c>
      <c r="I159" s="174" t="b">
        <v>1</v>
      </c>
      <c r="J159" s="174">
        <v>0.82</v>
      </c>
      <c r="K159" s="174">
        <v>261</v>
      </c>
      <c r="L159" s="174">
        <v>4.0999999999999996</v>
      </c>
      <c r="M159" s="178">
        <v>41110</v>
      </c>
      <c r="O159" s="179">
        <f>VLOOKUP(K159,'Cost Model '!$G$11:$J$200,4,FALSE)</f>
        <v>58.199999999999953</v>
      </c>
      <c r="R159" s="162" t="str">
        <f t="shared" si="11"/>
        <v>YES</v>
      </c>
      <c r="S159" s="162" t="str">
        <f t="shared" si="8"/>
        <v>YES</v>
      </c>
      <c r="T159" s="162" t="str">
        <f t="shared" si="9"/>
        <v>YES</v>
      </c>
      <c r="U159" s="162" t="str">
        <f t="shared" si="10"/>
        <v>YES</v>
      </c>
    </row>
    <row r="160" spans="1:21" ht="15">
      <c r="A160" s="174">
        <v>3373</v>
      </c>
      <c r="B160" s="174" t="s">
        <v>349</v>
      </c>
      <c r="C160" s="174" t="s">
        <v>369</v>
      </c>
      <c r="D160" s="174" t="s">
        <v>420</v>
      </c>
      <c r="E160" s="174" t="s">
        <v>271</v>
      </c>
      <c r="F160" s="174">
        <v>8</v>
      </c>
      <c r="G160" s="174">
        <v>1.27</v>
      </c>
      <c r="H160" s="174" t="b">
        <v>1</v>
      </c>
      <c r="I160" s="174" t="b">
        <v>1</v>
      </c>
      <c r="J160" s="174">
        <v>0.79</v>
      </c>
      <c r="K160" s="174">
        <v>283</v>
      </c>
      <c r="L160" s="174">
        <v>3.7</v>
      </c>
      <c r="M160" s="178">
        <v>40406</v>
      </c>
      <c r="O160" s="179">
        <f>VLOOKUP(K160,'Cost Model '!$G$11:$J$200,4,FALSE)</f>
        <v>32.899999999999984</v>
      </c>
      <c r="R160" s="162" t="str">
        <f t="shared" si="11"/>
        <v>YES</v>
      </c>
      <c r="S160" s="162" t="str">
        <f t="shared" si="8"/>
        <v>YES</v>
      </c>
      <c r="T160" s="162" t="str">
        <f t="shared" si="9"/>
        <v>YES</v>
      </c>
      <c r="U160" s="162" t="str">
        <f t="shared" si="10"/>
        <v>YES</v>
      </c>
    </row>
    <row r="161" spans="1:21" ht="15">
      <c r="A161" s="174">
        <v>4190</v>
      </c>
      <c r="B161" s="174" t="s">
        <v>349</v>
      </c>
      <c r="C161" s="174" t="s">
        <v>421</v>
      </c>
      <c r="D161" s="174" t="s">
        <v>422</v>
      </c>
      <c r="E161" s="174" t="s">
        <v>271</v>
      </c>
      <c r="F161" s="174">
        <v>8</v>
      </c>
      <c r="G161" s="174">
        <v>1.4</v>
      </c>
      <c r="H161" s="174" t="b">
        <v>1</v>
      </c>
      <c r="I161" s="174" t="b">
        <v>1</v>
      </c>
      <c r="J161" s="174">
        <v>0.71</v>
      </c>
      <c r="K161" s="174">
        <v>309</v>
      </c>
      <c r="L161" s="174">
        <v>4.9000000000000004</v>
      </c>
      <c r="M161" s="178">
        <v>40672</v>
      </c>
      <c r="O161" s="179">
        <f>VLOOKUP(K161,'Cost Model '!$G$11:$J$200,4,FALSE)</f>
        <v>9.44</v>
      </c>
      <c r="R161" s="162" t="str">
        <f t="shared" si="11"/>
        <v>YES</v>
      </c>
      <c r="S161" s="162" t="str">
        <f t="shared" si="8"/>
        <v>No</v>
      </c>
      <c r="T161" s="162" t="str">
        <f t="shared" si="9"/>
        <v>No</v>
      </c>
      <c r="U161" s="162" t="str">
        <f t="shared" si="10"/>
        <v>No</v>
      </c>
    </row>
    <row r="162" spans="1:21" ht="15">
      <c r="A162" s="174">
        <v>4605</v>
      </c>
      <c r="B162" s="174" t="s">
        <v>349</v>
      </c>
      <c r="C162" s="174" t="s">
        <v>340</v>
      </c>
      <c r="D162" s="174" t="s">
        <v>423</v>
      </c>
      <c r="E162" s="174" t="s">
        <v>271</v>
      </c>
      <c r="F162" s="174">
        <v>8</v>
      </c>
      <c r="G162" s="174">
        <v>1.53</v>
      </c>
      <c r="H162" s="174" t="b">
        <v>1</v>
      </c>
      <c r="I162" s="174" t="b">
        <v>1</v>
      </c>
      <c r="J162" s="174">
        <v>0.65</v>
      </c>
      <c r="K162" s="174">
        <v>330</v>
      </c>
      <c r="L162" s="174">
        <v>6.1</v>
      </c>
      <c r="M162" s="178">
        <v>40967</v>
      </c>
      <c r="O162" s="179" t="str">
        <f>VLOOKUP(K162,'Cost Model '!$G$11:$J$200,4,FALSE)</f>
        <v>--</v>
      </c>
      <c r="R162" s="162" t="str">
        <f t="shared" si="11"/>
        <v>YES</v>
      </c>
      <c r="S162" s="162" t="str">
        <f t="shared" si="8"/>
        <v>No</v>
      </c>
      <c r="T162" s="162" t="str">
        <f t="shared" si="9"/>
        <v>No</v>
      </c>
      <c r="U162" s="162" t="str">
        <f t="shared" si="10"/>
        <v>No</v>
      </c>
    </row>
    <row r="163" spans="1:21" ht="15">
      <c r="A163" s="174">
        <v>4606</v>
      </c>
      <c r="B163" s="174" t="s">
        <v>349</v>
      </c>
      <c r="C163" s="174" t="s">
        <v>340</v>
      </c>
      <c r="D163" s="174" t="s">
        <v>424</v>
      </c>
      <c r="E163" s="174" t="s">
        <v>271</v>
      </c>
      <c r="F163" s="174">
        <v>8</v>
      </c>
      <c r="G163" s="174">
        <v>1.22</v>
      </c>
      <c r="H163" s="174" t="b">
        <v>1</v>
      </c>
      <c r="I163" s="174" t="b">
        <v>1</v>
      </c>
      <c r="J163" s="174">
        <v>0.82</v>
      </c>
      <c r="K163" s="174">
        <v>263</v>
      </c>
      <c r="L163" s="174">
        <v>4.0999999999999996</v>
      </c>
      <c r="M163" s="178">
        <v>40967</v>
      </c>
      <c r="O163" s="179">
        <f>VLOOKUP(K163,'Cost Model '!$G$11:$J$200,4,FALSE)</f>
        <v>55.899999999999956</v>
      </c>
      <c r="R163" s="162" t="str">
        <f t="shared" si="11"/>
        <v>YES</v>
      </c>
      <c r="S163" s="162" t="str">
        <f t="shared" si="8"/>
        <v>YES</v>
      </c>
      <c r="T163" s="162" t="str">
        <f t="shared" si="9"/>
        <v>YES</v>
      </c>
      <c r="U163" s="162" t="str">
        <f t="shared" si="10"/>
        <v>YES</v>
      </c>
    </row>
    <row r="164" spans="1:21" ht="15">
      <c r="A164" s="174">
        <v>3378</v>
      </c>
      <c r="B164" s="174" t="s">
        <v>349</v>
      </c>
      <c r="C164" s="174" t="s">
        <v>340</v>
      </c>
      <c r="D164" s="174" t="s">
        <v>425</v>
      </c>
      <c r="E164" s="174" t="s">
        <v>271</v>
      </c>
      <c r="F164" s="174">
        <v>8</v>
      </c>
      <c r="G164" s="174">
        <v>1.45</v>
      </c>
      <c r="H164" s="174" t="b">
        <v>1</v>
      </c>
      <c r="I164" s="174" t="b">
        <v>1</v>
      </c>
      <c r="J164" s="174">
        <v>0.69</v>
      </c>
      <c r="K164" s="174">
        <v>318</v>
      </c>
      <c r="L164" s="174">
        <v>5.2</v>
      </c>
      <c r="M164" s="178">
        <v>40406</v>
      </c>
      <c r="O164" s="179">
        <f>VLOOKUP(K164,'Cost Model '!$G$11:$J$200,4,FALSE)</f>
        <v>4.13</v>
      </c>
      <c r="R164" s="162" t="str">
        <f t="shared" si="11"/>
        <v>YES</v>
      </c>
      <c r="S164" s="162" t="str">
        <f t="shared" si="8"/>
        <v>No</v>
      </c>
      <c r="T164" s="162" t="str">
        <f t="shared" si="9"/>
        <v>No</v>
      </c>
      <c r="U164" s="162" t="str">
        <f t="shared" si="10"/>
        <v>No</v>
      </c>
    </row>
    <row r="165" spans="1:21" ht="15">
      <c r="A165" s="174">
        <v>4660</v>
      </c>
      <c r="B165" s="174" t="s">
        <v>349</v>
      </c>
      <c r="C165" s="174" t="s">
        <v>340</v>
      </c>
      <c r="D165" s="174" t="s">
        <v>426</v>
      </c>
      <c r="E165" s="174" t="s">
        <v>271</v>
      </c>
      <c r="F165" s="174">
        <v>8</v>
      </c>
      <c r="G165" s="174">
        <v>1.21</v>
      </c>
      <c r="H165" s="174" t="b">
        <v>1</v>
      </c>
      <c r="I165" s="174" t="b">
        <v>1</v>
      </c>
      <c r="J165" s="174">
        <v>0.82</v>
      </c>
      <c r="K165" s="174">
        <v>261</v>
      </c>
      <c r="L165" s="174">
        <v>4.0999999999999996</v>
      </c>
      <c r="M165" s="178">
        <v>41043</v>
      </c>
      <c r="O165" s="179">
        <f>VLOOKUP(K165,'Cost Model '!$G$11:$J$200,4,FALSE)</f>
        <v>58.199999999999953</v>
      </c>
      <c r="R165" s="162" t="str">
        <f t="shared" si="11"/>
        <v>YES</v>
      </c>
      <c r="S165" s="162" t="str">
        <f t="shared" si="8"/>
        <v>YES</v>
      </c>
      <c r="T165" s="162" t="str">
        <f t="shared" si="9"/>
        <v>YES</v>
      </c>
      <c r="U165" s="162" t="str">
        <f t="shared" si="10"/>
        <v>YES</v>
      </c>
    </row>
    <row r="166" spans="1:21" ht="15">
      <c r="A166" s="174">
        <v>3375</v>
      </c>
      <c r="B166" s="174" t="s">
        <v>349</v>
      </c>
      <c r="C166" s="174" t="s">
        <v>340</v>
      </c>
      <c r="D166" s="174" t="s">
        <v>427</v>
      </c>
      <c r="E166" s="174" t="s">
        <v>271</v>
      </c>
      <c r="F166" s="174">
        <v>8</v>
      </c>
      <c r="G166" s="174">
        <v>1.4</v>
      </c>
      <c r="H166" s="174" t="b">
        <v>1</v>
      </c>
      <c r="I166" s="174" t="b">
        <v>1</v>
      </c>
      <c r="J166" s="174">
        <v>0.71</v>
      </c>
      <c r="K166" s="174">
        <v>309</v>
      </c>
      <c r="L166" s="174">
        <v>4.9000000000000004</v>
      </c>
      <c r="M166" s="178">
        <v>40406</v>
      </c>
      <c r="O166" s="179">
        <f>VLOOKUP(K166,'Cost Model '!$G$11:$J$200,4,FALSE)</f>
        <v>9.44</v>
      </c>
      <c r="R166" s="162" t="str">
        <f t="shared" si="11"/>
        <v>YES</v>
      </c>
      <c r="S166" s="162" t="str">
        <f t="shared" si="8"/>
        <v>No</v>
      </c>
      <c r="T166" s="162" t="str">
        <f t="shared" si="9"/>
        <v>No</v>
      </c>
      <c r="U166" s="162" t="str">
        <f t="shared" si="10"/>
        <v>No</v>
      </c>
    </row>
    <row r="167" spans="1:21" ht="15">
      <c r="A167" s="174">
        <v>3379</v>
      </c>
      <c r="B167" s="174" t="s">
        <v>349</v>
      </c>
      <c r="C167" s="174" t="s">
        <v>340</v>
      </c>
      <c r="D167" s="174" t="s">
        <v>428</v>
      </c>
      <c r="E167" s="174" t="s">
        <v>271</v>
      </c>
      <c r="F167" s="174">
        <v>8</v>
      </c>
      <c r="G167" s="174">
        <v>1.45</v>
      </c>
      <c r="H167" s="174" t="b">
        <v>1</v>
      </c>
      <c r="I167" s="174" t="b">
        <v>1</v>
      </c>
      <c r="J167" s="174">
        <v>0.69</v>
      </c>
      <c r="K167" s="174">
        <v>318</v>
      </c>
      <c r="L167" s="174">
        <v>5.2</v>
      </c>
      <c r="M167" s="178">
        <v>40406</v>
      </c>
      <c r="O167" s="179">
        <f>VLOOKUP(K167,'Cost Model '!$G$11:$J$200,4,FALSE)</f>
        <v>4.13</v>
      </c>
      <c r="R167" s="162" t="str">
        <f t="shared" si="11"/>
        <v>YES</v>
      </c>
      <c r="S167" s="162" t="str">
        <f t="shared" si="8"/>
        <v>No</v>
      </c>
      <c r="T167" s="162" t="str">
        <f t="shared" si="9"/>
        <v>No</v>
      </c>
      <c r="U167" s="162" t="str">
        <f t="shared" si="10"/>
        <v>No</v>
      </c>
    </row>
    <row r="168" spans="1:21" ht="15">
      <c r="A168" s="174">
        <v>4496</v>
      </c>
      <c r="B168" s="174" t="s">
        <v>349</v>
      </c>
      <c r="C168" s="174" t="s">
        <v>340</v>
      </c>
      <c r="D168" s="174" t="s">
        <v>429</v>
      </c>
      <c r="E168" s="174" t="s">
        <v>271</v>
      </c>
      <c r="F168" s="174">
        <v>8</v>
      </c>
      <c r="G168" s="174">
        <v>1.22</v>
      </c>
      <c r="H168" s="174" t="b">
        <v>1</v>
      </c>
      <c r="I168" s="174" t="b">
        <v>1</v>
      </c>
      <c r="J168" s="174">
        <v>0.82</v>
      </c>
      <c r="K168" s="174">
        <v>262</v>
      </c>
      <c r="L168" s="174">
        <v>4.0999999999999996</v>
      </c>
      <c r="M168" s="178">
        <v>40869</v>
      </c>
      <c r="O168" s="179">
        <f>VLOOKUP(K168,'Cost Model '!$G$11:$J$200,4,FALSE)</f>
        <v>57.049999999999955</v>
      </c>
      <c r="R168" s="162" t="str">
        <f t="shared" si="11"/>
        <v>YES</v>
      </c>
      <c r="S168" s="162" t="str">
        <f t="shared" si="8"/>
        <v>YES</v>
      </c>
      <c r="T168" s="162" t="str">
        <f t="shared" si="9"/>
        <v>YES</v>
      </c>
      <c r="U168" s="162" t="str">
        <f t="shared" si="10"/>
        <v>YES</v>
      </c>
    </row>
    <row r="169" spans="1:21" ht="15">
      <c r="A169" s="174">
        <v>4658</v>
      </c>
      <c r="B169" s="174" t="s">
        <v>349</v>
      </c>
      <c r="C169" s="174" t="s">
        <v>340</v>
      </c>
      <c r="D169" s="174" t="s">
        <v>430</v>
      </c>
      <c r="E169" s="174" t="s">
        <v>271</v>
      </c>
      <c r="F169" s="174">
        <v>8</v>
      </c>
      <c r="G169" s="174">
        <v>1.3</v>
      </c>
      <c r="H169" s="174" t="b">
        <v>1</v>
      </c>
      <c r="I169" s="174" t="b">
        <v>1</v>
      </c>
      <c r="J169" s="174">
        <v>0.76</v>
      </c>
      <c r="K169" s="174">
        <v>280</v>
      </c>
      <c r="L169" s="174">
        <v>3.5</v>
      </c>
      <c r="M169" s="178">
        <v>41043</v>
      </c>
      <c r="O169" s="179">
        <f>VLOOKUP(K169,'Cost Model '!$G$11:$J$200,4,FALSE)</f>
        <v>36.34999999999998</v>
      </c>
      <c r="R169" s="162" t="str">
        <f t="shared" si="11"/>
        <v>YES</v>
      </c>
      <c r="S169" s="162" t="str">
        <f t="shared" si="8"/>
        <v>YES</v>
      </c>
      <c r="T169" s="162" t="str">
        <f t="shared" si="9"/>
        <v>YES</v>
      </c>
      <c r="U169" s="162" t="str">
        <f t="shared" si="10"/>
        <v>YES</v>
      </c>
    </row>
    <row r="170" spans="1:21" ht="15">
      <c r="A170" s="174">
        <v>3380</v>
      </c>
      <c r="B170" s="174" t="s">
        <v>349</v>
      </c>
      <c r="C170" s="174" t="s">
        <v>340</v>
      </c>
      <c r="D170" s="174" t="s">
        <v>431</v>
      </c>
      <c r="E170" s="174" t="s">
        <v>271</v>
      </c>
      <c r="F170" s="174">
        <v>8</v>
      </c>
      <c r="G170" s="174">
        <v>1.45</v>
      </c>
      <c r="H170" s="174" t="b">
        <v>1</v>
      </c>
      <c r="I170" s="174" t="b">
        <v>1</v>
      </c>
      <c r="J170" s="174">
        <v>0.69</v>
      </c>
      <c r="K170" s="174">
        <v>318</v>
      </c>
      <c r="L170" s="174">
        <v>5.2</v>
      </c>
      <c r="M170" s="178">
        <v>40406</v>
      </c>
      <c r="O170" s="179">
        <f>VLOOKUP(K170,'Cost Model '!$G$11:$J$200,4,FALSE)</f>
        <v>4.13</v>
      </c>
      <c r="R170" s="162" t="str">
        <f t="shared" si="11"/>
        <v>YES</v>
      </c>
      <c r="S170" s="162" t="str">
        <f t="shared" si="8"/>
        <v>No</v>
      </c>
      <c r="T170" s="162" t="str">
        <f t="shared" si="9"/>
        <v>No</v>
      </c>
      <c r="U170" s="162" t="str">
        <f t="shared" si="10"/>
        <v>No</v>
      </c>
    </row>
    <row r="171" spans="1:21" ht="15">
      <c r="A171" s="174">
        <v>4659</v>
      </c>
      <c r="B171" s="174" t="s">
        <v>349</v>
      </c>
      <c r="C171" s="174" t="s">
        <v>340</v>
      </c>
      <c r="D171" s="174" t="s">
        <v>432</v>
      </c>
      <c r="E171" s="174" t="s">
        <v>271</v>
      </c>
      <c r="F171" s="174">
        <v>8</v>
      </c>
      <c r="G171" s="174">
        <v>1.21</v>
      </c>
      <c r="H171" s="174" t="b">
        <v>1</v>
      </c>
      <c r="I171" s="174" t="b">
        <v>1</v>
      </c>
      <c r="J171" s="174">
        <v>0.82</v>
      </c>
      <c r="K171" s="174">
        <v>261</v>
      </c>
      <c r="L171" s="174">
        <v>4.0999999999999996</v>
      </c>
      <c r="M171" s="178">
        <v>41043</v>
      </c>
      <c r="O171" s="179">
        <f>VLOOKUP(K171,'Cost Model '!$G$11:$J$200,4,FALSE)</f>
        <v>58.199999999999953</v>
      </c>
      <c r="R171" s="162" t="str">
        <f t="shared" si="11"/>
        <v>YES</v>
      </c>
      <c r="S171" s="162" t="str">
        <f t="shared" si="8"/>
        <v>YES</v>
      </c>
      <c r="T171" s="162" t="str">
        <f t="shared" si="9"/>
        <v>YES</v>
      </c>
      <c r="U171" s="162" t="str">
        <f t="shared" si="10"/>
        <v>YES</v>
      </c>
    </row>
    <row r="172" spans="1:21" ht="15">
      <c r="A172" s="174">
        <v>4661</v>
      </c>
      <c r="B172" s="174" t="s">
        <v>349</v>
      </c>
      <c r="C172" s="174" t="s">
        <v>340</v>
      </c>
      <c r="D172" s="174" t="s">
        <v>433</v>
      </c>
      <c r="E172" s="174" t="s">
        <v>271</v>
      </c>
      <c r="F172" s="174">
        <v>8</v>
      </c>
      <c r="G172" s="174">
        <v>1.26</v>
      </c>
      <c r="H172" s="174" t="b">
        <v>1</v>
      </c>
      <c r="I172" s="174" t="b">
        <v>1</v>
      </c>
      <c r="J172" s="174">
        <v>0.79</v>
      </c>
      <c r="K172" s="174">
        <v>272</v>
      </c>
      <c r="L172" s="174">
        <v>3.7</v>
      </c>
      <c r="M172" s="178">
        <v>41043</v>
      </c>
      <c r="O172" s="179">
        <f>VLOOKUP(K172,'Cost Model '!$G$11:$J$200,4,FALSE)</f>
        <v>45.549999999999969</v>
      </c>
      <c r="R172" s="162" t="str">
        <f t="shared" si="11"/>
        <v>YES</v>
      </c>
      <c r="S172" s="162" t="str">
        <f t="shared" si="8"/>
        <v>YES</v>
      </c>
      <c r="T172" s="162" t="str">
        <f t="shared" si="9"/>
        <v>YES</v>
      </c>
      <c r="U172" s="162" t="str">
        <f t="shared" si="10"/>
        <v>YES</v>
      </c>
    </row>
    <row r="173" spans="1:21" ht="15">
      <c r="A173" s="174">
        <v>3788</v>
      </c>
      <c r="B173" s="174" t="s">
        <v>349</v>
      </c>
      <c r="C173" s="174" t="s">
        <v>340</v>
      </c>
      <c r="D173" s="174" t="s">
        <v>434</v>
      </c>
      <c r="E173" s="174" t="s">
        <v>271</v>
      </c>
      <c r="F173" s="174">
        <v>8</v>
      </c>
      <c r="G173" s="174">
        <v>1.27</v>
      </c>
      <c r="H173" s="174" t="b">
        <v>1</v>
      </c>
      <c r="I173" s="174" t="b">
        <v>1</v>
      </c>
      <c r="J173" s="174">
        <v>0.79</v>
      </c>
      <c r="K173" s="174">
        <v>272</v>
      </c>
      <c r="L173" s="174">
        <v>3.7</v>
      </c>
      <c r="M173" s="178">
        <v>40499</v>
      </c>
      <c r="O173" s="179">
        <f>VLOOKUP(K173,'Cost Model '!$G$11:$J$200,4,FALSE)</f>
        <v>45.549999999999969</v>
      </c>
      <c r="R173" s="162" t="str">
        <f t="shared" si="11"/>
        <v>YES</v>
      </c>
      <c r="S173" s="162" t="str">
        <f t="shared" si="8"/>
        <v>YES</v>
      </c>
      <c r="T173" s="162" t="str">
        <f t="shared" si="9"/>
        <v>YES</v>
      </c>
      <c r="U173" s="162" t="str">
        <f t="shared" si="10"/>
        <v>YES</v>
      </c>
    </row>
    <row r="174" spans="1:21" ht="15">
      <c r="A174" s="174">
        <v>3812</v>
      </c>
      <c r="B174" s="174" t="s">
        <v>349</v>
      </c>
      <c r="C174" s="174" t="s">
        <v>340</v>
      </c>
      <c r="D174" s="174" t="s">
        <v>435</v>
      </c>
      <c r="E174" s="174" t="s">
        <v>271</v>
      </c>
      <c r="F174" s="174">
        <v>8</v>
      </c>
      <c r="G174" s="174">
        <v>1.4</v>
      </c>
      <c r="H174" s="174" t="b">
        <v>1</v>
      </c>
      <c r="I174" s="174" t="b">
        <v>1</v>
      </c>
      <c r="J174" s="174">
        <v>0.71</v>
      </c>
      <c r="K174" s="174">
        <v>302</v>
      </c>
      <c r="L174" s="174">
        <v>4.8</v>
      </c>
      <c r="M174" s="178">
        <v>40588</v>
      </c>
      <c r="O174" s="179">
        <f>VLOOKUP(K174,'Cost Model '!$G$11:$J$200,4,FALSE)</f>
        <v>13.99</v>
      </c>
      <c r="R174" s="162" t="str">
        <f t="shared" si="11"/>
        <v>YES</v>
      </c>
      <c r="S174" s="162" t="str">
        <f t="shared" si="8"/>
        <v>YES</v>
      </c>
      <c r="T174" s="162" t="str">
        <f t="shared" si="9"/>
        <v>No</v>
      </c>
      <c r="U174" s="162" t="str">
        <f t="shared" si="10"/>
        <v>No</v>
      </c>
    </row>
    <row r="175" spans="1:21" ht="15">
      <c r="A175" s="174">
        <v>4607</v>
      </c>
      <c r="B175" s="174" t="s">
        <v>349</v>
      </c>
      <c r="C175" s="174" t="s">
        <v>340</v>
      </c>
      <c r="D175" s="174" t="s">
        <v>436</v>
      </c>
      <c r="E175" s="174" t="s">
        <v>271</v>
      </c>
      <c r="F175" s="174">
        <v>8</v>
      </c>
      <c r="G175" s="174">
        <v>1.4</v>
      </c>
      <c r="H175" s="174" t="b">
        <v>1</v>
      </c>
      <c r="I175" s="174" t="b">
        <v>1</v>
      </c>
      <c r="J175" s="174">
        <v>0.71</v>
      </c>
      <c r="K175" s="174">
        <v>302</v>
      </c>
      <c r="L175" s="174">
        <v>4.8</v>
      </c>
      <c r="M175" s="178">
        <v>40967</v>
      </c>
      <c r="O175" s="179">
        <f>VLOOKUP(K175,'Cost Model '!$G$11:$J$200,4,FALSE)</f>
        <v>13.99</v>
      </c>
      <c r="R175" s="162" t="str">
        <f t="shared" si="11"/>
        <v>YES</v>
      </c>
      <c r="S175" s="162" t="str">
        <f t="shared" si="8"/>
        <v>YES</v>
      </c>
      <c r="T175" s="162" t="str">
        <f t="shared" si="9"/>
        <v>No</v>
      </c>
      <c r="U175" s="162" t="str">
        <f t="shared" si="10"/>
        <v>No</v>
      </c>
    </row>
    <row r="176" spans="1:21" ht="15">
      <c r="A176" s="174">
        <v>3810</v>
      </c>
      <c r="B176" s="174" t="s">
        <v>349</v>
      </c>
      <c r="C176" s="174" t="s">
        <v>340</v>
      </c>
      <c r="D176" s="174" t="s">
        <v>437</v>
      </c>
      <c r="E176" s="174" t="s">
        <v>271</v>
      </c>
      <c r="F176" s="174">
        <v>8</v>
      </c>
      <c r="G176" s="174">
        <v>1.46</v>
      </c>
      <c r="H176" s="174" t="b">
        <v>1</v>
      </c>
      <c r="I176" s="174" t="b">
        <v>1</v>
      </c>
      <c r="J176" s="174">
        <v>0.68</v>
      </c>
      <c r="K176" s="174">
        <v>314</v>
      </c>
      <c r="L176" s="174">
        <v>5.3</v>
      </c>
      <c r="M176" s="178">
        <v>40588</v>
      </c>
      <c r="O176" s="179">
        <f>VLOOKUP(K176,'Cost Model '!$G$11:$J$200,4,FALSE)</f>
        <v>6.4899999999999993</v>
      </c>
      <c r="R176" s="162" t="str">
        <f t="shared" si="11"/>
        <v>YES</v>
      </c>
      <c r="S176" s="162" t="str">
        <f t="shared" si="8"/>
        <v>No</v>
      </c>
      <c r="T176" s="162" t="str">
        <f t="shared" si="9"/>
        <v>No</v>
      </c>
      <c r="U176" s="162" t="str">
        <f t="shared" si="10"/>
        <v>No</v>
      </c>
    </row>
    <row r="177" spans="1:21" ht="15">
      <c r="A177" s="174">
        <v>4486</v>
      </c>
      <c r="B177" s="174" t="s">
        <v>349</v>
      </c>
      <c r="C177" s="174" t="s">
        <v>340</v>
      </c>
      <c r="D177" s="174" t="s">
        <v>438</v>
      </c>
      <c r="E177" s="174" t="s">
        <v>271</v>
      </c>
      <c r="F177" s="174">
        <v>8</v>
      </c>
      <c r="G177" s="174">
        <v>1.21</v>
      </c>
      <c r="H177" s="174" t="b">
        <v>1</v>
      </c>
      <c r="I177" s="174" t="b">
        <v>1</v>
      </c>
      <c r="J177" s="174">
        <v>0.82</v>
      </c>
      <c r="K177" s="174">
        <v>261</v>
      </c>
      <c r="L177" s="174">
        <v>4.0999999999999996</v>
      </c>
      <c r="M177" s="178">
        <v>40869</v>
      </c>
      <c r="O177" s="179">
        <f>VLOOKUP(K177,'Cost Model '!$G$11:$J$200,4,FALSE)</f>
        <v>58.199999999999953</v>
      </c>
      <c r="R177" s="162" t="str">
        <f t="shared" si="11"/>
        <v>YES</v>
      </c>
      <c r="S177" s="162" t="str">
        <f t="shared" si="8"/>
        <v>YES</v>
      </c>
      <c r="T177" s="162" t="str">
        <f t="shared" si="9"/>
        <v>YES</v>
      </c>
      <c r="U177" s="162" t="str">
        <f t="shared" si="10"/>
        <v>YES</v>
      </c>
    </row>
    <row r="178" spans="1:21" ht="15">
      <c r="A178" s="174">
        <v>3811</v>
      </c>
      <c r="B178" s="174" t="s">
        <v>349</v>
      </c>
      <c r="C178" s="174" t="s">
        <v>340</v>
      </c>
      <c r="D178" s="174" t="s">
        <v>439</v>
      </c>
      <c r="E178" s="174" t="s">
        <v>271</v>
      </c>
      <c r="F178" s="174">
        <v>8</v>
      </c>
      <c r="G178" s="174">
        <v>1.45</v>
      </c>
      <c r="H178" s="174" t="b">
        <v>1</v>
      </c>
      <c r="I178" s="174" t="b">
        <v>1</v>
      </c>
      <c r="J178" s="174">
        <v>0.69</v>
      </c>
      <c r="K178" s="174">
        <v>311</v>
      </c>
      <c r="L178" s="174">
        <v>4.7</v>
      </c>
      <c r="M178" s="178">
        <v>40588</v>
      </c>
      <c r="O178" s="179">
        <f>VLOOKUP(K178,'Cost Model '!$G$11:$J$200,4,FALSE)</f>
        <v>8.26</v>
      </c>
      <c r="R178" s="162" t="str">
        <f t="shared" si="11"/>
        <v>YES</v>
      </c>
      <c r="S178" s="162" t="str">
        <f t="shared" si="8"/>
        <v>No</v>
      </c>
      <c r="T178" s="162" t="str">
        <f t="shared" si="9"/>
        <v>No</v>
      </c>
      <c r="U178" s="162" t="str">
        <f t="shared" si="10"/>
        <v>No</v>
      </c>
    </row>
    <row r="179" spans="1:21" ht="15">
      <c r="A179" s="174">
        <v>4502</v>
      </c>
      <c r="B179" s="174" t="s">
        <v>349</v>
      </c>
      <c r="C179" s="174" t="s">
        <v>340</v>
      </c>
      <c r="D179" s="174" t="s">
        <v>440</v>
      </c>
      <c r="E179" s="174" t="s">
        <v>271</v>
      </c>
      <c r="F179" s="174">
        <v>8</v>
      </c>
      <c r="G179" s="174">
        <v>1.3</v>
      </c>
      <c r="H179" s="174" t="b">
        <v>1</v>
      </c>
      <c r="I179" s="174" t="b">
        <v>1</v>
      </c>
      <c r="J179" s="174">
        <v>0.76</v>
      </c>
      <c r="K179" s="174">
        <v>280</v>
      </c>
      <c r="L179" s="174">
        <v>3.5</v>
      </c>
      <c r="M179" s="178">
        <v>40869</v>
      </c>
      <c r="O179" s="179">
        <f>VLOOKUP(K179,'Cost Model '!$G$11:$J$200,4,FALSE)</f>
        <v>36.34999999999998</v>
      </c>
      <c r="R179" s="162" t="str">
        <f t="shared" si="11"/>
        <v>YES</v>
      </c>
      <c r="S179" s="162" t="str">
        <f t="shared" si="8"/>
        <v>YES</v>
      </c>
      <c r="T179" s="162" t="str">
        <f t="shared" si="9"/>
        <v>YES</v>
      </c>
      <c r="U179" s="162" t="str">
        <f t="shared" si="10"/>
        <v>YES</v>
      </c>
    </row>
    <row r="180" spans="1:21" ht="15">
      <c r="A180" s="174">
        <v>3813</v>
      </c>
      <c r="B180" s="174" t="s">
        <v>349</v>
      </c>
      <c r="C180" s="174" t="s">
        <v>340</v>
      </c>
      <c r="D180" s="174" t="s">
        <v>441</v>
      </c>
      <c r="E180" s="174" t="s">
        <v>271</v>
      </c>
      <c r="F180" s="174">
        <v>8</v>
      </c>
      <c r="G180" s="174">
        <v>1.27</v>
      </c>
      <c r="H180" s="174" t="b">
        <v>1</v>
      </c>
      <c r="I180" s="174" t="b">
        <v>1</v>
      </c>
      <c r="J180" s="174">
        <v>0.79</v>
      </c>
      <c r="K180" s="174">
        <v>272</v>
      </c>
      <c r="L180" s="174">
        <v>3.6</v>
      </c>
      <c r="M180" s="178">
        <v>40588</v>
      </c>
      <c r="O180" s="179">
        <f>VLOOKUP(K180,'Cost Model '!$G$11:$J$200,4,FALSE)</f>
        <v>45.549999999999969</v>
      </c>
      <c r="R180" s="162" t="str">
        <f t="shared" si="11"/>
        <v>YES</v>
      </c>
      <c r="S180" s="162" t="str">
        <f t="shared" si="8"/>
        <v>YES</v>
      </c>
      <c r="T180" s="162" t="str">
        <f t="shared" si="9"/>
        <v>YES</v>
      </c>
      <c r="U180" s="162" t="str">
        <f t="shared" si="10"/>
        <v>YES</v>
      </c>
    </row>
    <row r="181" spans="1:21" ht="15">
      <c r="A181" s="174">
        <v>3376</v>
      </c>
      <c r="B181" s="174" t="s">
        <v>349</v>
      </c>
      <c r="C181" s="174" t="s">
        <v>340</v>
      </c>
      <c r="D181" s="174" t="s">
        <v>442</v>
      </c>
      <c r="E181" s="174" t="s">
        <v>271</v>
      </c>
      <c r="F181" s="174">
        <v>8</v>
      </c>
      <c r="G181" s="174">
        <v>1.4</v>
      </c>
      <c r="H181" s="174" t="b">
        <v>1</v>
      </c>
      <c r="I181" s="174" t="b">
        <v>1</v>
      </c>
      <c r="J181" s="174">
        <v>0.71</v>
      </c>
      <c r="K181" s="174">
        <v>309</v>
      </c>
      <c r="L181" s="174">
        <v>4.9000000000000004</v>
      </c>
      <c r="M181" s="178">
        <v>40406</v>
      </c>
      <c r="O181" s="179">
        <f>VLOOKUP(K181,'Cost Model '!$G$11:$J$200,4,FALSE)</f>
        <v>9.44</v>
      </c>
      <c r="R181" s="162" t="str">
        <f t="shared" si="11"/>
        <v>YES</v>
      </c>
      <c r="S181" s="162" t="str">
        <f t="shared" si="8"/>
        <v>No</v>
      </c>
      <c r="T181" s="162" t="str">
        <f t="shared" si="9"/>
        <v>No</v>
      </c>
      <c r="U181" s="162" t="str">
        <f t="shared" si="10"/>
        <v>No</v>
      </c>
    </row>
    <row r="182" spans="1:21" ht="15">
      <c r="A182" s="174">
        <v>3377</v>
      </c>
      <c r="B182" s="174" t="s">
        <v>349</v>
      </c>
      <c r="C182" s="174" t="s">
        <v>340</v>
      </c>
      <c r="D182" s="174" t="s">
        <v>443</v>
      </c>
      <c r="E182" s="174" t="s">
        <v>271</v>
      </c>
      <c r="F182" s="174">
        <v>8</v>
      </c>
      <c r="G182" s="174">
        <v>1.4</v>
      </c>
      <c r="H182" s="174" t="b">
        <v>1</v>
      </c>
      <c r="I182" s="174" t="b">
        <v>1</v>
      </c>
      <c r="J182" s="174">
        <v>0.71</v>
      </c>
      <c r="K182" s="174">
        <v>309</v>
      </c>
      <c r="L182" s="174">
        <v>4.9000000000000004</v>
      </c>
      <c r="M182" s="178">
        <v>40406</v>
      </c>
      <c r="O182" s="179">
        <f>VLOOKUP(K182,'Cost Model '!$G$11:$J$200,4,FALSE)</f>
        <v>9.44</v>
      </c>
      <c r="R182" s="162" t="str">
        <f t="shared" si="11"/>
        <v>YES</v>
      </c>
      <c r="S182" s="162" t="str">
        <f t="shared" si="8"/>
        <v>No</v>
      </c>
      <c r="T182" s="162" t="str">
        <f t="shared" si="9"/>
        <v>No</v>
      </c>
      <c r="U182" s="162" t="str">
        <f t="shared" si="10"/>
        <v>No</v>
      </c>
    </row>
    <row r="183" spans="1:21" ht="15">
      <c r="A183" s="174">
        <v>4672</v>
      </c>
      <c r="B183" s="174" t="s">
        <v>349</v>
      </c>
      <c r="C183" s="174" t="s">
        <v>444</v>
      </c>
      <c r="D183" s="174" t="s">
        <v>445</v>
      </c>
      <c r="E183" s="174" t="s">
        <v>271</v>
      </c>
      <c r="F183" s="174">
        <v>8</v>
      </c>
      <c r="G183" s="174">
        <v>1.4</v>
      </c>
      <c r="H183" s="174" t="b">
        <v>1</v>
      </c>
      <c r="I183" s="174" t="b">
        <v>1</v>
      </c>
      <c r="J183" s="174">
        <v>0.71</v>
      </c>
      <c r="K183" s="174">
        <v>302</v>
      </c>
      <c r="L183" s="174">
        <v>4.8</v>
      </c>
      <c r="M183" s="178">
        <v>41110</v>
      </c>
      <c r="O183" s="179">
        <f>VLOOKUP(K183,'Cost Model '!$G$11:$J$200,4,FALSE)</f>
        <v>13.99</v>
      </c>
      <c r="R183" s="162" t="str">
        <f t="shared" si="11"/>
        <v>YES</v>
      </c>
      <c r="S183" s="162" t="str">
        <f t="shared" si="8"/>
        <v>YES</v>
      </c>
      <c r="T183" s="162" t="str">
        <f t="shared" si="9"/>
        <v>No</v>
      </c>
      <c r="U183" s="162" t="str">
        <f t="shared" si="10"/>
        <v>No</v>
      </c>
    </row>
    <row r="184" spans="1:21" ht="15">
      <c r="A184" s="174">
        <v>4671</v>
      </c>
      <c r="B184" s="174" t="s">
        <v>349</v>
      </c>
      <c r="C184" s="174" t="s">
        <v>444</v>
      </c>
      <c r="D184" s="174" t="s">
        <v>446</v>
      </c>
      <c r="E184" s="174" t="s">
        <v>271</v>
      </c>
      <c r="F184" s="174">
        <v>8</v>
      </c>
      <c r="G184" s="174">
        <v>1.38</v>
      </c>
      <c r="H184" s="174" t="b">
        <v>1</v>
      </c>
      <c r="I184" s="174" t="b">
        <v>1</v>
      </c>
      <c r="J184" s="174">
        <v>0.72</v>
      </c>
      <c r="K184" s="174">
        <v>299</v>
      </c>
      <c r="L184" s="174">
        <v>4</v>
      </c>
      <c r="M184" s="178">
        <v>41110</v>
      </c>
      <c r="O184" s="179">
        <f>VLOOKUP(K184,'Cost Model '!$G$11:$J$200,4,FALSE)</f>
        <v>15.97</v>
      </c>
      <c r="R184" s="162" t="str">
        <f t="shared" si="11"/>
        <v>YES</v>
      </c>
      <c r="S184" s="162" t="str">
        <f t="shared" si="8"/>
        <v>YES</v>
      </c>
      <c r="T184" s="162" t="str">
        <f t="shared" si="9"/>
        <v>No</v>
      </c>
      <c r="U184" s="162" t="str">
        <f t="shared" si="10"/>
        <v>No</v>
      </c>
    </row>
    <row r="185" spans="1:21" ht="15">
      <c r="A185" s="174">
        <v>4666</v>
      </c>
      <c r="B185" s="174" t="s">
        <v>349</v>
      </c>
      <c r="C185" s="174" t="s">
        <v>447</v>
      </c>
      <c r="D185" s="174" t="s">
        <v>448</v>
      </c>
      <c r="E185" s="174" t="s">
        <v>271</v>
      </c>
      <c r="F185" s="174">
        <v>8</v>
      </c>
      <c r="G185" s="174">
        <v>1.53</v>
      </c>
      <c r="H185" s="174" t="b">
        <v>1</v>
      </c>
      <c r="I185" s="174" t="b">
        <v>1</v>
      </c>
      <c r="J185" s="174">
        <v>0.65</v>
      </c>
      <c r="K185" s="174">
        <v>330</v>
      </c>
      <c r="L185" s="174">
        <v>6.1</v>
      </c>
      <c r="M185" s="178">
        <v>41110</v>
      </c>
      <c r="O185" s="179" t="str">
        <f>VLOOKUP(K185,'Cost Model '!$G$11:$J$200,4,FALSE)</f>
        <v>--</v>
      </c>
      <c r="R185" s="162" t="str">
        <f t="shared" si="11"/>
        <v>YES</v>
      </c>
      <c r="S185" s="162" t="str">
        <f t="shared" si="8"/>
        <v>No</v>
      </c>
      <c r="T185" s="162" t="str">
        <f t="shared" si="9"/>
        <v>No</v>
      </c>
      <c r="U185" s="162" t="str">
        <f t="shared" si="10"/>
        <v>No</v>
      </c>
    </row>
    <row r="186" spans="1:21" ht="15">
      <c r="A186" s="174">
        <v>3717</v>
      </c>
      <c r="B186" s="174" t="s">
        <v>449</v>
      </c>
      <c r="C186" s="174" t="s">
        <v>450</v>
      </c>
      <c r="D186" s="174" t="s">
        <v>451</v>
      </c>
      <c r="E186" s="174" t="s">
        <v>271</v>
      </c>
      <c r="F186" s="174">
        <v>12</v>
      </c>
      <c r="G186" s="174">
        <v>1.27</v>
      </c>
      <c r="H186" s="174" t="b">
        <v>1</v>
      </c>
      <c r="I186" s="174" t="b">
        <v>0</v>
      </c>
      <c r="J186" s="174">
        <v>0.79</v>
      </c>
      <c r="K186" s="174">
        <v>278</v>
      </c>
      <c r="L186" s="174">
        <v>4</v>
      </c>
      <c r="M186" s="178">
        <v>40486</v>
      </c>
      <c r="O186" s="179">
        <f>VLOOKUP(K186,'Cost Model '!$G$11:$J$200,4,FALSE)</f>
        <v>38.649999999999977</v>
      </c>
      <c r="R186" s="162" t="str">
        <f t="shared" si="11"/>
        <v>YES</v>
      </c>
      <c r="S186" s="162" t="str">
        <f t="shared" si="8"/>
        <v>YES</v>
      </c>
      <c r="T186" s="162" t="str">
        <f t="shared" si="9"/>
        <v>YES</v>
      </c>
      <c r="U186" s="162" t="str">
        <f t="shared" si="10"/>
        <v>YES</v>
      </c>
    </row>
    <row r="187" spans="1:21" ht="15">
      <c r="A187" s="174">
        <v>3716</v>
      </c>
      <c r="B187" s="174" t="s">
        <v>449</v>
      </c>
      <c r="C187" s="174" t="s">
        <v>449</v>
      </c>
      <c r="D187" s="174" t="s">
        <v>452</v>
      </c>
      <c r="E187" s="174" t="s">
        <v>271</v>
      </c>
      <c r="F187" s="174">
        <v>12</v>
      </c>
      <c r="G187" s="174">
        <v>1.27</v>
      </c>
      <c r="H187" s="174" t="b">
        <v>1</v>
      </c>
      <c r="I187" s="174" t="b">
        <v>0</v>
      </c>
      <c r="J187" s="174">
        <v>0.79</v>
      </c>
      <c r="K187" s="174">
        <v>278</v>
      </c>
      <c r="L187" s="174">
        <v>4</v>
      </c>
      <c r="M187" s="178">
        <v>40486</v>
      </c>
      <c r="O187" s="179">
        <f>VLOOKUP(K187,'Cost Model '!$G$11:$J$200,4,FALSE)</f>
        <v>38.649999999999977</v>
      </c>
      <c r="R187" s="162" t="str">
        <f t="shared" si="11"/>
        <v>YES</v>
      </c>
      <c r="S187" s="162" t="str">
        <f t="shared" si="8"/>
        <v>YES</v>
      </c>
      <c r="T187" s="162" t="str">
        <f t="shared" si="9"/>
        <v>YES</v>
      </c>
      <c r="U187" s="162" t="str">
        <f t="shared" si="10"/>
        <v>YES</v>
      </c>
    </row>
    <row r="188" spans="1:21" ht="15">
      <c r="A188" s="174">
        <v>4470</v>
      </c>
      <c r="B188" s="174" t="s">
        <v>453</v>
      </c>
      <c r="C188" s="174" t="s">
        <v>356</v>
      </c>
      <c r="D188" s="174" t="s">
        <v>454</v>
      </c>
      <c r="E188" s="174" t="s">
        <v>271</v>
      </c>
      <c r="F188" s="174">
        <v>8</v>
      </c>
      <c r="G188" s="174">
        <v>1.1399999999999999</v>
      </c>
      <c r="H188" s="174" t="b">
        <v>1</v>
      </c>
      <c r="I188" s="174" t="b">
        <v>1</v>
      </c>
      <c r="J188" s="174">
        <v>0.88</v>
      </c>
      <c r="K188" s="174">
        <v>280</v>
      </c>
      <c r="L188" s="174">
        <v>4</v>
      </c>
      <c r="M188" s="178">
        <v>40848</v>
      </c>
      <c r="O188" s="179">
        <f>VLOOKUP(K188,'Cost Model '!$G$11:$J$200,4,FALSE)</f>
        <v>36.34999999999998</v>
      </c>
      <c r="R188" s="162" t="str">
        <f t="shared" si="11"/>
        <v>YES</v>
      </c>
      <c r="S188" s="162" t="str">
        <f t="shared" si="8"/>
        <v>YES</v>
      </c>
      <c r="T188" s="162" t="str">
        <f t="shared" si="9"/>
        <v>YES</v>
      </c>
      <c r="U188" s="162" t="str">
        <f t="shared" si="10"/>
        <v>YES</v>
      </c>
    </row>
    <row r="189" spans="1:21" ht="15">
      <c r="A189" s="174">
        <v>4582</v>
      </c>
      <c r="B189" s="174" t="s">
        <v>453</v>
      </c>
      <c r="C189" s="174" t="s">
        <v>455</v>
      </c>
      <c r="D189" s="174" t="s">
        <v>454</v>
      </c>
      <c r="E189" s="174" t="s">
        <v>271</v>
      </c>
      <c r="F189" s="174">
        <v>8</v>
      </c>
      <c r="G189" s="174">
        <v>1.1399999999999999</v>
      </c>
      <c r="H189" s="174" t="b">
        <v>1</v>
      </c>
      <c r="I189" s="174" t="b">
        <v>1</v>
      </c>
      <c r="J189" s="174">
        <v>0.88</v>
      </c>
      <c r="K189" s="174">
        <v>280</v>
      </c>
      <c r="L189" s="174">
        <v>4</v>
      </c>
      <c r="M189" s="178">
        <v>40955</v>
      </c>
      <c r="O189" s="179">
        <f>VLOOKUP(K189,'Cost Model '!$G$11:$J$200,4,FALSE)</f>
        <v>36.34999999999998</v>
      </c>
      <c r="R189" s="162" t="str">
        <f t="shared" si="11"/>
        <v>YES</v>
      </c>
      <c r="S189" s="162" t="str">
        <f t="shared" si="8"/>
        <v>YES</v>
      </c>
      <c r="T189" s="162" t="str">
        <f t="shared" si="9"/>
        <v>YES</v>
      </c>
      <c r="U189" s="162" t="str">
        <f t="shared" si="10"/>
        <v>YES</v>
      </c>
    </row>
    <row r="190" spans="1:21" ht="15">
      <c r="A190" s="174">
        <v>4579</v>
      </c>
      <c r="B190" s="174" t="s">
        <v>453</v>
      </c>
      <c r="C190" s="174" t="s">
        <v>369</v>
      </c>
      <c r="D190" s="174" t="s">
        <v>456</v>
      </c>
      <c r="E190" s="174" t="s">
        <v>271</v>
      </c>
      <c r="F190" s="174">
        <v>10</v>
      </c>
      <c r="G190" s="174">
        <v>1.32</v>
      </c>
      <c r="H190" s="174" t="b">
        <v>1</v>
      </c>
      <c r="I190" s="174" t="b">
        <v>1</v>
      </c>
      <c r="J190" s="174">
        <v>0.76</v>
      </c>
      <c r="K190" s="174">
        <v>280</v>
      </c>
      <c r="L190" s="174">
        <v>4</v>
      </c>
      <c r="M190" s="178">
        <v>40955</v>
      </c>
      <c r="O190" s="179">
        <f>VLOOKUP(K190,'Cost Model '!$G$11:$J$200,4,FALSE)</f>
        <v>36.34999999999998</v>
      </c>
      <c r="R190" s="162" t="str">
        <f t="shared" si="11"/>
        <v>YES</v>
      </c>
      <c r="S190" s="162" t="str">
        <f t="shared" si="8"/>
        <v>YES</v>
      </c>
      <c r="T190" s="162" t="str">
        <f t="shared" si="9"/>
        <v>YES</v>
      </c>
      <c r="U190" s="162" t="str">
        <f t="shared" si="10"/>
        <v>YES</v>
      </c>
    </row>
    <row r="191" spans="1:21" ht="15">
      <c r="A191" s="174">
        <v>4580</v>
      </c>
      <c r="B191" s="174" t="s">
        <v>453</v>
      </c>
      <c r="C191" s="174" t="s">
        <v>369</v>
      </c>
      <c r="D191" s="174" t="s">
        <v>457</v>
      </c>
      <c r="E191" s="174" t="s">
        <v>271</v>
      </c>
      <c r="F191" s="174">
        <v>8</v>
      </c>
      <c r="G191" s="174">
        <v>1.1399999999999999</v>
      </c>
      <c r="H191" s="174" t="b">
        <v>1</v>
      </c>
      <c r="I191" s="174" t="b">
        <v>1</v>
      </c>
      <c r="J191" s="174">
        <v>0.88</v>
      </c>
      <c r="K191" s="174">
        <v>280</v>
      </c>
      <c r="L191" s="174">
        <v>4</v>
      </c>
      <c r="M191" s="178">
        <v>40955</v>
      </c>
      <c r="O191" s="179">
        <f>VLOOKUP(K191,'Cost Model '!$G$11:$J$200,4,FALSE)</f>
        <v>36.34999999999998</v>
      </c>
      <c r="R191" s="162" t="str">
        <f t="shared" si="11"/>
        <v>YES</v>
      </c>
      <c r="S191" s="162" t="str">
        <f t="shared" si="8"/>
        <v>YES</v>
      </c>
      <c r="T191" s="162" t="str">
        <f t="shared" si="9"/>
        <v>YES</v>
      </c>
      <c r="U191" s="162" t="str">
        <f t="shared" si="10"/>
        <v>YES</v>
      </c>
    </row>
    <row r="192" spans="1:21" ht="15">
      <c r="A192" s="174">
        <v>4581</v>
      </c>
      <c r="B192" s="174" t="s">
        <v>453</v>
      </c>
      <c r="C192" s="174" t="s">
        <v>369</v>
      </c>
      <c r="D192" s="174" t="s">
        <v>458</v>
      </c>
      <c r="E192" s="174" t="s">
        <v>271</v>
      </c>
      <c r="F192" s="174">
        <v>8</v>
      </c>
      <c r="G192" s="174">
        <v>1.1399999999999999</v>
      </c>
      <c r="H192" s="174" t="b">
        <v>1</v>
      </c>
      <c r="I192" s="174" t="b">
        <v>1</v>
      </c>
      <c r="J192" s="174">
        <v>0.88</v>
      </c>
      <c r="K192" s="174">
        <v>280</v>
      </c>
      <c r="L192" s="174">
        <v>4</v>
      </c>
      <c r="M192" s="178">
        <v>40955</v>
      </c>
      <c r="O192" s="179">
        <f>VLOOKUP(K192,'Cost Model '!$G$11:$J$200,4,FALSE)</f>
        <v>36.34999999999998</v>
      </c>
      <c r="R192" s="162" t="str">
        <f t="shared" si="11"/>
        <v>YES</v>
      </c>
      <c r="S192" s="162" t="str">
        <f t="shared" si="8"/>
        <v>YES</v>
      </c>
      <c r="T192" s="162" t="str">
        <f t="shared" si="9"/>
        <v>YES</v>
      </c>
      <c r="U192" s="162" t="str">
        <f t="shared" si="10"/>
        <v>YES</v>
      </c>
    </row>
    <row r="193" spans="1:21" ht="15">
      <c r="A193" s="174">
        <v>4575</v>
      </c>
      <c r="B193" s="174" t="s">
        <v>453</v>
      </c>
      <c r="C193" s="174" t="s">
        <v>369</v>
      </c>
      <c r="D193" s="174" t="s">
        <v>459</v>
      </c>
      <c r="E193" s="174" t="s">
        <v>271</v>
      </c>
      <c r="F193" s="174">
        <v>14</v>
      </c>
      <c r="G193" s="174">
        <v>1.32</v>
      </c>
      <c r="H193" s="174" t="b">
        <v>1</v>
      </c>
      <c r="I193" s="174" t="b">
        <v>1</v>
      </c>
      <c r="J193" s="174">
        <v>0.76</v>
      </c>
      <c r="K193" s="174">
        <v>280</v>
      </c>
      <c r="L193" s="174">
        <v>4</v>
      </c>
      <c r="M193" s="178">
        <v>40955</v>
      </c>
      <c r="O193" s="179">
        <f>VLOOKUP(K193,'Cost Model '!$G$11:$J$200,4,FALSE)</f>
        <v>36.34999999999998</v>
      </c>
      <c r="R193" s="162" t="str">
        <f t="shared" si="11"/>
        <v>YES</v>
      </c>
      <c r="S193" s="162" t="str">
        <f t="shared" si="8"/>
        <v>YES</v>
      </c>
      <c r="T193" s="162" t="str">
        <f t="shared" si="9"/>
        <v>YES</v>
      </c>
      <c r="U193" s="162" t="str">
        <f t="shared" si="10"/>
        <v>YES</v>
      </c>
    </row>
    <row r="194" spans="1:21" ht="15">
      <c r="A194" s="174">
        <v>4708</v>
      </c>
      <c r="B194" s="174" t="s">
        <v>453</v>
      </c>
      <c r="C194" s="174" t="s">
        <v>369</v>
      </c>
      <c r="D194" s="174" t="s">
        <v>460</v>
      </c>
      <c r="E194" s="174" t="s">
        <v>271</v>
      </c>
      <c r="F194" s="174">
        <v>14</v>
      </c>
      <c r="G194" s="174">
        <v>1.32</v>
      </c>
      <c r="H194" s="174" t="b">
        <v>1</v>
      </c>
      <c r="I194" s="174" t="b">
        <v>1</v>
      </c>
      <c r="J194" s="174">
        <v>0.76</v>
      </c>
      <c r="K194" s="174">
        <v>280</v>
      </c>
      <c r="L194" s="174">
        <v>4</v>
      </c>
      <c r="M194" s="178">
        <v>41113</v>
      </c>
      <c r="O194" s="179">
        <f>VLOOKUP(K194,'Cost Model '!$G$11:$J$200,4,FALSE)</f>
        <v>36.34999999999998</v>
      </c>
      <c r="R194" s="162" t="str">
        <f t="shared" si="11"/>
        <v>YES</v>
      </c>
      <c r="S194" s="162" t="str">
        <f t="shared" si="8"/>
        <v>YES</v>
      </c>
      <c r="T194" s="162" t="str">
        <f t="shared" si="9"/>
        <v>YES</v>
      </c>
      <c r="U194" s="162" t="str">
        <f t="shared" si="10"/>
        <v>YES</v>
      </c>
    </row>
    <row r="195" spans="1:21" ht="15">
      <c r="A195" s="174">
        <v>4459</v>
      </c>
      <c r="B195" s="174" t="s">
        <v>453</v>
      </c>
      <c r="C195" s="174" t="s">
        <v>369</v>
      </c>
      <c r="D195" s="174" t="s">
        <v>461</v>
      </c>
      <c r="E195" s="174" t="s">
        <v>271</v>
      </c>
      <c r="F195" s="174">
        <v>8</v>
      </c>
      <c r="G195" s="174">
        <v>1.39</v>
      </c>
      <c r="H195" s="174" t="b">
        <v>1</v>
      </c>
      <c r="I195" s="174" t="b">
        <v>1</v>
      </c>
      <c r="J195" s="174">
        <v>0.72</v>
      </c>
      <c r="K195" s="174">
        <v>300</v>
      </c>
      <c r="L195" s="174">
        <v>5.2</v>
      </c>
      <c r="M195" s="178">
        <v>40848</v>
      </c>
      <c r="O195" s="179">
        <f>VLOOKUP(K195,'Cost Model '!$G$11:$J$200,4,FALSE)</f>
        <v>15.31</v>
      </c>
      <c r="R195" s="162" t="str">
        <f t="shared" si="11"/>
        <v>YES</v>
      </c>
      <c r="S195" s="162" t="str">
        <f t="shared" si="8"/>
        <v>YES</v>
      </c>
      <c r="T195" s="162" t="str">
        <f t="shared" si="9"/>
        <v>No</v>
      </c>
      <c r="U195" s="162" t="str">
        <f t="shared" si="10"/>
        <v>No</v>
      </c>
    </row>
    <row r="196" spans="1:21" ht="15">
      <c r="A196" s="174">
        <v>4460</v>
      </c>
      <c r="B196" s="174" t="s">
        <v>453</v>
      </c>
      <c r="C196" s="174" t="s">
        <v>369</v>
      </c>
      <c r="D196" s="174" t="s">
        <v>462</v>
      </c>
      <c r="E196" s="174" t="s">
        <v>271</v>
      </c>
      <c r="F196" s="174">
        <v>8</v>
      </c>
      <c r="G196" s="174">
        <v>1.39</v>
      </c>
      <c r="H196" s="174" t="b">
        <v>1</v>
      </c>
      <c r="I196" s="174" t="b">
        <v>1</v>
      </c>
      <c r="J196" s="174">
        <v>0.72</v>
      </c>
      <c r="K196" s="174">
        <v>300</v>
      </c>
      <c r="L196" s="174">
        <v>5.2</v>
      </c>
      <c r="M196" s="178">
        <v>40848</v>
      </c>
      <c r="O196" s="179">
        <f>VLOOKUP(K196,'Cost Model '!$G$11:$J$200,4,FALSE)</f>
        <v>15.31</v>
      </c>
      <c r="R196" s="162" t="str">
        <f t="shared" si="11"/>
        <v>YES</v>
      </c>
      <c r="S196" s="162" t="str">
        <f t="shared" si="8"/>
        <v>YES</v>
      </c>
      <c r="T196" s="162" t="str">
        <f t="shared" si="9"/>
        <v>No</v>
      </c>
      <c r="U196" s="162" t="str">
        <f t="shared" si="10"/>
        <v>No</v>
      </c>
    </row>
    <row r="197" spans="1:21" ht="15">
      <c r="A197" s="174">
        <v>4458</v>
      </c>
      <c r="B197" s="174" t="s">
        <v>453</v>
      </c>
      <c r="C197" s="174" t="s">
        <v>369</v>
      </c>
      <c r="D197" s="174" t="s">
        <v>463</v>
      </c>
      <c r="E197" s="174" t="s">
        <v>271</v>
      </c>
      <c r="F197" s="174">
        <v>8</v>
      </c>
      <c r="G197" s="174">
        <v>1.39</v>
      </c>
      <c r="H197" s="174" t="b">
        <v>1</v>
      </c>
      <c r="I197" s="174" t="b">
        <v>1</v>
      </c>
      <c r="J197" s="174">
        <v>0.72</v>
      </c>
      <c r="K197" s="174">
        <v>300</v>
      </c>
      <c r="L197" s="174">
        <v>5.2</v>
      </c>
      <c r="M197" s="178">
        <v>40848</v>
      </c>
      <c r="O197" s="179">
        <f>VLOOKUP(K197,'Cost Model '!$G$11:$J$200,4,FALSE)</f>
        <v>15.31</v>
      </c>
      <c r="R197" s="162" t="str">
        <f t="shared" si="11"/>
        <v>YES</v>
      </c>
      <c r="S197" s="162" t="str">
        <f t="shared" si="8"/>
        <v>YES</v>
      </c>
      <c r="T197" s="162" t="str">
        <f t="shared" si="9"/>
        <v>No</v>
      </c>
      <c r="U197" s="162" t="str">
        <f t="shared" si="10"/>
        <v>No</v>
      </c>
    </row>
    <row r="198" spans="1:21" ht="15">
      <c r="A198" s="174">
        <v>4461</v>
      </c>
      <c r="B198" s="174" t="s">
        <v>453</v>
      </c>
      <c r="C198" s="174" t="s">
        <v>369</v>
      </c>
      <c r="D198" s="174" t="s">
        <v>464</v>
      </c>
      <c r="E198" s="174" t="s">
        <v>271</v>
      </c>
      <c r="F198" s="174">
        <v>8</v>
      </c>
      <c r="G198" s="174">
        <v>1.39</v>
      </c>
      <c r="H198" s="174" t="b">
        <v>1</v>
      </c>
      <c r="I198" s="174" t="b">
        <v>1</v>
      </c>
      <c r="J198" s="174">
        <v>0.72</v>
      </c>
      <c r="K198" s="174">
        <v>300</v>
      </c>
      <c r="L198" s="174">
        <v>5.2</v>
      </c>
      <c r="M198" s="178">
        <v>40848</v>
      </c>
      <c r="O198" s="179">
        <f>VLOOKUP(K198,'Cost Model '!$G$11:$J$200,4,FALSE)</f>
        <v>15.31</v>
      </c>
      <c r="R198" s="162" t="str">
        <f t="shared" si="11"/>
        <v>YES</v>
      </c>
      <c r="S198" s="162" t="str">
        <f t="shared" si="8"/>
        <v>YES</v>
      </c>
      <c r="T198" s="162" t="str">
        <f t="shared" si="9"/>
        <v>No</v>
      </c>
      <c r="U198" s="162" t="str">
        <f t="shared" si="10"/>
        <v>No</v>
      </c>
    </row>
    <row r="199" spans="1:21" ht="15">
      <c r="A199" s="174">
        <v>4462</v>
      </c>
      <c r="B199" s="174" t="s">
        <v>453</v>
      </c>
      <c r="C199" s="174" t="s">
        <v>369</v>
      </c>
      <c r="D199" s="174" t="s">
        <v>465</v>
      </c>
      <c r="E199" s="174" t="s">
        <v>271</v>
      </c>
      <c r="F199" s="174">
        <v>8</v>
      </c>
      <c r="G199" s="174">
        <v>1.39</v>
      </c>
      <c r="H199" s="174" t="b">
        <v>1</v>
      </c>
      <c r="I199" s="174" t="b">
        <v>1</v>
      </c>
      <c r="J199" s="174">
        <v>0.72</v>
      </c>
      <c r="K199" s="174">
        <v>300</v>
      </c>
      <c r="L199" s="174">
        <v>5.2</v>
      </c>
      <c r="M199" s="178">
        <v>40848</v>
      </c>
      <c r="O199" s="179">
        <f>VLOOKUP(K199,'Cost Model '!$G$11:$J$200,4,FALSE)</f>
        <v>15.31</v>
      </c>
      <c r="R199" s="162" t="str">
        <f t="shared" si="11"/>
        <v>YES</v>
      </c>
      <c r="S199" s="162" t="str">
        <f t="shared" si="8"/>
        <v>YES</v>
      </c>
      <c r="T199" s="162" t="str">
        <f t="shared" si="9"/>
        <v>No</v>
      </c>
      <c r="U199" s="162" t="str">
        <f t="shared" si="10"/>
        <v>No</v>
      </c>
    </row>
    <row r="200" spans="1:21" ht="15">
      <c r="A200" s="174">
        <v>4714</v>
      </c>
      <c r="B200" s="174" t="s">
        <v>453</v>
      </c>
      <c r="C200" s="174" t="s">
        <v>369</v>
      </c>
      <c r="D200" s="174" t="s">
        <v>466</v>
      </c>
      <c r="E200" s="174" t="s">
        <v>271</v>
      </c>
      <c r="F200" s="174">
        <v>14</v>
      </c>
      <c r="G200" s="174">
        <v>1.32</v>
      </c>
      <c r="H200" s="174" t="b">
        <v>1</v>
      </c>
      <c r="I200" s="174" t="b">
        <v>1</v>
      </c>
      <c r="J200" s="174">
        <v>0.76</v>
      </c>
      <c r="K200" s="174">
        <v>280</v>
      </c>
      <c r="L200" s="174">
        <v>4</v>
      </c>
      <c r="M200" s="178">
        <v>41121</v>
      </c>
      <c r="O200" s="179">
        <f>VLOOKUP(K200,'Cost Model '!$G$11:$J$200,4,FALSE)</f>
        <v>36.34999999999998</v>
      </c>
      <c r="R200" s="162" t="str">
        <f t="shared" si="11"/>
        <v>YES</v>
      </c>
      <c r="S200" s="162" t="str">
        <f t="shared" si="8"/>
        <v>YES</v>
      </c>
      <c r="T200" s="162" t="str">
        <f t="shared" si="9"/>
        <v>YES</v>
      </c>
      <c r="U200" s="162" t="str">
        <f t="shared" si="10"/>
        <v>YES</v>
      </c>
    </row>
    <row r="201" spans="1:21" ht="15">
      <c r="A201" s="174">
        <v>4463</v>
      </c>
      <c r="B201" s="174" t="s">
        <v>453</v>
      </c>
      <c r="C201" s="174" t="s">
        <v>340</v>
      </c>
      <c r="D201" s="174">
        <v>587.14402399999994</v>
      </c>
      <c r="E201" s="174" t="s">
        <v>271</v>
      </c>
      <c r="F201" s="174">
        <v>8</v>
      </c>
      <c r="G201" s="174">
        <v>1.39</v>
      </c>
      <c r="H201" s="174" t="b">
        <v>1</v>
      </c>
      <c r="I201" s="174" t="b">
        <v>1</v>
      </c>
      <c r="J201" s="174">
        <v>0.72</v>
      </c>
      <c r="K201" s="174">
        <v>300</v>
      </c>
      <c r="L201" s="174">
        <v>5.2</v>
      </c>
      <c r="M201" s="178">
        <v>40848</v>
      </c>
      <c r="O201" s="179">
        <f>VLOOKUP(K201,'Cost Model '!$G$11:$J$200,4,FALSE)</f>
        <v>15.31</v>
      </c>
      <c r="R201" s="162" t="str">
        <f t="shared" si="11"/>
        <v>YES</v>
      </c>
      <c r="S201" s="162" t="str">
        <f t="shared" si="8"/>
        <v>YES</v>
      </c>
      <c r="T201" s="162" t="str">
        <f t="shared" si="9"/>
        <v>No</v>
      </c>
      <c r="U201" s="162" t="str">
        <f t="shared" si="10"/>
        <v>No</v>
      </c>
    </row>
    <row r="202" spans="1:21" ht="15">
      <c r="A202" s="174">
        <v>4465</v>
      </c>
      <c r="B202" s="174" t="s">
        <v>453</v>
      </c>
      <c r="C202" s="174" t="s">
        <v>340</v>
      </c>
      <c r="D202" s="174">
        <v>587.14403400000003</v>
      </c>
      <c r="E202" s="174" t="s">
        <v>271</v>
      </c>
      <c r="F202" s="174">
        <v>8</v>
      </c>
      <c r="G202" s="174">
        <v>1.39</v>
      </c>
      <c r="H202" s="174" t="b">
        <v>1</v>
      </c>
      <c r="I202" s="174" t="b">
        <v>1</v>
      </c>
      <c r="J202" s="174">
        <v>0.72</v>
      </c>
      <c r="K202" s="174">
        <v>300</v>
      </c>
      <c r="L202" s="174">
        <v>5.2</v>
      </c>
      <c r="M202" s="178">
        <v>40848</v>
      </c>
      <c r="O202" s="179">
        <f>VLOOKUP(K202,'Cost Model '!$G$11:$J$200,4,FALSE)</f>
        <v>15.31</v>
      </c>
      <c r="R202" s="162" t="str">
        <f t="shared" si="11"/>
        <v>YES</v>
      </c>
      <c r="S202" s="162" t="str">
        <f t="shared" si="8"/>
        <v>YES</v>
      </c>
      <c r="T202" s="162" t="str">
        <f t="shared" si="9"/>
        <v>No</v>
      </c>
      <c r="U202" s="162" t="str">
        <f t="shared" si="10"/>
        <v>No</v>
      </c>
    </row>
    <row r="203" spans="1:21" ht="15">
      <c r="A203" s="174">
        <v>4464</v>
      </c>
      <c r="B203" s="174" t="s">
        <v>453</v>
      </c>
      <c r="C203" s="174" t="s">
        <v>340</v>
      </c>
      <c r="D203" s="174">
        <v>587.144094</v>
      </c>
      <c r="E203" s="174" t="s">
        <v>271</v>
      </c>
      <c r="F203" s="174">
        <v>8</v>
      </c>
      <c r="G203" s="174">
        <v>1.39</v>
      </c>
      <c r="H203" s="174" t="b">
        <v>1</v>
      </c>
      <c r="I203" s="174" t="b">
        <v>1</v>
      </c>
      <c r="J203" s="174">
        <v>0.72</v>
      </c>
      <c r="K203" s="174">
        <v>300</v>
      </c>
      <c r="L203" s="174">
        <v>5.2</v>
      </c>
      <c r="M203" s="178">
        <v>40848</v>
      </c>
      <c r="O203" s="179">
        <f>VLOOKUP(K203,'Cost Model '!$G$11:$J$200,4,FALSE)</f>
        <v>15.31</v>
      </c>
      <c r="R203" s="162" t="str">
        <f t="shared" si="11"/>
        <v>YES</v>
      </c>
      <c r="S203" s="162" t="str">
        <f t="shared" si="8"/>
        <v>YES</v>
      </c>
      <c r="T203" s="162" t="str">
        <f t="shared" si="9"/>
        <v>No</v>
      </c>
      <c r="U203" s="162" t="str">
        <f t="shared" si="10"/>
        <v>No</v>
      </c>
    </row>
    <row r="204" spans="1:21" ht="15">
      <c r="A204" s="174">
        <v>4466</v>
      </c>
      <c r="B204" s="174" t="s">
        <v>453</v>
      </c>
      <c r="C204" s="174" t="s">
        <v>340</v>
      </c>
      <c r="D204" s="174">
        <v>587.14412400000003</v>
      </c>
      <c r="E204" s="174" t="s">
        <v>271</v>
      </c>
      <c r="F204" s="174">
        <v>8</v>
      </c>
      <c r="G204" s="174">
        <v>1.39</v>
      </c>
      <c r="H204" s="174" t="b">
        <v>1</v>
      </c>
      <c r="I204" s="174" t="b">
        <v>1</v>
      </c>
      <c r="J204" s="174">
        <v>0.72</v>
      </c>
      <c r="K204" s="174">
        <v>300</v>
      </c>
      <c r="L204" s="174">
        <v>5.2</v>
      </c>
      <c r="M204" s="178">
        <v>40848</v>
      </c>
      <c r="O204" s="179">
        <f>VLOOKUP(K204,'Cost Model '!$G$11:$J$200,4,FALSE)</f>
        <v>15.31</v>
      </c>
      <c r="R204" s="162" t="str">
        <f t="shared" si="11"/>
        <v>YES</v>
      </c>
      <c r="S204" s="162" t="str">
        <f t="shared" si="8"/>
        <v>YES</v>
      </c>
      <c r="T204" s="162" t="str">
        <f t="shared" si="9"/>
        <v>No</v>
      </c>
      <c r="U204" s="162" t="str">
        <f t="shared" si="10"/>
        <v>No</v>
      </c>
    </row>
    <row r="205" spans="1:21" ht="15">
      <c r="A205" s="174">
        <v>4467</v>
      </c>
      <c r="B205" s="174" t="s">
        <v>453</v>
      </c>
      <c r="C205" s="174" t="s">
        <v>340</v>
      </c>
      <c r="D205" s="174">
        <v>587.14419399999997</v>
      </c>
      <c r="E205" s="174" t="s">
        <v>271</v>
      </c>
      <c r="F205" s="174">
        <v>8</v>
      </c>
      <c r="G205" s="174">
        <v>1.39</v>
      </c>
      <c r="H205" s="174" t="b">
        <v>1</v>
      </c>
      <c r="I205" s="174" t="b">
        <v>1</v>
      </c>
      <c r="J205" s="174">
        <v>0.72</v>
      </c>
      <c r="K205" s="174">
        <v>300</v>
      </c>
      <c r="L205" s="174">
        <v>5.2</v>
      </c>
      <c r="M205" s="178">
        <v>40848</v>
      </c>
      <c r="O205" s="179">
        <f>VLOOKUP(K205,'Cost Model '!$G$11:$J$200,4,FALSE)</f>
        <v>15.31</v>
      </c>
      <c r="R205" s="162" t="str">
        <f t="shared" si="11"/>
        <v>YES</v>
      </c>
      <c r="S205" s="162" t="str">
        <f t="shared" si="8"/>
        <v>YES</v>
      </c>
      <c r="T205" s="162" t="str">
        <f t="shared" si="9"/>
        <v>No</v>
      </c>
      <c r="U205" s="162" t="str">
        <f t="shared" si="10"/>
        <v>No</v>
      </c>
    </row>
    <row r="206" spans="1:21" ht="15">
      <c r="A206" s="174">
        <v>4705</v>
      </c>
      <c r="B206" s="174" t="s">
        <v>453</v>
      </c>
      <c r="C206" s="174" t="s">
        <v>340</v>
      </c>
      <c r="D206" s="174" t="s">
        <v>467</v>
      </c>
      <c r="E206" s="174" t="s">
        <v>271</v>
      </c>
      <c r="F206" s="174">
        <v>8</v>
      </c>
      <c r="G206" s="174">
        <v>1.1399999999999999</v>
      </c>
      <c r="H206" s="174" t="b">
        <v>1</v>
      </c>
      <c r="I206" s="174" t="b">
        <v>1</v>
      </c>
      <c r="J206" s="174">
        <v>0.88</v>
      </c>
      <c r="K206" s="174">
        <v>280</v>
      </c>
      <c r="L206" s="174">
        <v>4</v>
      </c>
      <c r="M206" s="178">
        <v>41113</v>
      </c>
      <c r="O206" s="179">
        <f>VLOOKUP(K206,'Cost Model '!$G$11:$J$200,4,FALSE)</f>
        <v>36.34999999999998</v>
      </c>
      <c r="R206" s="162" t="str">
        <f t="shared" si="11"/>
        <v>YES</v>
      </c>
      <c r="S206" s="162" t="str">
        <f t="shared" si="8"/>
        <v>YES</v>
      </c>
      <c r="T206" s="162" t="str">
        <f t="shared" si="9"/>
        <v>YES</v>
      </c>
      <c r="U206" s="162" t="str">
        <f t="shared" si="10"/>
        <v>YES</v>
      </c>
    </row>
    <row r="207" spans="1:21" ht="15">
      <c r="A207" s="174">
        <v>4706</v>
      </c>
      <c r="B207" s="174" t="s">
        <v>453</v>
      </c>
      <c r="C207" s="174" t="s">
        <v>340</v>
      </c>
      <c r="D207" s="174" t="s">
        <v>468</v>
      </c>
      <c r="E207" s="174" t="s">
        <v>271</v>
      </c>
      <c r="F207" s="174">
        <v>8</v>
      </c>
      <c r="G207" s="174">
        <v>1.1399999999999999</v>
      </c>
      <c r="H207" s="174" t="b">
        <v>1</v>
      </c>
      <c r="I207" s="174" t="b">
        <v>1</v>
      </c>
      <c r="J207" s="174">
        <v>0.88</v>
      </c>
      <c r="K207" s="174">
        <v>280</v>
      </c>
      <c r="L207" s="174">
        <v>4</v>
      </c>
      <c r="M207" s="178">
        <v>41113</v>
      </c>
      <c r="O207" s="179">
        <f>VLOOKUP(K207,'Cost Model '!$G$11:$J$200,4,FALSE)</f>
        <v>36.34999999999998</v>
      </c>
      <c r="R207" s="162" t="str">
        <f t="shared" si="11"/>
        <v>YES</v>
      </c>
      <c r="S207" s="162" t="str">
        <f t="shared" si="8"/>
        <v>YES</v>
      </c>
      <c r="T207" s="162" t="str">
        <f t="shared" si="9"/>
        <v>YES</v>
      </c>
      <c r="U207" s="162" t="str">
        <f t="shared" si="10"/>
        <v>YES</v>
      </c>
    </row>
    <row r="208" spans="1:21" ht="15">
      <c r="A208" s="174">
        <v>4702</v>
      </c>
      <c r="B208" s="174" t="s">
        <v>453</v>
      </c>
      <c r="C208" s="174" t="s">
        <v>340</v>
      </c>
      <c r="D208" s="174" t="s">
        <v>469</v>
      </c>
      <c r="E208" s="174" t="s">
        <v>271</v>
      </c>
      <c r="F208" s="174">
        <v>8</v>
      </c>
      <c r="G208" s="174">
        <v>1.1399999999999999</v>
      </c>
      <c r="H208" s="174" t="b">
        <v>1</v>
      </c>
      <c r="I208" s="174" t="b">
        <v>1</v>
      </c>
      <c r="J208" s="174">
        <v>0.88</v>
      </c>
      <c r="K208" s="174">
        <v>280</v>
      </c>
      <c r="L208" s="174">
        <v>4</v>
      </c>
      <c r="M208" s="178">
        <v>41113</v>
      </c>
      <c r="O208" s="179">
        <f>VLOOKUP(K208,'Cost Model '!$G$11:$J$200,4,FALSE)</f>
        <v>36.34999999999998</v>
      </c>
      <c r="R208" s="162" t="str">
        <f t="shared" si="11"/>
        <v>YES</v>
      </c>
      <c r="S208" s="162" t="str">
        <f t="shared" si="8"/>
        <v>YES</v>
      </c>
      <c r="T208" s="162" t="str">
        <f t="shared" si="9"/>
        <v>YES</v>
      </c>
      <c r="U208" s="162" t="str">
        <f t="shared" si="10"/>
        <v>YES</v>
      </c>
    </row>
    <row r="209" spans="1:21" ht="15">
      <c r="A209" s="174">
        <v>4703</v>
      </c>
      <c r="B209" s="174" t="s">
        <v>453</v>
      </c>
      <c r="C209" s="174" t="s">
        <v>340</v>
      </c>
      <c r="D209" s="174" t="s">
        <v>470</v>
      </c>
      <c r="E209" s="174" t="s">
        <v>271</v>
      </c>
      <c r="F209" s="174">
        <v>8</v>
      </c>
      <c r="G209" s="174">
        <v>1.1399999999999999</v>
      </c>
      <c r="H209" s="174" t="b">
        <v>1</v>
      </c>
      <c r="I209" s="174" t="b">
        <v>1</v>
      </c>
      <c r="J209" s="174">
        <v>0.88</v>
      </c>
      <c r="K209" s="174">
        <v>280</v>
      </c>
      <c r="L209" s="174">
        <v>4</v>
      </c>
      <c r="M209" s="178">
        <v>41113</v>
      </c>
      <c r="O209" s="179">
        <f>VLOOKUP(K209,'Cost Model '!$G$11:$J$200,4,FALSE)</f>
        <v>36.34999999999998</v>
      </c>
      <c r="R209" s="162" t="str">
        <f t="shared" si="11"/>
        <v>YES</v>
      </c>
      <c r="S209" s="162" t="str">
        <f t="shared" si="8"/>
        <v>YES</v>
      </c>
      <c r="T209" s="162" t="str">
        <f t="shared" si="9"/>
        <v>YES</v>
      </c>
      <c r="U209" s="162" t="str">
        <f t="shared" si="10"/>
        <v>YES</v>
      </c>
    </row>
    <row r="210" spans="1:21" ht="15">
      <c r="A210" s="174">
        <v>4704</v>
      </c>
      <c r="B210" s="174" t="s">
        <v>453</v>
      </c>
      <c r="C210" s="174" t="s">
        <v>340</v>
      </c>
      <c r="D210" s="174" t="s">
        <v>471</v>
      </c>
      <c r="E210" s="174" t="s">
        <v>271</v>
      </c>
      <c r="F210" s="174">
        <v>8</v>
      </c>
      <c r="G210" s="174">
        <v>1.1399999999999999</v>
      </c>
      <c r="H210" s="174" t="b">
        <v>1</v>
      </c>
      <c r="I210" s="174" t="b">
        <v>1</v>
      </c>
      <c r="J210" s="174">
        <v>0.88</v>
      </c>
      <c r="K210" s="174">
        <v>280</v>
      </c>
      <c r="L210" s="174">
        <v>4</v>
      </c>
      <c r="M210" s="178">
        <v>41113</v>
      </c>
      <c r="O210" s="179">
        <f>VLOOKUP(K210,'Cost Model '!$G$11:$J$200,4,FALSE)</f>
        <v>36.34999999999998</v>
      </c>
      <c r="R210" s="162" t="str">
        <f t="shared" si="11"/>
        <v>YES</v>
      </c>
      <c r="S210" s="162" t="str">
        <f t="shared" si="8"/>
        <v>YES</v>
      </c>
      <c r="T210" s="162" t="str">
        <f t="shared" si="9"/>
        <v>YES</v>
      </c>
      <c r="U210" s="162" t="str">
        <f t="shared" si="10"/>
        <v>YES</v>
      </c>
    </row>
    <row r="211" spans="1:21" ht="15">
      <c r="A211" s="174">
        <v>4707</v>
      </c>
      <c r="B211" s="174" t="s">
        <v>453</v>
      </c>
      <c r="C211" s="174" t="s">
        <v>340</v>
      </c>
      <c r="D211" s="174" t="s">
        <v>472</v>
      </c>
      <c r="E211" s="174" t="s">
        <v>271</v>
      </c>
      <c r="F211" s="174">
        <v>8</v>
      </c>
      <c r="G211" s="174">
        <v>1.1399999999999999</v>
      </c>
      <c r="H211" s="174" t="b">
        <v>1</v>
      </c>
      <c r="I211" s="174" t="b">
        <v>1</v>
      </c>
      <c r="J211" s="174">
        <v>0.88</v>
      </c>
      <c r="K211" s="174">
        <v>280</v>
      </c>
      <c r="L211" s="174">
        <v>4</v>
      </c>
      <c r="M211" s="178">
        <v>41113</v>
      </c>
      <c r="O211" s="179">
        <f>VLOOKUP(K211,'Cost Model '!$G$11:$J$200,4,FALSE)</f>
        <v>36.34999999999998</v>
      </c>
      <c r="R211" s="162" t="str">
        <f t="shared" si="11"/>
        <v>YES</v>
      </c>
      <c r="S211" s="162" t="str">
        <f t="shared" si="8"/>
        <v>YES</v>
      </c>
      <c r="T211" s="162" t="str">
        <f t="shared" si="9"/>
        <v>YES</v>
      </c>
      <c r="U211" s="162" t="str">
        <f t="shared" si="10"/>
        <v>YES</v>
      </c>
    </row>
    <row r="212" spans="1:21" ht="15">
      <c r="A212" s="174">
        <v>4576</v>
      </c>
      <c r="B212" s="174" t="s">
        <v>453</v>
      </c>
      <c r="C212" s="174" t="s">
        <v>340</v>
      </c>
      <c r="D212" s="174" t="s">
        <v>473</v>
      </c>
      <c r="E212" s="174" t="s">
        <v>271</v>
      </c>
      <c r="F212" s="174">
        <v>14</v>
      </c>
      <c r="G212" s="174">
        <v>1.32</v>
      </c>
      <c r="H212" s="174" t="b">
        <v>1</v>
      </c>
      <c r="I212" s="174" t="b">
        <v>1</v>
      </c>
      <c r="J212" s="174">
        <v>0.76</v>
      </c>
      <c r="K212" s="174">
        <v>280</v>
      </c>
      <c r="L212" s="174">
        <v>4</v>
      </c>
      <c r="M212" s="178">
        <v>40955</v>
      </c>
      <c r="O212" s="179">
        <f>VLOOKUP(K212,'Cost Model '!$G$11:$J$200,4,FALSE)</f>
        <v>36.34999999999998</v>
      </c>
      <c r="R212" s="162" t="str">
        <f t="shared" si="11"/>
        <v>YES</v>
      </c>
      <c r="S212" s="162" t="str">
        <f t="shared" si="8"/>
        <v>YES</v>
      </c>
      <c r="T212" s="162" t="str">
        <f t="shared" si="9"/>
        <v>YES</v>
      </c>
      <c r="U212" s="162" t="str">
        <f t="shared" si="10"/>
        <v>YES</v>
      </c>
    </row>
    <row r="213" spans="1:21" ht="15">
      <c r="A213" s="174">
        <v>4577</v>
      </c>
      <c r="B213" s="174" t="s">
        <v>453</v>
      </c>
      <c r="C213" s="174" t="s">
        <v>340</v>
      </c>
      <c r="D213" s="174" t="s">
        <v>474</v>
      </c>
      <c r="E213" s="174" t="s">
        <v>271</v>
      </c>
      <c r="F213" s="174">
        <v>14</v>
      </c>
      <c r="G213" s="174">
        <v>1.32</v>
      </c>
      <c r="H213" s="174" t="b">
        <v>1</v>
      </c>
      <c r="I213" s="174" t="b">
        <v>1</v>
      </c>
      <c r="J213" s="174">
        <v>0.76</v>
      </c>
      <c r="K213" s="174">
        <v>280</v>
      </c>
      <c r="L213" s="174">
        <v>4</v>
      </c>
      <c r="M213" s="178">
        <v>40955</v>
      </c>
      <c r="O213" s="179">
        <f>VLOOKUP(K213,'Cost Model '!$G$11:$J$200,4,FALSE)</f>
        <v>36.34999999999998</v>
      </c>
      <c r="R213" s="162" t="str">
        <f t="shared" si="11"/>
        <v>YES</v>
      </c>
      <c r="S213" s="162" t="str">
        <f t="shared" ref="S213:S276" si="12">IF(AND($K213&gt;=$S$7,$K213&lt;=$S$8,$L213&lt;=$S$9),"YES","No")</f>
        <v>YES</v>
      </c>
      <c r="T213" s="162" t="str">
        <f t="shared" ref="T213:T276" si="13">IF(AND($K213&gt;=$T$7,$K213&lt;=$T$8,$L213&lt;=$T$9),"YES","No")</f>
        <v>YES</v>
      </c>
      <c r="U213" s="162" t="str">
        <f t="shared" ref="U213:U276" si="14">IF(AND($K213&gt;=$U$7,$K213&lt;=$U$8,$L213&lt;=$U$9,J213&gt;=$U$11),"YES","No")</f>
        <v>YES</v>
      </c>
    </row>
    <row r="214" spans="1:21" ht="15">
      <c r="A214" s="174">
        <v>4709</v>
      </c>
      <c r="B214" s="174" t="s">
        <v>453</v>
      </c>
      <c r="C214" s="174" t="s">
        <v>340</v>
      </c>
      <c r="D214" s="174" t="s">
        <v>475</v>
      </c>
      <c r="E214" s="174" t="s">
        <v>271</v>
      </c>
      <c r="F214" s="174">
        <v>14</v>
      </c>
      <c r="G214" s="174">
        <v>1.32</v>
      </c>
      <c r="H214" s="174" t="b">
        <v>1</v>
      </c>
      <c r="I214" s="174" t="b">
        <v>1</v>
      </c>
      <c r="J214" s="174">
        <v>0.76</v>
      </c>
      <c r="K214" s="174">
        <v>280</v>
      </c>
      <c r="L214" s="174">
        <v>4</v>
      </c>
      <c r="M214" s="178">
        <v>41113</v>
      </c>
      <c r="O214" s="179">
        <f>VLOOKUP(K214,'Cost Model '!$G$11:$J$200,4,FALSE)</f>
        <v>36.34999999999998</v>
      </c>
      <c r="R214" s="162" t="str">
        <f t="shared" ref="R214:R277" si="15">IF(AND($K214&gt;=$R$7,$K214&lt;=$R$8,$L214&lt;=$R$9),"YES","No")</f>
        <v>YES</v>
      </c>
      <c r="S214" s="162" t="str">
        <f t="shared" si="12"/>
        <v>YES</v>
      </c>
      <c r="T214" s="162" t="str">
        <f t="shared" si="13"/>
        <v>YES</v>
      </c>
      <c r="U214" s="162" t="str">
        <f t="shared" si="14"/>
        <v>YES</v>
      </c>
    </row>
    <row r="215" spans="1:21" ht="15">
      <c r="A215" s="174">
        <v>2828</v>
      </c>
      <c r="B215" s="174" t="s">
        <v>453</v>
      </c>
      <c r="C215" s="174" t="s">
        <v>476</v>
      </c>
      <c r="D215" s="174" t="s">
        <v>477</v>
      </c>
      <c r="E215" s="174" t="s">
        <v>271</v>
      </c>
      <c r="F215" s="174">
        <v>14</v>
      </c>
      <c r="G215" s="174">
        <v>1.32</v>
      </c>
      <c r="H215" s="174" t="b">
        <v>1</v>
      </c>
      <c r="I215" s="174" t="b">
        <v>0</v>
      </c>
      <c r="J215" s="174">
        <v>0.76</v>
      </c>
      <c r="K215" s="174">
        <v>289</v>
      </c>
      <c r="L215" s="174">
        <v>4.8</v>
      </c>
      <c r="M215" s="178">
        <v>40323</v>
      </c>
      <c r="O215" s="179">
        <f>VLOOKUP(K215,'Cost Model '!$G$11:$J$200,4,FALSE)</f>
        <v>25.999999999999989</v>
      </c>
      <c r="R215" s="162" t="str">
        <f t="shared" si="15"/>
        <v>YES</v>
      </c>
      <c r="S215" s="162" t="str">
        <f t="shared" si="12"/>
        <v>YES</v>
      </c>
      <c r="T215" s="162" t="str">
        <f t="shared" si="13"/>
        <v>No</v>
      </c>
      <c r="U215" s="162" t="str">
        <f t="shared" si="14"/>
        <v>No</v>
      </c>
    </row>
    <row r="216" spans="1:21" ht="15">
      <c r="A216" s="174">
        <v>4584</v>
      </c>
      <c r="B216" s="174" t="s">
        <v>453</v>
      </c>
      <c r="C216" s="174" t="s">
        <v>476</v>
      </c>
      <c r="D216" s="174" t="s">
        <v>478</v>
      </c>
      <c r="E216" s="174" t="s">
        <v>271</v>
      </c>
      <c r="F216" s="174">
        <v>14</v>
      </c>
      <c r="G216" s="174">
        <v>1.39</v>
      </c>
      <c r="H216" s="174" t="b">
        <v>1</v>
      </c>
      <c r="I216" s="174" t="b">
        <v>0</v>
      </c>
      <c r="J216" s="174">
        <v>0.72</v>
      </c>
      <c r="K216" s="174">
        <v>295</v>
      </c>
      <c r="L216" s="174">
        <v>4.3</v>
      </c>
      <c r="M216" s="178">
        <v>40955</v>
      </c>
      <c r="O216" s="179">
        <f>VLOOKUP(K216,'Cost Model '!$G$11:$J$200,4,FALSE)</f>
        <v>19.099999999999998</v>
      </c>
      <c r="R216" s="162" t="str">
        <f t="shared" si="15"/>
        <v>YES</v>
      </c>
      <c r="S216" s="162" t="str">
        <f t="shared" si="12"/>
        <v>YES</v>
      </c>
      <c r="T216" s="162" t="str">
        <f t="shared" si="13"/>
        <v>No</v>
      </c>
      <c r="U216" s="162" t="str">
        <f t="shared" si="14"/>
        <v>No</v>
      </c>
    </row>
    <row r="217" spans="1:21" ht="15">
      <c r="A217" s="174">
        <v>4583</v>
      </c>
      <c r="B217" s="174" t="s">
        <v>453</v>
      </c>
      <c r="C217" s="174" t="s">
        <v>476</v>
      </c>
      <c r="D217" s="174" t="s">
        <v>479</v>
      </c>
      <c r="E217" s="174" t="s">
        <v>271</v>
      </c>
      <c r="F217" s="174">
        <v>14</v>
      </c>
      <c r="G217" s="174">
        <v>1.39</v>
      </c>
      <c r="H217" s="174" t="b">
        <v>1</v>
      </c>
      <c r="I217" s="174" t="b">
        <v>0</v>
      </c>
      <c r="J217" s="174">
        <v>0.72</v>
      </c>
      <c r="K217" s="174">
        <v>295</v>
      </c>
      <c r="L217" s="174">
        <v>4.3</v>
      </c>
      <c r="M217" s="178">
        <v>40955</v>
      </c>
      <c r="O217" s="179">
        <f>VLOOKUP(K217,'Cost Model '!$G$11:$J$200,4,FALSE)</f>
        <v>19.099999999999998</v>
      </c>
      <c r="R217" s="162" t="str">
        <f t="shared" si="15"/>
        <v>YES</v>
      </c>
      <c r="S217" s="162" t="str">
        <f t="shared" si="12"/>
        <v>YES</v>
      </c>
      <c r="T217" s="162" t="str">
        <f t="shared" si="13"/>
        <v>No</v>
      </c>
      <c r="U217" s="162" t="str">
        <f t="shared" si="14"/>
        <v>No</v>
      </c>
    </row>
    <row r="218" spans="1:21" ht="15">
      <c r="A218" s="174">
        <v>3801</v>
      </c>
      <c r="B218" s="174" t="s">
        <v>453</v>
      </c>
      <c r="C218" s="174" t="s">
        <v>476</v>
      </c>
      <c r="D218" s="174" t="s">
        <v>480</v>
      </c>
      <c r="E218" s="174" t="s">
        <v>271</v>
      </c>
      <c r="F218" s="174">
        <v>14</v>
      </c>
      <c r="G218" s="174">
        <v>1.25</v>
      </c>
      <c r="H218" s="174" t="b">
        <v>1</v>
      </c>
      <c r="I218" s="174" t="b">
        <v>0</v>
      </c>
      <c r="J218" s="174">
        <v>0.8</v>
      </c>
      <c r="K218" s="174">
        <v>279</v>
      </c>
      <c r="L218" s="174">
        <v>4</v>
      </c>
      <c r="M218" s="178">
        <v>40574</v>
      </c>
      <c r="O218" s="179">
        <f>VLOOKUP(K218,'Cost Model '!$G$11:$J$200,4,FALSE)</f>
        <v>37.499999999999979</v>
      </c>
      <c r="R218" s="162" t="str">
        <f t="shared" si="15"/>
        <v>YES</v>
      </c>
      <c r="S218" s="162" t="str">
        <f t="shared" si="12"/>
        <v>YES</v>
      </c>
      <c r="T218" s="162" t="str">
        <f t="shared" si="13"/>
        <v>YES</v>
      </c>
      <c r="U218" s="162" t="str">
        <f t="shared" si="14"/>
        <v>YES</v>
      </c>
    </row>
    <row r="219" spans="1:21" ht="15">
      <c r="A219" s="174">
        <v>4209</v>
      </c>
      <c r="B219" s="174" t="s">
        <v>453</v>
      </c>
      <c r="C219" s="174" t="s">
        <v>476</v>
      </c>
      <c r="D219" s="174" t="s">
        <v>481</v>
      </c>
      <c r="E219" s="174" t="s">
        <v>271</v>
      </c>
      <c r="F219" s="174">
        <v>14</v>
      </c>
      <c r="G219" s="174">
        <v>1.21</v>
      </c>
      <c r="H219" s="174" t="b">
        <v>1</v>
      </c>
      <c r="I219" s="174" t="b">
        <v>1</v>
      </c>
      <c r="J219" s="174">
        <v>0.8</v>
      </c>
      <c r="K219" s="174">
        <v>279</v>
      </c>
      <c r="L219" s="174">
        <v>4</v>
      </c>
      <c r="M219" s="178">
        <v>40686</v>
      </c>
      <c r="O219" s="179">
        <f>VLOOKUP(K219,'Cost Model '!$G$11:$J$200,4,FALSE)</f>
        <v>37.499999999999979</v>
      </c>
      <c r="R219" s="162" t="str">
        <f t="shared" si="15"/>
        <v>YES</v>
      </c>
      <c r="S219" s="162" t="str">
        <f t="shared" si="12"/>
        <v>YES</v>
      </c>
      <c r="T219" s="162" t="str">
        <f t="shared" si="13"/>
        <v>YES</v>
      </c>
      <c r="U219" s="162" t="str">
        <f t="shared" si="14"/>
        <v>YES</v>
      </c>
    </row>
    <row r="220" spans="1:21" ht="15">
      <c r="A220" s="174">
        <v>4585</v>
      </c>
      <c r="B220" s="174" t="s">
        <v>453</v>
      </c>
      <c r="C220" s="174" t="s">
        <v>476</v>
      </c>
      <c r="D220" s="174" t="s">
        <v>482</v>
      </c>
      <c r="E220" s="174" t="s">
        <v>271</v>
      </c>
      <c r="F220" s="174">
        <v>14</v>
      </c>
      <c r="G220" s="174">
        <v>1.21</v>
      </c>
      <c r="H220" s="174" t="b">
        <v>1</v>
      </c>
      <c r="I220" s="174" t="b">
        <v>0</v>
      </c>
      <c r="J220" s="174">
        <v>0.83</v>
      </c>
      <c r="K220" s="174">
        <v>279</v>
      </c>
      <c r="L220" s="174">
        <v>4</v>
      </c>
      <c r="M220" s="178">
        <v>40955</v>
      </c>
      <c r="O220" s="179">
        <f>VLOOKUP(K220,'Cost Model '!$G$11:$J$200,4,FALSE)</f>
        <v>37.499999999999979</v>
      </c>
      <c r="R220" s="162" t="str">
        <f t="shared" si="15"/>
        <v>YES</v>
      </c>
      <c r="S220" s="162" t="str">
        <f t="shared" si="12"/>
        <v>YES</v>
      </c>
      <c r="T220" s="162" t="str">
        <f t="shared" si="13"/>
        <v>YES</v>
      </c>
      <c r="U220" s="162" t="str">
        <f t="shared" si="14"/>
        <v>YES</v>
      </c>
    </row>
    <row r="221" spans="1:21" ht="15">
      <c r="A221" s="174">
        <v>2826</v>
      </c>
      <c r="B221" s="174" t="s">
        <v>453</v>
      </c>
      <c r="C221" s="174" t="s">
        <v>476</v>
      </c>
      <c r="D221" s="174" t="s">
        <v>483</v>
      </c>
      <c r="E221" s="174" t="s">
        <v>271</v>
      </c>
      <c r="F221" s="174">
        <v>14</v>
      </c>
      <c r="G221" s="174">
        <v>1.21</v>
      </c>
      <c r="H221" s="174" t="b">
        <v>1</v>
      </c>
      <c r="I221" s="174" t="b">
        <v>0</v>
      </c>
      <c r="J221" s="174">
        <v>0.83</v>
      </c>
      <c r="K221" s="174">
        <v>279</v>
      </c>
      <c r="L221" s="174">
        <v>4</v>
      </c>
      <c r="M221" s="178">
        <v>40323</v>
      </c>
      <c r="O221" s="179">
        <f>VLOOKUP(K221,'Cost Model '!$G$11:$J$200,4,FALSE)</f>
        <v>37.499999999999979</v>
      </c>
      <c r="R221" s="162" t="str">
        <f t="shared" si="15"/>
        <v>YES</v>
      </c>
      <c r="S221" s="162" t="str">
        <f t="shared" si="12"/>
        <v>YES</v>
      </c>
      <c r="T221" s="162" t="str">
        <f t="shared" si="13"/>
        <v>YES</v>
      </c>
      <c r="U221" s="162" t="str">
        <f t="shared" si="14"/>
        <v>YES</v>
      </c>
    </row>
    <row r="222" spans="1:21" ht="15">
      <c r="A222" s="174">
        <v>2825</v>
      </c>
      <c r="B222" s="174" t="s">
        <v>453</v>
      </c>
      <c r="C222" s="174" t="s">
        <v>476</v>
      </c>
      <c r="D222" s="174" t="s">
        <v>484</v>
      </c>
      <c r="E222" s="174" t="s">
        <v>271</v>
      </c>
      <c r="F222" s="174">
        <v>14</v>
      </c>
      <c r="G222" s="174">
        <v>1.21</v>
      </c>
      <c r="H222" s="174" t="b">
        <v>1</v>
      </c>
      <c r="I222" s="174" t="b">
        <v>0</v>
      </c>
      <c r="J222" s="174">
        <v>0.83</v>
      </c>
      <c r="K222" s="174">
        <v>279</v>
      </c>
      <c r="L222" s="174">
        <v>4</v>
      </c>
      <c r="M222" s="178">
        <v>40323</v>
      </c>
      <c r="O222" s="179">
        <f>VLOOKUP(K222,'Cost Model '!$G$11:$J$200,4,FALSE)</f>
        <v>37.499999999999979</v>
      </c>
      <c r="R222" s="162" t="str">
        <f t="shared" si="15"/>
        <v>YES</v>
      </c>
      <c r="S222" s="162" t="str">
        <f t="shared" si="12"/>
        <v>YES</v>
      </c>
      <c r="T222" s="162" t="str">
        <f t="shared" si="13"/>
        <v>YES</v>
      </c>
      <c r="U222" s="162" t="str">
        <f t="shared" si="14"/>
        <v>YES</v>
      </c>
    </row>
    <row r="223" spans="1:21" ht="15">
      <c r="A223" s="174">
        <v>4657</v>
      </c>
      <c r="B223" s="174" t="s">
        <v>453</v>
      </c>
      <c r="C223" s="174" t="s">
        <v>476</v>
      </c>
      <c r="D223" s="174" t="s">
        <v>485</v>
      </c>
      <c r="E223" s="174" t="s">
        <v>271</v>
      </c>
      <c r="F223" s="174">
        <v>14</v>
      </c>
      <c r="G223" s="174">
        <v>1.25</v>
      </c>
      <c r="H223" s="174" t="b">
        <v>1</v>
      </c>
      <c r="I223" s="174" t="b">
        <v>0</v>
      </c>
      <c r="J223" s="174">
        <v>0.8</v>
      </c>
      <c r="K223" s="174">
        <v>279</v>
      </c>
      <c r="L223" s="174">
        <v>4</v>
      </c>
      <c r="M223" s="178">
        <v>41037</v>
      </c>
      <c r="O223" s="179">
        <f>VLOOKUP(K223,'Cost Model '!$G$11:$J$200,4,FALSE)</f>
        <v>37.499999999999979</v>
      </c>
      <c r="R223" s="162" t="str">
        <f t="shared" si="15"/>
        <v>YES</v>
      </c>
      <c r="S223" s="162" t="str">
        <f t="shared" si="12"/>
        <v>YES</v>
      </c>
      <c r="T223" s="162" t="str">
        <f t="shared" si="13"/>
        <v>YES</v>
      </c>
      <c r="U223" s="162" t="str">
        <f t="shared" si="14"/>
        <v>YES</v>
      </c>
    </row>
    <row r="224" spans="1:21" ht="15">
      <c r="A224" s="174">
        <v>4718</v>
      </c>
      <c r="B224" s="174" t="s">
        <v>453</v>
      </c>
      <c r="C224" s="174" t="s">
        <v>486</v>
      </c>
      <c r="D224" s="174" t="s">
        <v>487</v>
      </c>
      <c r="E224" s="174" t="s">
        <v>271</v>
      </c>
      <c r="F224" s="174">
        <v>8</v>
      </c>
      <c r="G224" s="174">
        <v>1.39</v>
      </c>
      <c r="H224" s="174" t="b">
        <v>1</v>
      </c>
      <c r="I224" s="174" t="b">
        <v>0</v>
      </c>
      <c r="J224" s="174">
        <v>0.72</v>
      </c>
      <c r="K224" s="174">
        <v>295</v>
      </c>
      <c r="L224" s="174">
        <v>4.3</v>
      </c>
      <c r="M224" s="178">
        <v>41142</v>
      </c>
      <c r="O224" s="179">
        <f>VLOOKUP(K224,'Cost Model '!$G$11:$J$200,4,FALSE)</f>
        <v>19.099999999999998</v>
      </c>
      <c r="R224" s="162" t="str">
        <f t="shared" si="15"/>
        <v>YES</v>
      </c>
      <c r="S224" s="162" t="str">
        <f t="shared" si="12"/>
        <v>YES</v>
      </c>
      <c r="T224" s="162" t="str">
        <f t="shared" si="13"/>
        <v>No</v>
      </c>
      <c r="U224" s="162" t="str">
        <f t="shared" si="14"/>
        <v>No</v>
      </c>
    </row>
    <row r="225" spans="1:21" ht="15">
      <c r="A225" s="174">
        <v>645</v>
      </c>
      <c r="B225" s="174" t="s">
        <v>488</v>
      </c>
      <c r="C225" s="174" t="s">
        <v>488</v>
      </c>
      <c r="D225" s="174" t="s">
        <v>489</v>
      </c>
      <c r="E225" s="174" t="s">
        <v>271</v>
      </c>
      <c r="F225" s="174">
        <v>12</v>
      </c>
      <c r="G225" s="174">
        <v>1.37</v>
      </c>
      <c r="H225" s="174" t="b">
        <v>1</v>
      </c>
      <c r="I225" s="174" t="b">
        <v>1</v>
      </c>
      <c r="J225" s="174">
        <v>0.73</v>
      </c>
      <c r="K225" s="174">
        <v>324</v>
      </c>
      <c r="L225" s="174">
        <v>5.5</v>
      </c>
      <c r="M225" s="178">
        <v>40324</v>
      </c>
      <c r="O225" s="179">
        <f>VLOOKUP(K225,'Cost Model '!$G$11:$J$200,4,FALSE)</f>
        <v>0.59</v>
      </c>
      <c r="R225" s="162" t="str">
        <f t="shared" si="15"/>
        <v>YES</v>
      </c>
      <c r="S225" s="162" t="str">
        <f t="shared" si="12"/>
        <v>No</v>
      </c>
      <c r="T225" s="162" t="str">
        <f t="shared" si="13"/>
        <v>No</v>
      </c>
      <c r="U225" s="162" t="str">
        <f t="shared" si="14"/>
        <v>No</v>
      </c>
    </row>
    <row r="226" spans="1:21" ht="15">
      <c r="A226" s="174">
        <v>643</v>
      </c>
      <c r="B226" s="174" t="s">
        <v>488</v>
      </c>
      <c r="C226" s="174" t="s">
        <v>488</v>
      </c>
      <c r="D226" s="174" t="s">
        <v>490</v>
      </c>
      <c r="E226" s="174" t="s">
        <v>271</v>
      </c>
      <c r="F226" s="174">
        <v>12</v>
      </c>
      <c r="G226" s="174">
        <v>1.37</v>
      </c>
      <c r="H226" s="174" t="b">
        <v>1</v>
      </c>
      <c r="I226" s="174" t="b">
        <v>1</v>
      </c>
      <c r="J226" s="174">
        <v>0.73</v>
      </c>
      <c r="K226" s="174">
        <v>324</v>
      </c>
      <c r="L226" s="174">
        <v>5.5</v>
      </c>
      <c r="M226" s="178">
        <v>40324</v>
      </c>
      <c r="O226" s="179">
        <f>VLOOKUP(K226,'Cost Model '!$G$11:$J$200,4,FALSE)</f>
        <v>0.59</v>
      </c>
      <c r="R226" s="162" t="str">
        <f t="shared" si="15"/>
        <v>YES</v>
      </c>
      <c r="S226" s="162" t="str">
        <f t="shared" si="12"/>
        <v>No</v>
      </c>
      <c r="T226" s="162" t="str">
        <f t="shared" si="13"/>
        <v>No</v>
      </c>
      <c r="U226" s="162" t="str">
        <f t="shared" si="14"/>
        <v>No</v>
      </c>
    </row>
    <row r="227" spans="1:21" ht="15">
      <c r="A227" s="174">
        <v>2830</v>
      </c>
      <c r="B227" s="174" t="s">
        <v>488</v>
      </c>
      <c r="C227" s="174" t="s">
        <v>488</v>
      </c>
      <c r="D227" s="174" t="s">
        <v>491</v>
      </c>
      <c r="E227" s="174" t="s">
        <v>271</v>
      </c>
      <c r="F227" s="174">
        <v>12</v>
      </c>
      <c r="G227" s="174">
        <v>1.37</v>
      </c>
      <c r="H227" s="174" t="b">
        <v>1</v>
      </c>
      <c r="I227" s="174" t="b">
        <v>1</v>
      </c>
      <c r="J227" s="174">
        <v>0.73</v>
      </c>
      <c r="K227" s="174">
        <v>324</v>
      </c>
      <c r="L227" s="174">
        <v>5.5</v>
      </c>
      <c r="M227" s="178">
        <v>40324</v>
      </c>
      <c r="O227" s="179">
        <f>VLOOKUP(K227,'Cost Model '!$G$11:$J$200,4,FALSE)</f>
        <v>0.59</v>
      </c>
      <c r="R227" s="162" t="str">
        <f t="shared" si="15"/>
        <v>YES</v>
      </c>
      <c r="S227" s="162" t="str">
        <f t="shared" si="12"/>
        <v>No</v>
      </c>
      <c r="T227" s="162" t="str">
        <f t="shared" si="13"/>
        <v>No</v>
      </c>
      <c r="U227" s="162" t="str">
        <f t="shared" si="14"/>
        <v>No</v>
      </c>
    </row>
    <row r="228" spans="1:21" ht="15">
      <c r="A228" s="174">
        <v>644</v>
      </c>
      <c r="B228" s="174" t="s">
        <v>488</v>
      </c>
      <c r="C228" s="174" t="s">
        <v>488</v>
      </c>
      <c r="D228" s="174" t="s">
        <v>492</v>
      </c>
      <c r="E228" s="174" t="s">
        <v>271</v>
      </c>
      <c r="F228" s="174">
        <v>12</v>
      </c>
      <c r="G228" s="174">
        <v>1.37</v>
      </c>
      <c r="H228" s="174" t="b">
        <v>1</v>
      </c>
      <c r="I228" s="174" t="b">
        <v>1</v>
      </c>
      <c r="J228" s="174">
        <v>0.73</v>
      </c>
      <c r="K228" s="174">
        <v>324</v>
      </c>
      <c r="L228" s="174">
        <v>5.5</v>
      </c>
      <c r="M228" s="178">
        <v>40324</v>
      </c>
      <c r="O228" s="179">
        <f>VLOOKUP(K228,'Cost Model '!$G$11:$J$200,4,FALSE)</f>
        <v>0.59</v>
      </c>
      <c r="R228" s="162" t="str">
        <f t="shared" si="15"/>
        <v>YES</v>
      </c>
      <c r="S228" s="162" t="str">
        <f t="shared" si="12"/>
        <v>No</v>
      </c>
      <c r="T228" s="162" t="str">
        <f t="shared" si="13"/>
        <v>No</v>
      </c>
      <c r="U228" s="162" t="str">
        <f t="shared" si="14"/>
        <v>No</v>
      </c>
    </row>
    <row r="229" spans="1:21" ht="15">
      <c r="A229" s="174">
        <v>4213</v>
      </c>
      <c r="B229" s="174" t="s">
        <v>488</v>
      </c>
      <c r="C229" s="174" t="s">
        <v>488</v>
      </c>
      <c r="D229" s="174" t="s">
        <v>493</v>
      </c>
      <c r="E229" s="174" t="s">
        <v>271</v>
      </c>
      <c r="F229" s="174">
        <v>12</v>
      </c>
      <c r="G229" s="174">
        <v>1.26</v>
      </c>
      <c r="H229" s="174" t="b">
        <v>1</v>
      </c>
      <c r="I229" s="174" t="b">
        <v>0</v>
      </c>
      <c r="J229" s="174">
        <v>0.79</v>
      </c>
      <c r="K229" s="174">
        <v>272</v>
      </c>
      <c r="L229" s="174">
        <v>3.8</v>
      </c>
      <c r="M229" s="178">
        <v>40700</v>
      </c>
      <c r="O229" s="179">
        <f>VLOOKUP(K229,'Cost Model '!$G$11:$J$200,4,FALSE)</f>
        <v>45.549999999999969</v>
      </c>
      <c r="R229" s="162" t="str">
        <f t="shared" si="15"/>
        <v>YES</v>
      </c>
      <c r="S229" s="162" t="str">
        <f t="shared" si="12"/>
        <v>YES</v>
      </c>
      <c r="T229" s="162" t="str">
        <f t="shared" si="13"/>
        <v>YES</v>
      </c>
      <c r="U229" s="162" t="str">
        <f t="shared" si="14"/>
        <v>YES</v>
      </c>
    </row>
    <row r="230" spans="1:21" ht="15">
      <c r="A230" s="174">
        <v>646</v>
      </c>
      <c r="B230" s="174" t="s">
        <v>488</v>
      </c>
      <c r="C230" s="174" t="s">
        <v>494</v>
      </c>
      <c r="D230" s="174" t="s">
        <v>495</v>
      </c>
      <c r="E230" s="174" t="s">
        <v>271</v>
      </c>
      <c r="F230" s="174">
        <v>12</v>
      </c>
      <c r="G230" s="174">
        <v>1.36</v>
      </c>
      <c r="H230" s="174" t="b">
        <v>1</v>
      </c>
      <c r="I230" s="174" t="b">
        <v>1</v>
      </c>
      <c r="J230" s="174">
        <v>0.74</v>
      </c>
      <c r="K230" s="174">
        <v>324</v>
      </c>
      <c r="L230" s="174">
        <v>5.4</v>
      </c>
      <c r="M230" s="178">
        <v>40324</v>
      </c>
      <c r="O230" s="179">
        <f>VLOOKUP(K230,'Cost Model '!$G$11:$J$200,4,FALSE)</f>
        <v>0.59</v>
      </c>
      <c r="R230" s="162" t="str">
        <f t="shared" si="15"/>
        <v>YES</v>
      </c>
      <c r="S230" s="162" t="str">
        <f t="shared" si="12"/>
        <v>No</v>
      </c>
      <c r="T230" s="162" t="str">
        <f t="shared" si="13"/>
        <v>No</v>
      </c>
      <c r="U230" s="162" t="str">
        <f t="shared" si="14"/>
        <v>No</v>
      </c>
    </row>
    <row r="231" spans="1:21" ht="15">
      <c r="A231" s="174">
        <v>4427</v>
      </c>
      <c r="B231" s="174" t="s">
        <v>496</v>
      </c>
      <c r="C231" s="174" t="s">
        <v>497</v>
      </c>
      <c r="D231" s="174" t="s">
        <v>498</v>
      </c>
      <c r="E231" s="174" t="s">
        <v>271</v>
      </c>
      <c r="F231" s="174">
        <v>14</v>
      </c>
      <c r="G231" s="174">
        <v>1.33</v>
      </c>
      <c r="H231" s="174" t="b">
        <v>1</v>
      </c>
      <c r="I231" s="174" t="b">
        <v>0</v>
      </c>
      <c r="J231" s="174">
        <v>0.75</v>
      </c>
      <c r="K231" s="174">
        <v>295</v>
      </c>
      <c r="L231" s="174">
        <v>5.5</v>
      </c>
      <c r="M231" s="178">
        <v>40772</v>
      </c>
      <c r="O231" s="179">
        <f>VLOOKUP(K231,'Cost Model '!$G$11:$J$200,4,FALSE)</f>
        <v>19.099999999999998</v>
      </c>
      <c r="R231" s="162" t="str">
        <f t="shared" si="15"/>
        <v>YES</v>
      </c>
      <c r="S231" s="162" t="str">
        <f t="shared" si="12"/>
        <v>YES</v>
      </c>
      <c r="T231" s="162" t="str">
        <f t="shared" si="13"/>
        <v>No</v>
      </c>
      <c r="U231" s="162" t="str">
        <f t="shared" si="14"/>
        <v>No</v>
      </c>
    </row>
    <row r="232" spans="1:21" ht="15">
      <c r="A232" s="174">
        <v>4441</v>
      </c>
      <c r="B232" s="174" t="s">
        <v>496</v>
      </c>
      <c r="C232" s="174" t="s">
        <v>497</v>
      </c>
      <c r="D232" s="174" t="s">
        <v>499</v>
      </c>
      <c r="E232" s="174" t="s">
        <v>271</v>
      </c>
      <c r="F232" s="174">
        <v>14</v>
      </c>
      <c r="G232" s="174">
        <v>1.27</v>
      </c>
      <c r="H232" s="174" t="b">
        <v>1</v>
      </c>
      <c r="I232" s="174" t="b">
        <v>0</v>
      </c>
      <c r="J232" s="174">
        <v>0.79</v>
      </c>
      <c r="K232" s="174">
        <v>281</v>
      </c>
      <c r="L232" s="174">
        <v>4.2</v>
      </c>
      <c r="M232" s="178">
        <v>40812</v>
      </c>
      <c r="O232" s="179">
        <f>VLOOKUP(K232,'Cost Model '!$G$11:$J$200,4,FALSE)</f>
        <v>35.199999999999982</v>
      </c>
      <c r="R232" s="162" t="str">
        <f t="shared" si="15"/>
        <v>YES</v>
      </c>
      <c r="S232" s="162" t="str">
        <f t="shared" si="12"/>
        <v>YES</v>
      </c>
      <c r="T232" s="162" t="str">
        <f t="shared" si="13"/>
        <v>YES</v>
      </c>
      <c r="U232" s="162" t="str">
        <f t="shared" si="14"/>
        <v>YES</v>
      </c>
    </row>
    <row r="233" spans="1:21" ht="15">
      <c r="A233" s="174">
        <v>4442</v>
      </c>
      <c r="B233" s="174" t="s">
        <v>496</v>
      </c>
      <c r="C233" s="174" t="s">
        <v>497</v>
      </c>
      <c r="D233" s="174" t="s">
        <v>500</v>
      </c>
      <c r="E233" s="174" t="s">
        <v>271</v>
      </c>
      <c r="F233" s="174">
        <v>14</v>
      </c>
      <c r="G233" s="174">
        <v>1.27</v>
      </c>
      <c r="H233" s="174" t="b">
        <v>1</v>
      </c>
      <c r="I233" s="174" t="b">
        <v>0</v>
      </c>
      <c r="J233" s="174">
        <v>0.79</v>
      </c>
      <c r="K233" s="174">
        <v>281</v>
      </c>
      <c r="L233" s="174">
        <v>4.2</v>
      </c>
      <c r="M233" s="178">
        <v>40812</v>
      </c>
      <c r="O233" s="179">
        <f>VLOOKUP(K233,'Cost Model '!$G$11:$J$200,4,FALSE)</f>
        <v>35.199999999999982</v>
      </c>
      <c r="R233" s="162" t="str">
        <f t="shared" si="15"/>
        <v>YES</v>
      </c>
      <c r="S233" s="162" t="str">
        <f t="shared" si="12"/>
        <v>YES</v>
      </c>
      <c r="T233" s="162" t="str">
        <f t="shared" si="13"/>
        <v>YES</v>
      </c>
      <c r="U233" s="162" t="str">
        <f t="shared" si="14"/>
        <v>YES</v>
      </c>
    </row>
    <row r="234" spans="1:21" ht="15">
      <c r="A234" s="174">
        <v>4428</v>
      </c>
      <c r="B234" s="174" t="s">
        <v>496</v>
      </c>
      <c r="C234" s="174" t="s">
        <v>497</v>
      </c>
      <c r="D234" s="174" t="s">
        <v>501</v>
      </c>
      <c r="E234" s="174" t="s">
        <v>271</v>
      </c>
      <c r="F234" s="174">
        <v>14</v>
      </c>
      <c r="G234" s="174">
        <v>1.33</v>
      </c>
      <c r="H234" s="174" t="b">
        <v>1</v>
      </c>
      <c r="I234" s="174" t="b">
        <v>0</v>
      </c>
      <c r="J234" s="174">
        <v>0.75</v>
      </c>
      <c r="K234" s="174">
        <v>295</v>
      </c>
      <c r="L234" s="174">
        <v>5.5</v>
      </c>
      <c r="M234" s="178">
        <v>40772</v>
      </c>
      <c r="O234" s="179">
        <f>VLOOKUP(K234,'Cost Model '!$G$11:$J$200,4,FALSE)</f>
        <v>19.099999999999998</v>
      </c>
      <c r="R234" s="162" t="str">
        <f t="shared" si="15"/>
        <v>YES</v>
      </c>
      <c r="S234" s="162" t="str">
        <f t="shared" si="12"/>
        <v>YES</v>
      </c>
      <c r="T234" s="162" t="str">
        <f t="shared" si="13"/>
        <v>No</v>
      </c>
      <c r="U234" s="162" t="str">
        <f t="shared" si="14"/>
        <v>No</v>
      </c>
    </row>
    <row r="235" spans="1:21" ht="15">
      <c r="A235" s="174">
        <v>4445</v>
      </c>
      <c r="B235" s="174" t="s">
        <v>496</v>
      </c>
      <c r="C235" s="174" t="s">
        <v>497</v>
      </c>
      <c r="D235" s="174" t="s">
        <v>502</v>
      </c>
      <c r="E235" s="174" t="s">
        <v>271</v>
      </c>
      <c r="F235" s="174">
        <v>14</v>
      </c>
      <c r="G235" s="174">
        <v>1.27</v>
      </c>
      <c r="H235" s="174" t="b">
        <v>1</v>
      </c>
      <c r="I235" s="174" t="b">
        <v>0</v>
      </c>
      <c r="J235" s="174">
        <v>0.79</v>
      </c>
      <c r="K235" s="174">
        <v>281</v>
      </c>
      <c r="L235" s="174">
        <v>4.2</v>
      </c>
      <c r="M235" s="178">
        <v>40812</v>
      </c>
      <c r="O235" s="179">
        <f>VLOOKUP(K235,'Cost Model '!$G$11:$J$200,4,FALSE)</f>
        <v>35.199999999999982</v>
      </c>
      <c r="R235" s="162" t="str">
        <f t="shared" si="15"/>
        <v>YES</v>
      </c>
      <c r="S235" s="162" t="str">
        <f t="shared" si="12"/>
        <v>YES</v>
      </c>
      <c r="T235" s="162" t="str">
        <f t="shared" si="13"/>
        <v>YES</v>
      </c>
      <c r="U235" s="162" t="str">
        <f t="shared" si="14"/>
        <v>YES</v>
      </c>
    </row>
    <row r="236" spans="1:21" ht="15">
      <c r="A236" s="174">
        <v>4429</v>
      </c>
      <c r="B236" s="174" t="s">
        <v>496</v>
      </c>
      <c r="C236" s="174" t="s">
        <v>497</v>
      </c>
      <c r="D236" s="174" t="s">
        <v>503</v>
      </c>
      <c r="E236" s="174" t="s">
        <v>271</v>
      </c>
      <c r="F236" s="174">
        <v>14</v>
      </c>
      <c r="G236" s="174">
        <v>1.33</v>
      </c>
      <c r="H236" s="174" t="b">
        <v>1</v>
      </c>
      <c r="I236" s="174" t="b">
        <v>0</v>
      </c>
      <c r="J236" s="174">
        <v>0.75</v>
      </c>
      <c r="K236" s="174">
        <v>295</v>
      </c>
      <c r="L236" s="174">
        <v>5.5</v>
      </c>
      <c r="M236" s="178">
        <v>40772</v>
      </c>
      <c r="O236" s="179">
        <f>VLOOKUP(K236,'Cost Model '!$G$11:$J$200,4,FALSE)</f>
        <v>19.099999999999998</v>
      </c>
      <c r="R236" s="162" t="str">
        <f t="shared" si="15"/>
        <v>YES</v>
      </c>
      <c r="S236" s="162" t="str">
        <f t="shared" si="12"/>
        <v>YES</v>
      </c>
      <c r="T236" s="162" t="str">
        <f t="shared" si="13"/>
        <v>No</v>
      </c>
      <c r="U236" s="162" t="str">
        <f t="shared" si="14"/>
        <v>No</v>
      </c>
    </row>
    <row r="237" spans="1:21" ht="15">
      <c r="A237" s="174">
        <v>4443</v>
      </c>
      <c r="B237" s="174" t="s">
        <v>496</v>
      </c>
      <c r="C237" s="174" t="s">
        <v>497</v>
      </c>
      <c r="D237" s="174" t="s">
        <v>504</v>
      </c>
      <c r="E237" s="174" t="s">
        <v>271</v>
      </c>
      <c r="F237" s="174">
        <v>14</v>
      </c>
      <c r="G237" s="174">
        <v>1.27</v>
      </c>
      <c r="H237" s="174" t="b">
        <v>1</v>
      </c>
      <c r="I237" s="174" t="b">
        <v>0</v>
      </c>
      <c r="J237" s="174">
        <v>0.79</v>
      </c>
      <c r="K237" s="174">
        <v>281</v>
      </c>
      <c r="L237" s="174">
        <v>4.2</v>
      </c>
      <c r="M237" s="178">
        <v>40812</v>
      </c>
      <c r="O237" s="179">
        <f>VLOOKUP(K237,'Cost Model '!$G$11:$J$200,4,FALSE)</f>
        <v>35.199999999999982</v>
      </c>
      <c r="R237" s="162" t="str">
        <f t="shared" si="15"/>
        <v>YES</v>
      </c>
      <c r="S237" s="162" t="str">
        <f t="shared" si="12"/>
        <v>YES</v>
      </c>
      <c r="T237" s="162" t="str">
        <f t="shared" si="13"/>
        <v>YES</v>
      </c>
      <c r="U237" s="162" t="str">
        <f t="shared" si="14"/>
        <v>YES</v>
      </c>
    </row>
    <row r="238" spans="1:21" ht="15">
      <c r="A238" s="174">
        <v>4430</v>
      </c>
      <c r="B238" s="174" t="s">
        <v>496</v>
      </c>
      <c r="C238" s="174" t="s">
        <v>497</v>
      </c>
      <c r="D238" s="174" t="s">
        <v>505</v>
      </c>
      <c r="E238" s="174" t="s">
        <v>271</v>
      </c>
      <c r="F238" s="174">
        <v>14</v>
      </c>
      <c r="G238" s="174">
        <v>1.33</v>
      </c>
      <c r="H238" s="174" t="b">
        <v>1</v>
      </c>
      <c r="I238" s="174" t="b">
        <v>0</v>
      </c>
      <c r="J238" s="174">
        <v>0.75</v>
      </c>
      <c r="K238" s="174">
        <v>295</v>
      </c>
      <c r="L238" s="174">
        <v>5.5</v>
      </c>
      <c r="M238" s="178">
        <v>40772</v>
      </c>
      <c r="O238" s="179">
        <f>VLOOKUP(K238,'Cost Model '!$G$11:$J$200,4,FALSE)</f>
        <v>19.099999999999998</v>
      </c>
      <c r="R238" s="162" t="str">
        <f t="shared" si="15"/>
        <v>YES</v>
      </c>
      <c r="S238" s="162" t="str">
        <f t="shared" si="12"/>
        <v>YES</v>
      </c>
      <c r="T238" s="162" t="str">
        <f t="shared" si="13"/>
        <v>No</v>
      </c>
      <c r="U238" s="162" t="str">
        <f t="shared" si="14"/>
        <v>No</v>
      </c>
    </row>
    <row r="239" spans="1:21" ht="15">
      <c r="A239" s="174">
        <v>4446</v>
      </c>
      <c r="B239" s="174" t="s">
        <v>496</v>
      </c>
      <c r="C239" s="174" t="s">
        <v>497</v>
      </c>
      <c r="D239" s="174" t="s">
        <v>506</v>
      </c>
      <c r="E239" s="174" t="s">
        <v>271</v>
      </c>
      <c r="F239" s="174">
        <v>14</v>
      </c>
      <c r="G239" s="174">
        <v>1.27</v>
      </c>
      <c r="H239" s="174" t="b">
        <v>1</v>
      </c>
      <c r="I239" s="174" t="b">
        <v>0</v>
      </c>
      <c r="J239" s="174">
        <v>0.79</v>
      </c>
      <c r="K239" s="174">
        <v>281</v>
      </c>
      <c r="L239" s="174">
        <v>4.2</v>
      </c>
      <c r="M239" s="178">
        <v>40812</v>
      </c>
      <c r="O239" s="179">
        <f>VLOOKUP(K239,'Cost Model '!$G$11:$J$200,4,FALSE)</f>
        <v>35.199999999999982</v>
      </c>
      <c r="R239" s="162" t="str">
        <f t="shared" si="15"/>
        <v>YES</v>
      </c>
      <c r="S239" s="162" t="str">
        <f t="shared" si="12"/>
        <v>YES</v>
      </c>
      <c r="T239" s="162" t="str">
        <f t="shared" si="13"/>
        <v>YES</v>
      </c>
      <c r="U239" s="162" t="str">
        <f t="shared" si="14"/>
        <v>YES</v>
      </c>
    </row>
    <row r="240" spans="1:21" ht="15">
      <c r="A240" s="174">
        <v>4431</v>
      </c>
      <c r="B240" s="174" t="s">
        <v>496</v>
      </c>
      <c r="C240" s="174" t="s">
        <v>497</v>
      </c>
      <c r="D240" s="174" t="s">
        <v>507</v>
      </c>
      <c r="E240" s="174" t="s">
        <v>271</v>
      </c>
      <c r="F240" s="174">
        <v>14</v>
      </c>
      <c r="G240" s="174">
        <v>1.33</v>
      </c>
      <c r="H240" s="174" t="b">
        <v>1</v>
      </c>
      <c r="I240" s="174" t="b">
        <v>0</v>
      </c>
      <c r="J240" s="174">
        <v>0.75</v>
      </c>
      <c r="K240" s="174">
        <v>295</v>
      </c>
      <c r="L240" s="174">
        <v>5.5</v>
      </c>
      <c r="M240" s="178">
        <v>40772</v>
      </c>
      <c r="O240" s="179">
        <f>VLOOKUP(K240,'Cost Model '!$G$11:$J$200,4,FALSE)</f>
        <v>19.099999999999998</v>
      </c>
      <c r="R240" s="162" t="str">
        <f t="shared" si="15"/>
        <v>YES</v>
      </c>
      <c r="S240" s="162" t="str">
        <f t="shared" si="12"/>
        <v>YES</v>
      </c>
      <c r="T240" s="162" t="str">
        <f t="shared" si="13"/>
        <v>No</v>
      </c>
      <c r="U240" s="162" t="str">
        <f t="shared" si="14"/>
        <v>No</v>
      </c>
    </row>
    <row r="241" spans="1:21" ht="15">
      <c r="A241" s="174">
        <v>4447</v>
      </c>
      <c r="B241" s="174" t="s">
        <v>496</v>
      </c>
      <c r="C241" s="174" t="s">
        <v>497</v>
      </c>
      <c r="D241" s="174" t="s">
        <v>508</v>
      </c>
      <c r="E241" s="174" t="s">
        <v>271</v>
      </c>
      <c r="F241" s="174">
        <v>14</v>
      </c>
      <c r="G241" s="174">
        <v>1.27</v>
      </c>
      <c r="H241" s="174" t="b">
        <v>1</v>
      </c>
      <c r="I241" s="174" t="b">
        <v>0</v>
      </c>
      <c r="J241" s="174">
        <v>0.79</v>
      </c>
      <c r="K241" s="174">
        <v>281</v>
      </c>
      <c r="L241" s="174">
        <v>4.2</v>
      </c>
      <c r="M241" s="178">
        <v>40812</v>
      </c>
      <c r="O241" s="179">
        <f>VLOOKUP(K241,'Cost Model '!$G$11:$J$200,4,FALSE)</f>
        <v>35.199999999999982</v>
      </c>
      <c r="R241" s="162" t="str">
        <f t="shared" si="15"/>
        <v>YES</v>
      </c>
      <c r="S241" s="162" t="str">
        <f t="shared" si="12"/>
        <v>YES</v>
      </c>
      <c r="T241" s="162" t="str">
        <f t="shared" si="13"/>
        <v>YES</v>
      </c>
      <c r="U241" s="162" t="str">
        <f t="shared" si="14"/>
        <v>YES</v>
      </c>
    </row>
    <row r="242" spans="1:21" ht="15">
      <c r="A242" s="174">
        <v>4444</v>
      </c>
      <c r="B242" s="174" t="s">
        <v>496</v>
      </c>
      <c r="C242" s="174" t="s">
        <v>497</v>
      </c>
      <c r="D242" s="174" t="s">
        <v>509</v>
      </c>
      <c r="E242" s="174" t="s">
        <v>271</v>
      </c>
      <c r="F242" s="174">
        <v>14</v>
      </c>
      <c r="G242" s="174">
        <v>1.27</v>
      </c>
      <c r="H242" s="174" t="b">
        <v>1</v>
      </c>
      <c r="I242" s="174" t="b">
        <v>0</v>
      </c>
      <c r="J242" s="174">
        <v>0.79</v>
      </c>
      <c r="K242" s="174">
        <v>281</v>
      </c>
      <c r="L242" s="174">
        <v>4.2</v>
      </c>
      <c r="M242" s="178">
        <v>40812</v>
      </c>
      <c r="O242" s="179">
        <f>VLOOKUP(K242,'Cost Model '!$G$11:$J$200,4,FALSE)</f>
        <v>35.199999999999982</v>
      </c>
      <c r="R242" s="162" t="str">
        <f t="shared" si="15"/>
        <v>YES</v>
      </c>
      <c r="S242" s="162" t="str">
        <f t="shared" si="12"/>
        <v>YES</v>
      </c>
      <c r="T242" s="162" t="str">
        <f t="shared" si="13"/>
        <v>YES</v>
      </c>
      <c r="U242" s="162" t="str">
        <f t="shared" si="14"/>
        <v>YES</v>
      </c>
    </row>
    <row r="243" spans="1:21" ht="15">
      <c r="A243" s="174">
        <v>4432</v>
      </c>
      <c r="B243" s="174" t="s">
        <v>496</v>
      </c>
      <c r="C243" s="174" t="s">
        <v>497</v>
      </c>
      <c r="D243" s="174" t="s">
        <v>510</v>
      </c>
      <c r="E243" s="174" t="s">
        <v>271</v>
      </c>
      <c r="F243" s="174">
        <v>14</v>
      </c>
      <c r="G243" s="174">
        <v>1.33</v>
      </c>
      <c r="H243" s="174" t="b">
        <v>1</v>
      </c>
      <c r="I243" s="174" t="b">
        <v>0</v>
      </c>
      <c r="J243" s="174">
        <v>0.75</v>
      </c>
      <c r="K243" s="174">
        <v>295</v>
      </c>
      <c r="L243" s="174">
        <v>5.5</v>
      </c>
      <c r="M243" s="178">
        <v>40772</v>
      </c>
      <c r="O243" s="179">
        <f>VLOOKUP(K243,'Cost Model '!$G$11:$J$200,4,FALSE)</f>
        <v>19.099999999999998</v>
      </c>
      <c r="R243" s="162" t="str">
        <f t="shared" si="15"/>
        <v>YES</v>
      </c>
      <c r="S243" s="162" t="str">
        <f t="shared" si="12"/>
        <v>YES</v>
      </c>
      <c r="T243" s="162" t="str">
        <f t="shared" si="13"/>
        <v>No</v>
      </c>
      <c r="U243" s="162" t="str">
        <f t="shared" si="14"/>
        <v>No</v>
      </c>
    </row>
    <row r="244" spans="1:21" ht="15">
      <c r="A244" s="174">
        <v>4448</v>
      </c>
      <c r="B244" s="174" t="s">
        <v>496</v>
      </c>
      <c r="C244" s="174" t="s">
        <v>497</v>
      </c>
      <c r="D244" s="174" t="s">
        <v>511</v>
      </c>
      <c r="E244" s="174" t="s">
        <v>271</v>
      </c>
      <c r="F244" s="174">
        <v>14</v>
      </c>
      <c r="G244" s="174">
        <v>1.27</v>
      </c>
      <c r="H244" s="174" t="b">
        <v>1</v>
      </c>
      <c r="I244" s="174" t="b">
        <v>0</v>
      </c>
      <c r="J244" s="174">
        <v>0.79</v>
      </c>
      <c r="K244" s="174">
        <v>281</v>
      </c>
      <c r="L244" s="174">
        <v>4.2</v>
      </c>
      <c r="M244" s="178">
        <v>40812</v>
      </c>
      <c r="O244" s="179">
        <f>VLOOKUP(K244,'Cost Model '!$G$11:$J$200,4,FALSE)</f>
        <v>35.199999999999982</v>
      </c>
      <c r="R244" s="162" t="str">
        <f t="shared" si="15"/>
        <v>YES</v>
      </c>
      <c r="S244" s="162" t="str">
        <f t="shared" si="12"/>
        <v>YES</v>
      </c>
      <c r="T244" s="162" t="str">
        <f t="shared" si="13"/>
        <v>YES</v>
      </c>
      <c r="U244" s="162" t="str">
        <f t="shared" si="14"/>
        <v>YES</v>
      </c>
    </row>
    <row r="245" spans="1:21" ht="15">
      <c r="A245" s="174">
        <v>3448</v>
      </c>
      <c r="B245" s="174" t="s">
        <v>512</v>
      </c>
      <c r="C245" s="174" t="s">
        <v>513</v>
      </c>
      <c r="D245" s="174" t="s">
        <v>514</v>
      </c>
      <c r="E245" s="174" t="s">
        <v>271</v>
      </c>
      <c r="F245" s="174">
        <v>16</v>
      </c>
      <c r="G245" s="174">
        <v>0.91</v>
      </c>
      <c r="H245" s="174" t="b">
        <v>1</v>
      </c>
      <c r="I245" s="174" t="b">
        <v>0</v>
      </c>
      <c r="J245" s="174">
        <v>0.73</v>
      </c>
      <c r="K245" s="174">
        <v>294</v>
      </c>
      <c r="L245" s="174">
        <v>3.4</v>
      </c>
      <c r="M245" s="178">
        <v>40406</v>
      </c>
      <c r="O245" s="179">
        <f>VLOOKUP(K245,'Cost Model '!$G$11:$J$200,4,FALSE)</f>
        <v>20.249999999999996</v>
      </c>
      <c r="R245" s="162" t="str">
        <f t="shared" si="15"/>
        <v>YES</v>
      </c>
      <c r="S245" s="162" t="str">
        <f t="shared" si="12"/>
        <v>YES</v>
      </c>
      <c r="T245" s="162" t="str">
        <f t="shared" si="13"/>
        <v>YES</v>
      </c>
      <c r="U245" s="162" t="str">
        <f t="shared" si="14"/>
        <v>No</v>
      </c>
    </row>
    <row r="246" spans="1:21" ht="15">
      <c r="A246" s="174">
        <v>3449</v>
      </c>
      <c r="B246" s="174" t="s">
        <v>512</v>
      </c>
      <c r="C246" s="174" t="s">
        <v>513</v>
      </c>
      <c r="D246" s="174" t="s">
        <v>515</v>
      </c>
      <c r="E246" s="174" t="s">
        <v>271</v>
      </c>
      <c r="F246" s="174">
        <v>16</v>
      </c>
      <c r="G246" s="174">
        <v>0.91</v>
      </c>
      <c r="H246" s="174" t="b">
        <v>1</v>
      </c>
      <c r="I246" s="174" t="b">
        <v>0</v>
      </c>
      <c r="J246" s="174">
        <v>0.76</v>
      </c>
      <c r="K246" s="174">
        <v>285</v>
      </c>
      <c r="L246" s="174">
        <v>3.4</v>
      </c>
      <c r="M246" s="178">
        <v>40406</v>
      </c>
      <c r="O246" s="179">
        <f>VLOOKUP(K246,'Cost Model '!$G$11:$J$200,4,FALSE)</f>
        <v>30.599999999999984</v>
      </c>
      <c r="R246" s="162" t="str">
        <f t="shared" si="15"/>
        <v>YES</v>
      </c>
      <c r="S246" s="162" t="str">
        <f t="shared" si="12"/>
        <v>YES</v>
      </c>
      <c r="T246" s="162" t="str">
        <f t="shared" si="13"/>
        <v>YES</v>
      </c>
      <c r="U246" s="162" t="str">
        <f t="shared" si="14"/>
        <v>YES</v>
      </c>
    </row>
    <row r="247" spans="1:21" ht="15">
      <c r="A247" s="174">
        <v>4715</v>
      </c>
      <c r="B247" s="174" t="s">
        <v>512</v>
      </c>
      <c r="C247" s="174" t="s">
        <v>513</v>
      </c>
      <c r="D247" s="174" t="s">
        <v>516</v>
      </c>
      <c r="E247" s="174" t="s">
        <v>271</v>
      </c>
      <c r="F247" s="174">
        <v>14</v>
      </c>
      <c r="G247" s="174">
        <v>0.75</v>
      </c>
      <c r="H247" s="174" t="b">
        <v>1</v>
      </c>
      <c r="I247" s="174" t="b">
        <v>0</v>
      </c>
      <c r="J247" s="174">
        <v>0.8</v>
      </c>
      <c r="K247" s="174">
        <v>279</v>
      </c>
      <c r="L247" s="174">
        <v>3.4</v>
      </c>
      <c r="M247" s="178">
        <v>41122</v>
      </c>
      <c r="O247" s="179">
        <f>VLOOKUP(K247,'Cost Model '!$G$11:$J$200,4,FALSE)</f>
        <v>37.499999999999979</v>
      </c>
      <c r="R247" s="162" t="str">
        <f t="shared" si="15"/>
        <v>YES</v>
      </c>
      <c r="S247" s="162" t="str">
        <f t="shared" si="12"/>
        <v>YES</v>
      </c>
      <c r="T247" s="162" t="str">
        <f t="shared" si="13"/>
        <v>YES</v>
      </c>
      <c r="U247" s="162" t="str">
        <f t="shared" si="14"/>
        <v>YES</v>
      </c>
    </row>
    <row r="248" spans="1:21" ht="15">
      <c r="A248" s="174">
        <v>4609</v>
      </c>
      <c r="B248" s="174" t="s">
        <v>512</v>
      </c>
      <c r="C248" s="174" t="s">
        <v>513</v>
      </c>
      <c r="D248" s="174" t="s">
        <v>517</v>
      </c>
      <c r="E248" s="174" t="s">
        <v>271</v>
      </c>
      <c r="F248" s="174">
        <v>14</v>
      </c>
      <c r="G248" s="174">
        <v>0.84</v>
      </c>
      <c r="H248" s="174" t="b">
        <v>1</v>
      </c>
      <c r="I248" s="174" t="b">
        <v>0</v>
      </c>
      <c r="J248" s="174">
        <v>0.9</v>
      </c>
      <c r="K248" s="174">
        <v>245</v>
      </c>
      <c r="L248" s="174">
        <v>2.5</v>
      </c>
      <c r="M248" s="178">
        <v>40995</v>
      </c>
      <c r="O248" s="179">
        <f>VLOOKUP(K248,'Cost Model '!$G$11:$J$200,4,FALSE)</f>
        <v>76.600000000000009</v>
      </c>
      <c r="R248" s="162" t="str">
        <f t="shared" si="15"/>
        <v>YES</v>
      </c>
      <c r="S248" s="162" t="str">
        <f t="shared" si="12"/>
        <v>YES</v>
      </c>
      <c r="T248" s="162" t="str">
        <f t="shared" si="13"/>
        <v>YES</v>
      </c>
      <c r="U248" s="162" t="str">
        <f t="shared" si="14"/>
        <v>YES</v>
      </c>
    </row>
    <row r="249" spans="1:21" ht="15">
      <c r="A249" s="174">
        <v>4608</v>
      </c>
      <c r="B249" s="174" t="s">
        <v>512</v>
      </c>
      <c r="C249" s="174" t="s">
        <v>513</v>
      </c>
      <c r="D249" s="174" t="s">
        <v>518</v>
      </c>
      <c r="E249" s="174" t="s">
        <v>271</v>
      </c>
      <c r="F249" s="174">
        <v>14</v>
      </c>
      <c r="G249" s="174">
        <v>0.84</v>
      </c>
      <c r="H249" s="174" t="b">
        <v>1</v>
      </c>
      <c r="I249" s="174" t="b">
        <v>0</v>
      </c>
      <c r="J249" s="174">
        <v>0.9</v>
      </c>
      <c r="K249" s="174">
        <v>245</v>
      </c>
      <c r="L249" s="174">
        <v>2.5</v>
      </c>
      <c r="M249" s="178">
        <v>40995</v>
      </c>
      <c r="O249" s="179">
        <f>VLOOKUP(K249,'Cost Model '!$G$11:$J$200,4,FALSE)</f>
        <v>76.600000000000009</v>
      </c>
      <c r="R249" s="162" t="str">
        <f t="shared" si="15"/>
        <v>YES</v>
      </c>
      <c r="S249" s="162" t="str">
        <f t="shared" si="12"/>
        <v>YES</v>
      </c>
      <c r="T249" s="162" t="str">
        <f t="shared" si="13"/>
        <v>YES</v>
      </c>
      <c r="U249" s="162" t="str">
        <f t="shared" si="14"/>
        <v>YES</v>
      </c>
    </row>
    <row r="250" spans="1:21" ht="15">
      <c r="A250" s="174">
        <v>3450</v>
      </c>
      <c r="B250" s="174" t="s">
        <v>512</v>
      </c>
      <c r="C250" s="174" t="s">
        <v>513</v>
      </c>
      <c r="D250" s="174" t="s">
        <v>519</v>
      </c>
      <c r="E250" s="174" t="s">
        <v>271</v>
      </c>
      <c r="F250" s="174">
        <v>16</v>
      </c>
      <c r="G250" s="174">
        <v>0.91</v>
      </c>
      <c r="H250" s="174" t="b">
        <v>1</v>
      </c>
      <c r="I250" s="174" t="b">
        <v>0</v>
      </c>
      <c r="J250" s="174">
        <v>0.73</v>
      </c>
      <c r="K250" s="174">
        <v>294</v>
      </c>
      <c r="L250" s="174">
        <v>3.4</v>
      </c>
      <c r="M250" s="178">
        <v>40406</v>
      </c>
      <c r="O250" s="179">
        <f>VLOOKUP(K250,'Cost Model '!$G$11:$J$200,4,FALSE)</f>
        <v>20.249999999999996</v>
      </c>
      <c r="R250" s="162" t="str">
        <f t="shared" si="15"/>
        <v>YES</v>
      </c>
      <c r="S250" s="162" t="str">
        <f t="shared" si="12"/>
        <v>YES</v>
      </c>
      <c r="T250" s="162" t="str">
        <f t="shared" si="13"/>
        <v>YES</v>
      </c>
      <c r="U250" s="162" t="str">
        <f t="shared" si="14"/>
        <v>No</v>
      </c>
    </row>
    <row r="251" spans="1:21" ht="15">
      <c r="A251" s="174">
        <v>3451</v>
      </c>
      <c r="B251" s="174" t="s">
        <v>512</v>
      </c>
      <c r="C251" s="174" t="s">
        <v>513</v>
      </c>
      <c r="D251" s="174" t="s">
        <v>520</v>
      </c>
      <c r="E251" s="174" t="s">
        <v>271</v>
      </c>
      <c r="F251" s="174">
        <v>16</v>
      </c>
      <c r="G251" s="174">
        <v>0.91</v>
      </c>
      <c r="H251" s="174" t="b">
        <v>1</v>
      </c>
      <c r="I251" s="174" t="b">
        <v>0</v>
      </c>
      <c r="J251" s="174">
        <v>0.76</v>
      </c>
      <c r="K251" s="174">
        <v>285</v>
      </c>
      <c r="L251" s="174">
        <v>3.4</v>
      </c>
      <c r="M251" s="178">
        <v>40406</v>
      </c>
      <c r="O251" s="179">
        <f>VLOOKUP(K251,'Cost Model '!$G$11:$J$200,4,FALSE)</f>
        <v>30.599999999999984</v>
      </c>
      <c r="R251" s="162" t="str">
        <f t="shared" si="15"/>
        <v>YES</v>
      </c>
      <c r="S251" s="162" t="str">
        <f t="shared" si="12"/>
        <v>YES</v>
      </c>
      <c r="T251" s="162" t="str">
        <f t="shared" si="13"/>
        <v>YES</v>
      </c>
      <c r="U251" s="162" t="str">
        <f t="shared" si="14"/>
        <v>YES</v>
      </c>
    </row>
    <row r="252" spans="1:21" ht="15">
      <c r="A252" s="174">
        <v>3452</v>
      </c>
      <c r="B252" s="174" t="s">
        <v>512</v>
      </c>
      <c r="C252" s="174" t="s">
        <v>513</v>
      </c>
      <c r="D252" s="174" t="s">
        <v>521</v>
      </c>
      <c r="E252" s="174" t="s">
        <v>271</v>
      </c>
      <c r="F252" s="174">
        <v>16</v>
      </c>
      <c r="G252" s="174">
        <v>0.91</v>
      </c>
      <c r="H252" s="174" t="b">
        <v>1</v>
      </c>
      <c r="I252" s="174" t="b">
        <v>0</v>
      </c>
      <c r="J252" s="174">
        <v>0.76</v>
      </c>
      <c r="K252" s="174">
        <v>285</v>
      </c>
      <c r="L252" s="174">
        <v>3.4</v>
      </c>
      <c r="M252" s="178">
        <v>40406</v>
      </c>
      <c r="O252" s="179">
        <f>VLOOKUP(K252,'Cost Model '!$G$11:$J$200,4,FALSE)</f>
        <v>30.599999999999984</v>
      </c>
      <c r="R252" s="162" t="str">
        <f t="shared" si="15"/>
        <v>YES</v>
      </c>
      <c r="S252" s="162" t="str">
        <f t="shared" si="12"/>
        <v>YES</v>
      </c>
      <c r="T252" s="162" t="str">
        <f t="shared" si="13"/>
        <v>YES</v>
      </c>
      <c r="U252" s="162" t="str">
        <f t="shared" si="14"/>
        <v>YES</v>
      </c>
    </row>
    <row r="253" spans="1:21" ht="15">
      <c r="A253" s="174">
        <v>4587</v>
      </c>
      <c r="B253" s="174" t="s">
        <v>512</v>
      </c>
      <c r="C253" s="174" t="s">
        <v>513</v>
      </c>
      <c r="D253" s="174" t="s">
        <v>522</v>
      </c>
      <c r="E253" s="174" t="s">
        <v>271</v>
      </c>
      <c r="F253" s="174">
        <v>14</v>
      </c>
      <c r="G253" s="174">
        <v>0.84</v>
      </c>
      <c r="H253" s="174" t="b">
        <v>1</v>
      </c>
      <c r="I253" s="174" t="b">
        <v>0</v>
      </c>
      <c r="J253" s="174">
        <v>0.9</v>
      </c>
      <c r="K253" s="174">
        <v>245</v>
      </c>
      <c r="L253" s="174">
        <v>2.5</v>
      </c>
      <c r="M253" s="178">
        <v>40967</v>
      </c>
      <c r="O253" s="179">
        <f>VLOOKUP(K253,'Cost Model '!$G$11:$J$200,4,FALSE)</f>
        <v>76.600000000000009</v>
      </c>
      <c r="R253" s="162" t="str">
        <f t="shared" si="15"/>
        <v>YES</v>
      </c>
      <c r="S253" s="162" t="str">
        <f t="shared" si="12"/>
        <v>YES</v>
      </c>
      <c r="T253" s="162" t="str">
        <f t="shared" si="13"/>
        <v>YES</v>
      </c>
      <c r="U253" s="162" t="str">
        <f t="shared" si="14"/>
        <v>YES</v>
      </c>
    </row>
    <row r="254" spans="1:21" ht="15">
      <c r="A254" s="174">
        <v>4586</v>
      </c>
      <c r="B254" s="174" t="s">
        <v>512</v>
      </c>
      <c r="C254" s="174" t="s">
        <v>513</v>
      </c>
      <c r="D254" s="174" t="s">
        <v>523</v>
      </c>
      <c r="E254" s="174" t="s">
        <v>271</v>
      </c>
      <c r="F254" s="174">
        <v>14</v>
      </c>
      <c r="G254" s="174">
        <v>0.84</v>
      </c>
      <c r="H254" s="174" t="b">
        <v>1</v>
      </c>
      <c r="I254" s="174" t="b">
        <v>0</v>
      </c>
      <c r="J254" s="174">
        <v>0.9</v>
      </c>
      <c r="K254" s="174">
        <v>245</v>
      </c>
      <c r="L254" s="174">
        <v>2.5</v>
      </c>
      <c r="M254" s="178">
        <v>40967</v>
      </c>
      <c r="O254" s="179">
        <f>VLOOKUP(K254,'Cost Model '!$G$11:$J$200,4,FALSE)</f>
        <v>76.600000000000009</v>
      </c>
      <c r="R254" s="162" t="str">
        <f t="shared" si="15"/>
        <v>YES</v>
      </c>
      <c r="S254" s="162" t="str">
        <f t="shared" si="12"/>
        <v>YES</v>
      </c>
      <c r="T254" s="162" t="str">
        <f t="shared" si="13"/>
        <v>YES</v>
      </c>
      <c r="U254" s="162" t="str">
        <f t="shared" si="14"/>
        <v>YES</v>
      </c>
    </row>
    <row r="255" spans="1:21" ht="15">
      <c r="A255" s="174">
        <v>3453</v>
      </c>
      <c r="B255" s="174" t="s">
        <v>512</v>
      </c>
      <c r="C255" s="174" t="s">
        <v>513</v>
      </c>
      <c r="D255" s="174" t="s">
        <v>524</v>
      </c>
      <c r="E255" s="174" t="s">
        <v>271</v>
      </c>
      <c r="F255" s="174">
        <v>16</v>
      </c>
      <c r="G255" s="174">
        <v>0.91</v>
      </c>
      <c r="H255" s="174" t="b">
        <v>1</v>
      </c>
      <c r="I255" s="174" t="b">
        <v>0</v>
      </c>
      <c r="J255" s="174">
        <v>0.76</v>
      </c>
      <c r="K255" s="174">
        <v>285</v>
      </c>
      <c r="L255" s="174">
        <v>3.4</v>
      </c>
      <c r="M255" s="178">
        <v>40406</v>
      </c>
      <c r="O255" s="179">
        <f>VLOOKUP(K255,'Cost Model '!$G$11:$J$200,4,FALSE)</f>
        <v>30.599999999999984</v>
      </c>
      <c r="R255" s="162" t="str">
        <f t="shared" si="15"/>
        <v>YES</v>
      </c>
      <c r="S255" s="162" t="str">
        <f t="shared" si="12"/>
        <v>YES</v>
      </c>
      <c r="T255" s="162" t="str">
        <f t="shared" si="13"/>
        <v>YES</v>
      </c>
      <c r="U255" s="162" t="str">
        <f t="shared" si="14"/>
        <v>YES</v>
      </c>
    </row>
    <row r="256" spans="1:21" ht="15">
      <c r="A256" s="174">
        <v>3454</v>
      </c>
      <c r="B256" s="174" t="s">
        <v>512</v>
      </c>
      <c r="C256" s="174" t="s">
        <v>513</v>
      </c>
      <c r="D256" s="174" t="s">
        <v>525</v>
      </c>
      <c r="E256" s="174" t="s">
        <v>271</v>
      </c>
      <c r="F256" s="174">
        <v>16</v>
      </c>
      <c r="G256" s="174">
        <v>0.91</v>
      </c>
      <c r="H256" s="174" t="b">
        <v>1</v>
      </c>
      <c r="I256" s="174" t="b">
        <v>0</v>
      </c>
      <c r="J256" s="174">
        <v>0.76</v>
      </c>
      <c r="K256" s="174">
        <v>285</v>
      </c>
      <c r="L256" s="174">
        <v>3.4</v>
      </c>
      <c r="M256" s="178">
        <v>40406</v>
      </c>
      <c r="O256" s="179">
        <f>VLOOKUP(K256,'Cost Model '!$G$11:$J$200,4,FALSE)</f>
        <v>30.599999999999984</v>
      </c>
      <c r="R256" s="162" t="str">
        <f t="shared" si="15"/>
        <v>YES</v>
      </c>
      <c r="S256" s="162" t="str">
        <f t="shared" si="12"/>
        <v>YES</v>
      </c>
      <c r="T256" s="162" t="str">
        <f t="shared" si="13"/>
        <v>YES</v>
      </c>
      <c r="U256" s="162" t="str">
        <f t="shared" si="14"/>
        <v>YES</v>
      </c>
    </row>
    <row r="257" spans="1:21" ht="15">
      <c r="A257" s="174">
        <v>3455</v>
      </c>
      <c r="B257" s="174" t="s">
        <v>512</v>
      </c>
      <c r="C257" s="174" t="s">
        <v>513</v>
      </c>
      <c r="D257" s="174" t="s">
        <v>526</v>
      </c>
      <c r="E257" s="174" t="s">
        <v>271</v>
      </c>
      <c r="F257" s="174">
        <v>14</v>
      </c>
      <c r="G257" s="174">
        <v>0.91</v>
      </c>
      <c r="H257" s="174" t="b">
        <v>1</v>
      </c>
      <c r="I257" s="174" t="b">
        <v>0</v>
      </c>
      <c r="J257" s="174">
        <v>0.76</v>
      </c>
      <c r="K257" s="174">
        <v>285</v>
      </c>
      <c r="L257" s="174">
        <v>3.4</v>
      </c>
      <c r="M257" s="178">
        <v>40406</v>
      </c>
      <c r="O257" s="179">
        <f>VLOOKUP(K257,'Cost Model '!$G$11:$J$200,4,FALSE)</f>
        <v>30.599999999999984</v>
      </c>
      <c r="R257" s="162" t="str">
        <f t="shared" si="15"/>
        <v>YES</v>
      </c>
      <c r="S257" s="162" t="str">
        <f t="shared" si="12"/>
        <v>YES</v>
      </c>
      <c r="T257" s="162" t="str">
        <f t="shared" si="13"/>
        <v>YES</v>
      </c>
      <c r="U257" s="162" t="str">
        <f t="shared" si="14"/>
        <v>YES</v>
      </c>
    </row>
    <row r="258" spans="1:21" ht="15">
      <c r="A258" s="174">
        <v>3456</v>
      </c>
      <c r="B258" s="174" t="s">
        <v>512</v>
      </c>
      <c r="C258" s="174" t="s">
        <v>513</v>
      </c>
      <c r="D258" s="174" t="s">
        <v>527</v>
      </c>
      <c r="E258" s="174" t="s">
        <v>271</v>
      </c>
      <c r="F258" s="174">
        <v>16</v>
      </c>
      <c r="G258" s="174">
        <v>0.91</v>
      </c>
      <c r="H258" s="174" t="b">
        <v>1</v>
      </c>
      <c r="I258" s="174" t="b">
        <v>0</v>
      </c>
      <c r="J258" s="174">
        <v>0.76</v>
      </c>
      <c r="K258" s="174">
        <v>285</v>
      </c>
      <c r="L258" s="174">
        <v>3.4</v>
      </c>
      <c r="M258" s="178">
        <v>40406</v>
      </c>
      <c r="O258" s="179">
        <f>VLOOKUP(K258,'Cost Model '!$G$11:$J$200,4,FALSE)</f>
        <v>30.599999999999984</v>
      </c>
      <c r="R258" s="162" t="str">
        <f t="shared" si="15"/>
        <v>YES</v>
      </c>
      <c r="S258" s="162" t="str">
        <f t="shared" si="12"/>
        <v>YES</v>
      </c>
      <c r="T258" s="162" t="str">
        <f t="shared" si="13"/>
        <v>YES</v>
      </c>
      <c r="U258" s="162" t="str">
        <f t="shared" si="14"/>
        <v>YES</v>
      </c>
    </row>
    <row r="259" spans="1:21" ht="15">
      <c r="A259" s="174">
        <v>3457</v>
      </c>
      <c r="B259" s="174" t="s">
        <v>512</v>
      </c>
      <c r="C259" s="174" t="s">
        <v>513</v>
      </c>
      <c r="D259" s="174" t="s">
        <v>528</v>
      </c>
      <c r="E259" s="174" t="s">
        <v>271</v>
      </c>
      <c r="F259" s="174">
        <v>16</v>
      </c>
      <c r="G259" s="174">
        <v>0.91</v>
      </c>
      <c r="H259" s="174" t="b">
        <v>1</v>
      </c>
      <c r="I259" s="174" t="b">
        <v>0</v>
      </c>
      <c r="J259" s="174">
        <v>0.76</v>
      </c>
      <c r="K259" s="174">
        <v>285</v>
      </c>
      <c r="L259" s="174">
        <v>3.4</v>
      </c>
      <c r="M259" s="178">
        <v>40406</v>
      </c>
      <c r="O259" s="179">
        <f>VLOOKUP(K259,'Cost Model '!$G$11:$J$200,4,FALSE)</f>
        <v>30.599999999999984</v>
      </c>
      <c r="R259" s="162" t="str">
        <f t="shared" si="15"/>
        <v>YES</v>
      </c>
      <c r="S259" s="162" t="str">
        <f t="shared" si="12"/>
        <v>YES</v>
      </c>
      <c r="T259" s="162" t="str">
        <f t="shared" si="13"/>
        <v>YES</v>
      </c>
      <c r="U259" s="162" t="str">
        <f t="shared" si="14"/>
        <v>YES</v>
      </c>
    </row>
    <row r="260" spans="1:21" ht="15">
      <c r="A260" s="174">
        <v>4717</v>
      </c>
      <c r="B260" s="174" t="s">
        <v>512</v>
      </c>
      <c r="C260" s="174" t="s">
        <v>513</v>
      </c>
      <c r="D260" s="174" t="s">
        <v>529</v>
      </c>
      <c r="E260" s="174" t="s">
        <v>271</v>
      </c>
      <c r="F260" s="174">
        <v>14</v>
      </c>
      <c r="G260" s="174">
        <v>0.75</v>
      </c>
      <c r="H260" s="174" t="b">
        <v>1</v>
      </c>
      <c r="I260" s="174" t="b">
        <v>0</v>
      </c>
      <c r="J260" s="174">
        <v>0.8</v>
      </c>
      <c r="K260" s="174">
        <v>279</v>
      </c>
      <c r="L260" s="174">
        <v>3.4</v>
      </c>
      <c r="M260" s="178">
        <v>41122</v>
      </c>
      <c r="O260" s="179">
        <f>VLOOKUP(K260,'Cost Model '!$G$11:$J$200,4,FALSE)</f>
        <v>37.499999999999979</v>
      </c>
      <c r="R260" s="162" t="str">
        <f t="shared" si="15"/>
        <v>YES</v>
      </c>
      <c r="S260" s="162" t="str">
        <f t="shared" si="12"/>
        <v>YES</v>
      </c>
      <c r="T260" s="162" t="str">
        <f t="shared" si="13"/>
        <v>YES</v>
      </c>
      <c r="U260" s="162" t="str">
        <f t="shared" si="14"/>
        <v>YES</v>
      </c>
    </row>
    <row r="261" spans="1:21" ht="15">
      <c r="A261" s="174">
        <v>4716</v>
      </c>
      <c r="B261" s="174" t="s">
        <v>512</v>
      </c>
      <c r="C261" s="174" t="s">
        <v>513</v>
      </c>
      <c r="D261" s="174" t="s">
        <v>530</v>
      </c>
      <c r="E261" s="174" t="s">
        <v>271</v>
      </c>
      <c r="F261" s="174">
        <v>14</v>
      </c>
      <c r="G261" s="174">
        <v>0.75</v>
      </c>
      <c r="H261" s="174" t="b">
        <v>1</v>
      </c>
      <c r="I261" s="174" t="b">
        <v>0</v>
      </c>
      <c r="J261" s="174">
        <v>0.8</v>
      </c>
      <c r="K261" s="174">
        <v>279</v>
      </c>
      <c r="L261" s="174">
        <v>3.4</v>
      </c>
      <c r="M261" s="178">
        <v>41122</v>
      </c>
      <c r="O261" s="179">
        <f>VLOOKUP(K261,'Cost Model '!$G$11:$J$200,4,FALSE)</f>
        <v>37.499999999999979</v>
      </c>
      <c r="R261" s="162" t="str">
        <f t="shared" si="15"/>
        <v>YES</v>
      </c>
      <c r="S261" s="162" t="str">
        <f t="shared" si="12"/>
        <v>YES</v>
      </c>
      <c r="T261" s="162" t="str">
        <f t="shared" si="13"/>
        <v>YES</v>
      </c>
      <c r="U261" s="162" t="str">
        <f t="shared" si="14"/>
        <v>YES</v>
      </c>
    </row>
    <row r="262" spans="1:21" ht="15">
      <c r="A262" s="174">
        <v>3458</v>
      </c>
      <c r="B262" s="174" t="s">
        <v>512</v>
      </c>
      <c r="C262" s="174" t="s">
        <v>513</v>
      </c>
      <c r="D262" s="174" t="s">
        <v>531</v>
      </c>
      <c r="E262" s="174" t="s">
        <v>271</v>
      </c>
      <c r="F262" s="174">
        <v>16</v>
      </c>
      <c r="G262" s="174">
        <v>0.91</v>
      </c>
      <c r="H262" s="174" t="b">
        <v>1</v>
      </c>
      <c r="I262" s="174" t="b">
        <v>0</v>
      </c>
      <c r="J262" s="174">
        <v>0.73</v>
      </c>
      <c r="K262" s="174">
        <v>294</v>
      </c>
      <c r="L262" s="174">
        <v>3.4</v>
      </c>
      <c r="M262" s="178">
        <v>40406</v>
      </c>
      <c r="O262" s="179">
        <f>VLOOKUP(K262,'Cost Model '!$G$11:$J$200,4,FALSE)</f>
        <v>20.249999999999996</v>
      </c>
      <c r="R262" s="162" t="str">
        <f t="shared" si="15"/>
        <v>YES</v>
      </c>
      <c r="S262" s="162" t="str">
        <f t="shared" si="12"/>
        <v>YES</v>
      </c>
      <c r="T262" s="162" t="str">
        <f t="shared" si="13"/>
        <v>YES</v>
      </c>
      <c r="U262" s="162" t="str">
        <f t="shared" si="14"/>
        <v>No</v>
      </c>
    </row>
    <row r="263" spans="1:21" ht="15">
      <c r="A263" s="174">
        <v>3459</v>
      </c>
      <c r="B263" s="174" t="s">
        <v>512</v>
      </c>
      <c r="C263" s="174" t="s">
        <v>513</v>
      </c>
      <c r="D263" s="174" t="s">
        <v>532</v>
      </c>
      <c r="E263" s="174" t="s">
        <v>271</v>
      </c>
      <c r="F263" s="174">
        <v>16</v>
      </c>
      <c r="G263" s="174">
        <v>0.91</v>
      </c>
      <c r="H263" s="174" t="b">
        <v>1</v>
      </c>
      <c r="I263" s="174" t="b">
        <v>0</v>
      </c>
      <c r="J263" s="174">
        <v>0.76</v>
      </c>
      <c r="K263" s="174">
        <v>285</v>
      </c>
      <c r="L263" s="174">
        <v>3.4</v>
      </c>
      <c r="M263" s="178">
        <v>40406</v>
      </c>
      <c r="O263" s="179">
        <f>VLOOKUP(K263,'Cost Model '!$G$11:$J$200,4,FALSE)</f>
        <v>30.599999999999984</v>
      </c>
      <c r="R263" s="162" t="str">
        <f t="shared" si="15"/>
        <v>YES</v>
      </c>
      <c r="S263" s="162" t="str">
        <f t="shared" si="12"/>
        <v>YES</v>
      </c>
      <c r="T263" s="162" t="str">
        <f t="shared" si="13"/>
        <v>YES</v>
      </c>
      <c r="U263" s="162" t="str">
        <f t="shared" si="14"/>
        <v>YES</v>
      </c>
    </row>
    <row r="264" spans="1:21" ht="15">
      <c r="A264" s="174">
        <v>3460</v>
      </c>
      <c r="B264" s="174" t="s">
        <v>512</v>
      </c>
      <c r="C264" s="174" t="s">
        <v>513</v>
      </c>
      <c r="D264" s="174" t="s">
        <v>533</v>
      </c>
      <c r="E264" s="174" t="s">
        <v>271</v>
      </c>
      <c r="F264" s="174">
        <v>16</v>
      </c>
      <c r="G264" s="174">
        <v>0.91</v>
      </c>
      <c r="H264" s="174" t="b">
        <v>1</v>
      </c>
      <c r="I264" s="174" t="b">
        <v>0</v>
      </c>
      <c r="J264" s="174">
        <v>0.76</v>
      </c>
      <c r="K264" s="174">
        <v>285</v>
      </c>
      <c r="L264" s="174">
        <v>3.4</v>
      </c>
      <c r="M264" s="178">
        <v>40406</v>
      </c>
      <c r="O264" s="179">
        <f>VLOOKUP(K264,'Cost Model '!$G$11:$J$200,4,FALSE)</f>
        <v>30.599999999999984</v>
      </c>
      <c r="R264" s="162" t="str">
        <f t="shared" si="15"/>
        <v>YES</v>
      </c>
      <c r="S264" s="162" t="str">
        <f t="shared" si="12"/>
        <v>YES</v>
      </c>
      <c r="T264" s="162" t="str">
        <f t="shared" si="13"/>
        <v>YES</v>
      </c>
      <c r="U264" s="162" t="str">
        <f t="shared" si="14"/>
        <v>YES</v>
      </c>
    </row>
    <row r="265" spans="1:21" ht="15">
      <c r="A265" s="174">
        <v>4720</v>
      </c>
      <c r="B265" s="174" t="s">
        <v>512</v>
      </c>
      <c r="C265" s="174" t="s">
        <v>513</v>
      </c>
      <c r="D265" s="174" t="s">
        <v>534</v>
      </c>
      <c r="E265" s="174" t="s">
        <v>271</v>
      </c>
      <c r="F265" s="174">
        <v>14</v>
      </c>
      <c r="G265" s="174">
        <v>0.84</v>
      </c>
      <c r="H265" s="174" t="b">
        <v>1</v>
      </c>
      <c r="I265" s="174" t="b">
        <v>0</v>
      </c>
      <c r="J265" s="174">
        <v>0.9</v>
      </c>
      <c r="K265" s="174">
        <v>245</v>
      </c>
      <c r="L265" s="174">
        <v>2.5</v>
      </c>
      <c r="M265" s="178">
        <v>41187</v>
      </c>
      <c r="O265" s="179">
        <f>VLOOKUP(K265,'Cost Model '!$G$11:$J$200,4,FALSE)</f>
        <v>76.600000000000009</v>
      </c>
      <c r="R265" s="162" t="str">
        <f t="shared" si="15"/>
        <v>YES</v>
      </c>
      <c r="S265" s="162" t="str">
        <f t="shared" si="12"/>
        <v>YES</v>
      </c>
      <c r="T265" s="162" t="str">
        <f t="shared" si="13"/>
        <v>YES</v>
      </c>
      <c r="U265" s="162" t="str">
        <f t="shared" si="14"/>
        <v>YES</v>
      </c>
    </row>
    <row r="266" spans="1:21" ht="15">
      <c r="A266" s="174">
        <v>3688</v>
      </c>
      <c r="B266" s="174" t="s">
        <v>535</v>
      </c>
      <c r="C266" s="174" t="s">
        <v>536</v>
      </c>
      <c r="D266" s="174" t="s">
        <v>537</v>
      </c>
      <c r="E266" s="174" t="s">
        <v>271</v>
      </c>
      <c r="F266" s="174">
        <v>16</v>
      </c>
      <c r="G266" s="174">
        <v>1.32</v>
      </c>
      <c r="H266" s="174" t="b">
        <v>1</v>
      </c>
      <c r="I266" s="174" t="b">
        <v>1</v>
      </c>
      <c r="J266" s="174">
        <v>0.75</v>
      </c>
      <c r="K266" s="174">
        <v>289</v>
      </c>
      <c r="L266" s="174">
        <v>5.2</v>
      </c>
      <c r="M266" s="178">
        <v>40458</v>
      </c>
      <c r="O266" s="179">
        <f>VLOOKUP(K266,'Cost Model '!$G$11:$J$200,4,FALSE)</f>
        <v>25.999999999999989</v>
      </c>
      <c r="R266" s="162" t="str">
        <f t="shared" si="15"/>
        <v>YES</v>
      </c>
      <c r="S266" s="162" t="str">
        <f t="shared" si="12"/>
        <v>YES</v>
      </c>
      <c r="T266" s="162" t="str">
        <f t="shared" si="13"/>
        <v>No</v>
      </c>
      <c r="U266" s="162" t="str">
        <f t="shared" si="14"/>
        <v>No</v>
      </c>
    </row>
    <row r="267" spans="1:21" ht="15">
      <c r="A267" s="174">
        <v>3687</v>
      </c>
      <c r="B267" s="174" t="s">
        <v>535</v>
      </c>
      <c r="C267" s="174" t="s">
        <v>536</v>
      </c>
      <c r="D267" s="174" t="s">
        <v>538</v>
      </c>
      <c r="E267" s="174" t="s">
        <v>271</v>
      </c>
      <c r="F267" s="174">
        <v>16</v>
      </c>
      <c r="G267" s="174">
        <v>1.32</v>
      </c>
      <c r="H267" s="174" t="b">
        <v>1</v>
      </c>
      <c r="I267" s="174" t="b">
        <v>1</v>
      </c>
      <c r="J267" s="174">
        <v>0.75</v>
      </c>
      <c r="K267" s="174">
        <v>289</v>
      </c>
      <c r="L267" s="174">
        <v>5.2</v>
      </c>
      <c r="M267" s="178">
        <v>40458</v>
      </c>
      <c r="O267" s="179">
        <f>VLOOKUP(K267,'Cost Model '!$G$11:$J$200,4,FALSE)</f>
        <v>25.999999999999989</v>
      </c>
      <c r="R267" s="162" t="str">
        <f t="shared" si="15"/>
        <v>YES</v>
      </c>
      <c r="S267" s="162" t="str">
        <f t="shared" si="12"/>
        <v>YES</v>
      </c>
      <c r="T267" s="162" t="str">
        <f t="shared" si="13"/>
        <v>No</v>
      </c>
      <c r="U267" s="162" t="str">
        <f t="shared" si="14"/>
        <v>No</v>
      </c>
    </row>
    <row r="268" spans="1:21" ht="15">
      <c r="A268" s="174">
        <v>3689</v>
      </c>
      <c r="B268" s="174" t="s">
        <v>535</v>
      </c>
      <c r="C268" s="174" t="s">
        <v>536</v>
      </c>
      <c r="D268" s="174" t="s">
        <v>539</v>
      </c>
      <c r="E268" s="174" t="s">
        <v>271</v>
      </c>
      <c r="F268" s="174">
        <v>16</v>
      </c>
      <c r="G268" s="174">
        <v>1.33</v>
      </c>
      <c r="H268" s="174" t="b">
        <v>1</v>
      </c>
      <c r="I268" s="174" t="b">
        <v>1</v>
      </c>
      <c r="J268" s="174">
        <v>0.75</v>
      </c>
      <c r="K268" s="174">
        <v>289</v>
      </c>
      <c r="L268" s="174">
        <v>5.0999999999999996</v>
      </c>
      <c r="M268" s="178">
        <v>40458</v>
      </c>
      <c r="O268" s="179">
        <f>VLOOKUP(K268,'Cost Model '!$G$11:$J$200,4,FALSE)</f>
        <v>25.999999999999989</v>
      </c>
      <c r="R268" s="162" t="str">
        <f t="shared" si="15"/>
        <v>YES</v>
      </c>
      <c r="S268" s="162" t="str">
        <f t="shared" si="12"/>
        <v>YES</v>
      </c>
      <c r="T268" s="162" t="str">
        <f t="shared" si="13"/>
        <v>No</v>
      </c>
      <c r="U268" s="162" t="str">
        <f t="shared" si="14"/>
        <v>No</v>
      </c>
    </row>
    <row r="269" spans="1:21" ht="15">
      <c r="A269" s="174">
        <v>3691</v>
      </c>
      <c r="B269" s="174" t="s">
        <v>535</v>
      </c>
      <c r="C269" s="174" t="s">
        <v>536</v>
      </c>
      <c r="D269" s="174" t="s">
        <v>540</v>
      </c>
      <c r="E269" s="174" t="s">
        <v>271</v>
      </c>
      <c r="F269" s="174">
        <v>16</v>
      </c>
      <c r="G269" s="174">
        <v>1.37</v>
      </c>
      <c r="H269" s="174" t="b">
        <v>1</v>
      </c>
      <c r="I269" s="174" t="b">
        <v>1</v>
      </c>
      <c r="J269" s="174">
        <v>0.73</v>
      </c>
      <c r="K269" s="174">
        <v>292</v>
      </c>
      <c r="L269" s="174">
        <v>5.2</v>
      </c>
      <c r="M269" s="178">
        <v>40458</v>
      </c>
      <c r="O269" s="179">
        <f>VLOOKUP(K269,'Cost Model '!$G$11:$J$200,4,FALSE)</f>
        <v>22.549999999999994</v>
      </c>
      <c r="R269" s="162" t="str">
        <f t="shared" si="15"/>
        <v>YES</v>
      </c>
      <c r="S269" s="162" t="str">
        <f t="shared" si="12"/>
        <v>YES</v>
      </c>
      <c r="T269" s="162" t="str">
        <f t="shared" si="13"/>
        <v>No</v>
      </c>
      <c r="U269" s="162" t="str">
        <f t="shared" si="14"/>
        <v>No</v>
      </c>
    </row>
    <row r="270" spans="1:21" ht="15">
      <c r="A270" s="174">
        <v>3690</v>
      </c>
      <c r="B270" s="174" t="s">
        <v>535</v>
      </c>
      <c r="C270" s="174" t="s">
        <v>536</v>
      </c>
      <c r="D270" s="174" t="s">
        <v>541</v>
      </c>
      <c r="E270" s="174" t="s">
        <v>271</v>
      </c>
      <c r="F270" s="174">
        <v>16</v>
      </c>
      <c r="G270" s="174">
        <v>1.37</v>
      </c>
      <c r="H270" s="174" t="b">
        <v>1</v>
      </c>
      <c r="I270" s="174" t="b">
        <v>1</v>
      </c>
      <c r="J270" s="174">
        <v>0.73</v>
      </c>
      <c r="K270" s="174">
        <v>292</v>
      </c>
      <c r="L270" s="174">
        <v>5.2</v>
      </c>
      <c r="M270" s="178">
        <v>40458</v>
      </c>
      <c r="O270" s="179">
        <f>VLOOKUP(K270,'Cost Model '!$G$11:$J$200,4,FALSE)</f>
        <v>22.549999999999994</v>
      </c>
      <c r="R270" s="162" t="str">
        <f t="shared" si="15"/>
        <v>YES</v>
      </c>
      <c r="S270" s="162" t="str">
        <f t="shared" si="12"/>
        <v>YES</v>
      </c>
      <c r="T270" s="162" t="str">
        <f t="shared" si="13"/>
        <v>No</v>
      </c>
      <c r="U270" s="162" t="str">
        <f t="shared" si="14"/>
        <v>No</v>
      </c>
    </row>
    <row r="271" spans="1:21" ht="15">
      <c r="A271" s="174">
        <v>3694</v>
      </c>
      <c r="B271" s="174" t="s">
        <v>535</v>
      </c>
      <c r="C271" s="174" t="s">
        <v>536</v>
      </c>
      <c r="D271" s="174" t="s">
        <v>542</v>
      </c>
      <c r="E271" s="174" t="s">
        <v>271</v>
      </c>
      <c r="F271" s="174">
        <v>16</v>
      </c>
      <c r="G271" s="174">
        <v>1.37</v>
      </c>
      <c r="H271" s="174" t="b">
        <v>1</v>
      </c>
      <c r="I271" s="174" t="b">
        <v>1</v>
      </c>
      <c r="J271" s="174">
        <v>0.73</v>
      </c>
      <c r="K271" s="174">
        <v>292</v>
      </c>
      <c r="L271" s="174">
        <v>5.2</v>
      </c>
      <c r="M271" s="178">
        <v>40458</v>
      </c>
      <c r="O271" s="179">
        <f>VLOOKUP(K271,'Cost Model '!$G$11:$J$200,4,FALSE)</f>
        <v>22.549999999999994</v>
      </c>
      <c r="R271" s="162" t="str">
        <f t="shared" si="15"/>
        <v>YES</v>
      </c>
      <c r="S271" s="162" t="str">
        <f t="shared" si="12"/>
        <v>YES</v>
      </c>
      <c r="T271" s="162" t="str">
        <f t="shared" si="13"/>
        <v>No</v>
      </c>
      <c r="U271" s="162" t="str">
        <f t="shared" si="14"/>
        <v>No</v>
      </c>
    </row>
    <row r="272" spans="1:21" ht="15">
      <c r="A272" s="174">
        <v>3693</v>
      </c>
      <c r="B272" s="174" t="s">
        <v>535</v>
      </c>
      <c r="C272" s="174" t="s">
        <v>536</v>
      </c>
      <c r="D272" s="174" t="s">
        <v>543</v>
      </c>
      <c r="E272" s="174" t="s">
        <v>271</v>
      </c>
      <c r="F272" s="174">
        <v>16</v>
      </c>
      <c r="G272" s="174">
        <v>1.37</v>
      </c>
      <c r="H272" s="174" t="b">
        <v>1</v>
      </c>
      <c r="I272" s="174" t="b">
        <v>1</v>
      </c>
      <c r="J272" s="174">
        <v>0.73</v>
      </c>
      <c r="K272" s="174">
        <v>292</v>
      </c>
      <c r="L272" s="174">
        <v>5.2</v>
      </c>
      <c r="M272" s="178">
        <v>40458</v>
      </c>
      <c r="O272" s="179">
        <f>VLOOKUP(K272,'Cost Model '!$G$11:$J$200,4,FALSE)</f>
        <v>22.549999999999994</v>
      </c>
      <c r="R272" s="162" t="str">
        <f t="shared" si="15"/>
        <v>YES</v>
      </c>
      <c r="S272" s="162" t="str">
        <f t="shared" si="12"/>
        <v>YES</v>
      </c>
      <c r="T272" s="162" t="str">
        <f t="shared" si="13"/>
        <v>No</v>
      </c>
      <c r="U272" s="162" t="str">
        <f t="shared" si="14"/>
        <v>No</v>
      </c>
    </row>
    <row r="273" spans="1:21" ht="15">
      <c r="A273" s="174">
        <v>3692</v>
      </c>
      <c r="B273" s="174" t="s">
        <v>535</v>
      </c>
      <c r="C273" s="174" t="s">
        <v>536</v>
      </c>
      <c r="D273" s="174" t="s">
        <v>544</v>
      </c>
      <c r="E273" s="174" t="s">
        <v>271</v>
      </c>
      <c r="F273" s="174">
        <v>16</v>
      </c>
      <c r="G273" s="174">
        <v>1.37</v>
      </c>
      <c r="H273" s="174" t="b">
        <v>1</v>
      </c>
      <c r="I273" s="174" t="b">
        <v>1</v>
      </c>
      <c r="J273" s="174">
        <v>0.73</v>
      </c>
      <c r="K273" s="174">
        <v>292</v>
      </c>
      <c r="L273" s="174">
        <v>5.2</v>
      </c>
      <c r="M273" s="178">
        <v>40458</v>
      </c>
      <c r="O273" s="179">
        <f>VLOOKUP(K273,'Cost Model '!$G$11:$J$200,4,FALSE)</f>
        <v>22.549999999999994</v>
      </c>
      <c r="R273" s="162" t="str">
        <f t="shared" si="15"/>
        <v>YES</v>
      </c>
      <c r="S273" s="162" t="str">
        <f t="shared" si="12"/>
        <v>YES</v>
      </c>
      <c r="T273" s="162" t="str">
        <f t="shared" si="13"/>
        <v>No</v>
      </c>
      <c r="U273" s="162" t="str">
        <f t="shared" si="14"/>
        <v>No</v>
      </c>
    </row>
    <row r="274" spans="1:21" ht="15">
      <c r="A274" s="174">
        <v>3695</v>
      </c>
      <c r="B274" s="174" t="s">
        <v>535</v>
      </c>
      <c r="C274" s="174" t="s">
        <v>536</v>
      </c>
      <c r="D274" s="174" t="s">
        <v>545</v>
      </c>
      <c r="E274" s="174" t="s">
        <v>271</v>
      </c>
      <c r="F274" s="174">
        <v>16</v>
      </c>
      <c r="G274" s="174">
        <v>1.37</v>
      </c>
      <c r="H274" s="174" t="b">
        <v>1</v>
      </c>
      <c r="I274" s="174" t="b">
        <v>1</v>
      </c>
      <c r="J274" s="174">
        <v>0.73</v>
      </c>
      <c r="K274" s="174">
        <v>292</v>
      </c>
      <c r="L274" s="174">
        <v>5.2</v>
      </c>
      <c r="M274" s="178">
        <v>40458</v>
      </c>
      <c r="O274" s="179">
        <f>VLOOKUP(K274,'Cost Model '!$G$11:$J$200,4,FALSE)</f>
        <v>22.549999999999994</v>
      </c>
      <c r="R274" s="162" t="str">
        <f t="shared" si="15"/>
        <v>YES</v>
      </c>
      <c r="S274" s="162" t="str">
        <f t="shared" si="12"/>
        <v>YES</v>
      </c>
      <c r="T274" s="162" t="str">
        <f t="shared" si="13"/>
        <v>No</v>
      </c>
      <c r="U274" s="162" t="str">
        <f t="shared" si="14"/>
        <v>No</v>
      </c>
    </row>
    <row r="275" spans="1:21" ht="15">
      <c r="A275" s="174">
        <v>3696</v>
      </c>
      <c r="B275" s="174" t="s">
        <v>535</v>
      </c>
      <c r="C275" s="174" t="s">
        <v>536</v>
      </c>
      <c r="D275" s="174" t="s">
        <v>546</v>
      </c>
      <c r="E275" s="174" t="s">
        <v>271</v>
      </c>
      <c r="F275" s="174">
        <v>16</v>
      </c>
      <c r="G275" s="174">
        <v>1.3</v>
      </c>
      <c r="H275" s="174" t="b">
        <v>1</v>
      </c>
      <c r="I275" s="174" t="b">
        <v>1</v>
      </c>
      <c r="J275" s="174">
        <v>0.77</v>
      </c>
      <c r="K275" s="174">
        <v>281</v>
      </c>
      <c r="L275" s="174">
        <v>5</v>
      </c>
      <c r="M275" s="178">
        <v>40458</v>
      </c>
      <c r="O275" s="179">
        <f>VLOOKUP(K275,'Cost Model '!$G$11:$J$200,4,FALSE)</f>
        <v>35.199999999999982</v>
      </c>
      <c r="R275" s="162" t="str">
        <f t="shared" si="15"/>
        <v>YES</v>
      </c>
      <c r="S275" s="162" t="str">
        <f t="shared" si="12"/>
        <v>YES</v>
      </c>
      <c r="T275" s="162" t="str">
        <f t="shared" si="13"/>
        <v>No</v>
      </c>
      <c r="U275" s="162" t="str">
        <f t="shared" si="14"/>
        <v>No</v>
      </c>
    </row>
    <row r="276" spans="1:21" ht="15">
      <c r="A276" s="174">
        <v>3697</v>
      </c>
      <c r="B276" s="174" t="s">
        <v>535</v>
      </c>
      <c r="C276" s="174" t="s">
        <v>536</v>
      </c>
      <c r="D276" s="174" t="s">
        <v>547</v>
      </c>
      <c r="E276" s="174" t="s">
        <v>271</v>
      </c>
      <c r="F276" s="174">
        <v>16</v>
      </c>
      <c r="G276" s="174">
        <v>1.29</v>
      </c>
      <c r="H276" s="174" t="b">
        <v>1</v>
      </c>
      <c r="I276" s="174" t="b">
        <v>1</v>
      </c>
      <c r="J276" s="174">
        <v>0.77</v>
      </c>
      <c r="K276" s="174">
        <v>298</v>
      </c>
      <c r="L276" s="174">
        <v>5</v>
      </c>
      <c r="M276" s="178">
        <v>40458</v>
      </c>
      <c r="O276" s="179">
        <f>VLOOKUP(K276,'Cost Model '!$G$11:$J$200,4,FALSE)</f>
        <v>16.63</v>
      </c>
      <c r="R276" s="162" t="str">
        <f t="shared" si="15"/>
        <v>YES</v>
      </c>
      <c r="S276" s="162" t="str">
        <f t="shared" si="12"/>
        <v>YES</v>
      </c>
      <c r="T276" s="162" t="str">
        <f t="shared" si="13"/>
        <v>No</v>
      </c>
      <c r="U276" s="162" t="str">
        <f t="shared" si="14"/>
        <v>No</v>
      </c>
    </row>
    <row r="277" spans="1:21" ht="15">
      <c r="A277" s="174">
        <v>3698</v>
      </c>
      <c r="B277" s="174" t="s">
        <v>535</v>
      </c>
      <c r="C277" s="174" t="s">
        <v>536</v>
      </c>
      <c r="D277" s="174" t="s">
        <v>548</v>
      </c>
      <c r="E277" s="174" t="s">
        <v>271</v>
      </c>
      <c r="F277" s="174">
        <v>16</v>
      </c>
      <c r="G277" s="174">
        <v>1.29</v>
      </c>
      <c r="H277" s="174" t="b">
        <v>1</v>
      </c>
      <c r="I277" s="174" t="b">
        <v>1</v>
      </c>
      <c r="J277" s="174">
        <v>0.77</v>
      </c>
      <c r="K277" s="174">
        <v>298</v>
      </c>
      <c r="L277" s="174">
        <v>5</v>
      </c>
      <c r="M277" s="178">
        <v>40458</v>
      </c>
      <c r="O277" s="179">
        <f>VLOOKUP(K277,'Cost Model '!$G$11:$J$200,4,FALSE)</f>
        <v>16.63</v>
      </c>
      <c r="R277" s="162" t="str">
        <f t="shared" si="15"/>
        <v>YES</v>
      </c>
      <c r="S277" s="162" t="str">
        <f t="shared" ref="S277:S340" si="16">IF(AND($K277&gt;=$S$7,$K277&lt;=$S$8,$L277&lt;=$S$9),"YES","No")</f>
        <v>YES</v>
      </c>
      <c r="T277" s="162" t="str">
        <f t="shared" ref="T277:T340" si="17">IF(AND($K277&gt;=$T$7,$K277&lt;=$T$8,$L277&lt;=$T$9),"YES","No")</f>
        <v>No</v>
      </c>
      <c r="U277" s="162" t="str">
        <f t="shared" ref="U277:U340" si="18">IF(AND($K277&gt;=$U$7,$K277&lt;=$U$8,$L277&lt;=$U$9,J277&gt;=$U$11),"YES","No")</f>
        <v>No</v>
      </c>
    </row>
    <row r="278" spans="1:21" ht="15">
      <c r="A278" s="174">
        <v>4193</v>
      </c>
      <c r="B278" s="174" t="s">
        <v>535</v>
      </c>
      <c r="C278" s="174" t="s">
        <v>536</v>
      </c>
      <c r="D278" s="174" t="s">
        <v>549</v>
      </c>
      <c r="E278" s="174" t="s">
        <v>271</v>
      </c>
      <c r="F278" s="174">
        <v>16</v>
      </c>
      <c r="G278" s="174">
        <v>1.32</v>
      </c>
      <c r="H278" s="174" t="b">
        <v>1</v>
      </c>
      <c r="I278" s="174" t="b">
        <v>1</v>
      </c>
      <c r="J278" s="174">
        <v>0.76</v>
      </c>
      <c r="K278" s="174">
        <v>285</v>
      </c>
      <c r="L278" s="174">
        <v>4.0999999999999996</v>
      </c>
      <c r="M278" s="178">
        <v>40680</v>
      </c>
      <c r="O278" s="179">
        <f>VLOOKUP(K278,'Cost Model '!$G$11:$J$200,4,FALSE)</f>
        <v>30.599999999999984</v>
      </c>
      <c r="R278" s="162" t="str">
        <f t="shared" ref="R278:R341" si="19">IF(AND($K278&gt;=$R$7,$K278&lt;=$R$8,$L278&lt;=$R$9),"YES","No")</f>
        <v>YES</v>
      </c>
      <c r="S278" s="162" t="str">
        <f t="shared" si="16"/>
        <v>YES</v>
      </c>
      <c r="T278" s="162" t="str">
        <f t="shared" si="17"/>
        <v>YES</v>
      </c>
      <c r="U278" s="162" t="str">
        <f t="shared" si="18"/>
        <v>YES</v>
      </c>
    </row>
    <row r="279" spans="1:21" ht="15">
      <c r="A279" s="174">
        <v>4543</v>
      </c>
      <c r="B279" s="174" t="s">
        <v>535</v>
      </c>
      <c r="C279" s="174" t="s">
        <v>536</v>
      </c>
      <c r="D279" s="174" t="s">
        <v>549</v>
      </c>
      <c r="E279" s="174" t="s">
        <v>271</v>
      </c>
      <c r="F279" s="174">
        <v>16</v>
      </c>
      <c r="G279" s="174">
        <v>1.32</v>
      </c>
      <c r="H279" s="174" t="b">
        <v>1</v>
      </c>
      <c r="I279" s="174" t="b">
        <v>1</v>
      </c>
      <c r="J279" s="174">
        <v>0.76</v>
      </c>
      <c r="K279" s="174">
        <v>285</v>
      </c>
      <c r="L279" s="174">
        <v>4.0999999999999996</v>
      </c>
      <c r="M279" s="178">
        <v>40897</v>
      </c>
      <c r="O279" s="179">
        <f>VLOOKUP(K279,'Cost Model '!$G$11:$J$200,4,FALSE)</f>
        <v>30.599999999999984</v>
      </c>
      <c r="R279" s="162" t="str">
        <f t="shared" si="19"/>
        <v>YES</v>
      </c>
      <c r="S279" s="162" t="str">
        <f t="shared" si="16"/>
        <v>YES</v>
      </c>
      <c r="T279" s="162" t="str">
        <f t="shared" si="17"/>
        <v>YES</v>
      </c>
      <c r="U279" s="162" t="str">
        <f t="shared" si="18"/>
        <v>YES</v>
      </c>
    </row>
    <row r="280" spans="1:21" ht="15">
      <c r="A280" s="174">
        <v>4194</v>
      </c>
      <c r="B280" s="174" t="s">
        <v>535</v>
      </c>
      <c r="C280" s="174" t="s">
        <v>536</v>
      </c>
      <c r="D280" s="174" t="s">
        <v>550</v>
      </c>
      <c r="E280" s="174" t="s">
        <v>271</v>
      </c>
      <c r="F280" s="174">
        <v>16</v>
      </c>
      <c r="G280" s="174">
        <v>1.32</v>
      </c>
      <c r="H280" s="174" t="b">
        <v>1</v>
      </c>
      <c r="I280" s="174" t="b">
        <v>1</v>
      </c>
      <c r="J280" s="174">
        <v>0.76</v>
      </c>
      <c r="K280" s="174">
        <v>285</v>
      </c>
      <c r="L280" s="174">
        <v>4.0999999999999996</v>
      </c>
      <c r="M280" s="178">
        <v>40680</v>
      </c>
      <c r="O280" s="179">
        <f>VLOOKUP(K280,'Cost Model '!$G$11:$J$200,4,FALSE)</f>
        <v>30.599999999999984</v>
      </c>
      <c r="R280" s="162" t="str">
        <f t="shared" si="19"/>
        <v>YES</v>
      </c>
      <c r="S280" s="162" t="str">
        <f t="shared" si="16"/>
        <v>YES</v>
      </c>
      <c r="T280" s="162" t="str">
        <f t="shared" si="17"/>
        <v>YES</v>
      </c>
      <c r="U280" s="162" t="str">
        <f t="shared" si="18"/>
        <v>YES</v>
      </c>
    </row>
    <row r="281" spans="1:21" ht="15">
      <c r="A281" s="174">
        <v>4544</v>
      </c>
      <c r="B281" s="174" t="s">
        <v>535</v>
      </c>
      <c r="C281" s="174" t="s">
        <v>536</v>
      </c>
      <c r="D281" s="174" t="s">
        <v>550</v>
      </c>
      <c r="E281" s="174" t="s">
        <v>271</v>
      </c>
      <c r="F281" s="174">
        <v>16</v>
      </c>
      <c r="G281" s="174">
        <v>1.32</v>
      </c>
      <c r="H281" s="174" t="b">
        <v>1</v>
      </c>
      <c r="I281" s="174" t="b">
        <v>1</v>
      </c>
      <c r="J281" s="174">
        <v>0.76</v>
      </c>
      <c r="K281" s="174">
        <v>285</v>
      </c>
      <c r="L281" s="174">
        <v>4.0999999999999996</v>
      </c>
      <c r="M281" s="178">
        <v>40897</v>
      </c>
      <c r="O281" s="179">
        <f>VLOOKUP(K281,'Cost Model '!$G$11:$J$200,4,FALSE)</f>
        <v>30.599999999999984</v>
      </c>
      <c r="R281" s="162" t="str">
        <f t="shared" si="19"/>
        <v>YES</v>
      </c>
      <c r="S281" s="162" t="str">
        <f t="shared" si="16"/>
        <v>YES</v>
      </c>
      <c r="T281" s="162" t="str">
        <f t="shared" si="17"/>
        <v>YES</v>
      </c>
      <c r="U281" s="162" t="str">
        <f t="shared" si="18"/>
        <v>YES</v>
      </c>
    </row>
    <row r="282" spans="1:21" ht="15">
      <c r="A282" s="174">
        <v>4195</v>
      </c>
      <c r="B282" s="174" t="s">
        <v>535</v>
      </c>
      <c r="C282" s="174" t="s">
        <v>536</v>
      </c>
      <c r="D282" s="174" t="s">
        <v>551</v>
      </c>
      <c r="E282" s="174" t="s">
        <v>271</v>
      </c>
      <c r="F282" s="174">
        <v>16</v>
      </c>
      <c r="G282" s="174">
        <v>1.32</v>
      </c>
      <c r="H282" s="174" t="b">
        <v>1</v>
      </c>
      <c r="I282" s="174" t="b">
        <v>1</v>
      </c>
      <c r="J282" s="174">
        <v>0.76</v>
      </c>
      <c r="K282" s="174">
        <v>285</v>
      </c>
      <c r="L282" s="174">
        <v>4.0999999999999996</v>
      </c>
      <c r="M282" s="178">
        <v>40680</v>
      </c>
      <c r="O282" s="179">
        <f>VLOOKUP(K282,'Cost Model '!$G$11:$J$200,4,FALSE)</f>
        <v>30.599999999999984</v>
      </c>
      <c r="R282" s="162" t="str">
        <f t="shared" si="19"/>
        <v>YES</v>
      </c>
      <c r="S282" s="162" t="str">
        <f t="shared" si="16"/>
        <v>YES</v>
      </c>
      <c r="T282" s="162" t="str">
        <f t="shared" si="17"/>
        <v>YES</v>
      </c>
      <c r="U282" s="162" t="str">
        <f t="shared" si="18"/>
        <v>YES</v>
      </c>
    </row>
    <row r="283" spans="1:21" ht="15">
      <c r="A283" s="174">
        <v>4545</v>
      </c>
      <c r="B283" s="174" t="s">
        <v>535</v>
      </c>
      <c r="C283" s="174" t="s">
        <v>536</v>
      </c>
      <c r="D283" s="174" t="s">
        <v>551</v>
      </c>
      <c r="E283" s="174" t="s">
        <v>271</v>
      </c>
      <c r="F283" s="174">
        <v>16</v>
      </c>
      <c r="G283" s="174">
        <v>1.32</v>
      </c>
      <c r="H283" s="174" t="b">
        <v>1</v>
      </c>
      <c r="I283" s="174" t="b">
        <v>1</v>
      </c>
      <c r="J283" s="174">
        <v>0.76</v>
      </c>
      <c r="K283" s="174">
        <v>285</v>
      </c>
      <c r="L283" s="174">
        <v>4.0999999999999996</v>
      </c>
      <c r="M283" s="178">
        <v>40897</v>
      </c>
      <c r="O283" s="179">
        <f>VLOOKUP(K283,'Cost Model '!$G$11:$J$200,4,FALSE)</f>
        <v>30.599999999999984</v>
      </c>
      <c r="R283" s="162" t="str">
        <f t="shared" si="19"/>
        <v>YES</v>
      </c>
      <c r="S283" s="162" t="str">
        <f t="shared" si="16"/>
        <v>YES</v>
      </c>
      <c r="T283" s="162" t="str">
        <f t="shared" si="17"/>
        <v>YES</v>
      </c>
      <c r="U283" s="162" t="str">
        <f t="shared" si="18"/>
        <v>YES</v>
      </c>
    </row>
    <row r="284" spans="1:21" ht="15">
      <c r="A284" s="174">
        <v>4191</v>
      </c>
      <c r="B284" s="174" t="s">
        <v>535</v>
      </c>
      <c r="C284" s="174" t="s">
        <v>536</v>
      </c>
      <c r="D284" s="174" t="s">
        <v>552</v>
      </c>
      <c r="E284" s="174" t="s">
        <v>271</v>
      </c>
      <c r="F284" s="174">
        <v>16</v>
      </c>
      <c r="G284" s="174">
        <v>1.32</v>
      </c>
      <c r="H284" s="174" t="b">
        <v>1</v>
      </c>
      <c r="I284" s="174" t="b">
        <v>1</v>
      </c>
      <c r="J284" s="174">
        <v>0.76</v>
      </c>
      <c r="K284" s="174">
        <v>285</v>
      </c>
      <c r="L284" s="174">
        <v>3.5</v>
      </c>
      <c r="M284" s="178">
        <v>40680</v>
      </c>
      <c r="O284" s="179">
        <f>VLOOKUP(K284,'Cost Model '!$G$11:$J$200,4,FALSE)</f>
        <v>30.599999999999984</v>
      </c>
      <c r="R284" s="162" t="str">
        <f t="shared" si="19"/>
        <v>YES</v>
      </c>
      <c r="S284" s="162" t="str">
        <f t="shared" si="16"/>
        <v>YES</v>
      </c>
      <c r="T284" s="162" t="str">
        <f t="shared" si="17"/>
        <v>YES</v>
      </c>
      <c r="U284" s="162" t="str">
        <f t="shared" si="18"/>
        <v>YES</v>
      </c>
    </row>
    <row r="285" spans="1:21" ht="15">
      <c r="A285" s="174">
        <v>4541</v>
      </c>
      <c r="B285" s="174" t="s">
        <v>535</v>
      </c>
      <c r="C285" s="174" t="s">
        <v>536</v>
      </c>
      <c r="D285" s="174" t="s">
        <v>552</v>
      </c>
      <c r="E285" s="174" t="s">
        <v>271</v>
      </c>
      <c r="F285" s="174">
        <v>16</v>
      </c>
      <c r="G285" s="174">
        <v>1.32</v>
      </c>
      <c r="H285" s="174" t="b">
        <v>1</v>
      </c>
      <c r="I285" s="174" t="b">
        <v>1</v>
      </c>
      <c r="J285" s="174">
        <v>0.76</v>
      </c>
      <c r="K285" s="174">
        <v>285</v>
      </c>
      <c r="L285" s="174">
        <v>3.5</v>
      </c>
      <c r="M285" s="178">
        <v>40897</v>
      </c>
      <c r="O285" s="179">
        <f>VLOOKUP(K285,'Cost Model '!$G$11:$J$200,4,FALSE)</f>
        <v>30.599999999999984</v>
      </c>
      <c r="R285" s="162" t="str">
        <f t="shared" si="19"/>
        <v>YES</v>
      </c>
      <c r="S285" s="162" t="str">
        <f t="shared" si="16"/>
        <v>YES</v>
      </c>
      <c r="T285" s="162" t="str">
        <f t="shared" si="17"/>
        <v>YES</v>
      </c>
      <c r="U285" s="162" t="str">
        <f t="shared" si="18"/>
        <v>YES</v>
      </c>
    </row>
    <row r="286" spans="1:21" ht="15">
      <c r="A286" s="174">
        <v>4192</v>
      </c>
      <c r="B286" s="174" t="s">
        <v>535</v>
      </c>
      <c r="C286" s="174" t="s">
        <v>536</v>
      </c>
      <c r="D286" s="174" t="s">
        <v>553</v>
      </c>
      <c r="E286" s="174" t="s">
        <v>271</v>
      </c>
      <c r="F286" s="174">
        <v>16</v>
      </c>
      <c r="G286" s="174">
        <v>1.32</v>
      </c>
      <c r="H286" s="174" t="b">
        <v>1</v>
      </c>
      <c r="I286" s="174" t="b">
        <v>1</v>
      </c>
      <c r="J286" s="174">
        <v>0.76</v>
      </c>
      <c r="K286" s="174">
        <v>285</v>
      </c>
      <c r="L286" s="174">
        <v>3.5</v>
      </c>
      <c r="M286" s="178">
        <v>40680</v>
      </c>
      <c r="O286" s="179">
        <f>VLOOKUP(K286,'Cost Model '!$G$11:$J$200,4,FALSE)</f>
        <v>30.599999999999984</v>
      </c>
      <c r="R286" s="162" t="str">
        <f t="shared" si="19"/>
        <v>YES</v>
      </c>
      <c r="S286" s="162" t="str">
        <f t="shared" si="16"/>
        <v>YES</v>
      </c>
      <c r="T286" s="162" t="str">
        <f t="shared" si="17"/>
        <v>YES</v>
      </c>
      <c r="U286" s="162" t="str">
        <f t="shared" si="18"/>
        <v>YES</v>
      </c>
    </row>
    <row r="287" spans="1:21" ht="15">
      <c r="A287" s="174">
        <v>4542</v>
      </c>
      <c r="B287" s="174" t="s">
        <v>535</v>
      </c>
      <c r="C287" s="174" t="s">
        <v>536</v>
      </c>
      <c r="D287" s="174" t="s">
        <v>553</v>
      </c>
      <c r="E287" s="174" t="s">
        <v>271</v>
      </c>
      <c r="F287" s="174">
        <v>16</v>
      </c>
      <c r="G287" s="174">
        <v>1.32</v>
      </c>
      <c r="H287" s="174" t="b">
        <v>1</v>
      </c>
      <c r="I287" s="174" t="b">
        <v>1</v>
      </c>
      <c r="J287" s="174">
        <v>0.76</v>
      </c>
      <c r="K287" s="174">
        <v>285</v>
      </c>
      <c r="L287" s="174">
        <v>3.5</v>
      </c>
      <c r="M287" s="178">
        <v>40897</v>
      </c>
      <c r="O287" s="179">
        <f>VLOOKUP(K287,'Cost Model '!$G$11:$J$200,4,FALSE)</f>
        <v>30.599999999999984</v>
      </c>
      <c r="R287" s="162" t="str">
        <f t="shared" si="19"/>
        <v>YES</v>
      </c>
      <c r="S287" s="162" t="str">
        <f t="shared" si="16"/>
        <v>YES</v>
      </c>
      <c r="T287" s="162" t="str">
        <f t="shared" si="17"/>
        <v>YES</v>
      </c>
      <c r="U287" s="162" t="str">
        <f t="shared" si="18"/>
        <v>YES</v>
      </c>
    </row>
    <row r="288" spans="1:21" ht="15">
      <c r="A288" s="174">
        <v>4196</v>
      </c>
      <c r="B288" s="174" t="s">
        <v>535</v>
      </c>
      <c r="C288" s="174" t="s">
        <v>536</v>
      </c>
      <c r="D288" s="174" t="s">
        <v>554</v>
      </c>
      <c r="E288" s="174" t="s">
        <v>271</v>
      </c>
      <c r="F288" s="174">
        <v>16</v>
      </c>
      <c r="G288" s="174">
        <v>1.32</v>
      </c>
      <c r="H288" s="174" t="b">
        <v>1</v>
      </c>
      <c r="I288" s="174" t="b">
        <v>1</v>
      </c>
      <c r="J288" s="174">
        <v>0.76</v>
      </c>
      <c r="K288" s="174">
        <v>285</v>
      </c>
      <c r="L288" s="174">
        <v>4.0999999999999996</v>
      </c>
      <c r="M288" s="178">
        <v>40680</v>
      </c>
      <c r="O288" s="179">
        <f>VLOOKUP(K288,'Cost Model '!$G$11:$J$200,4,FALSE)</f>
        <v>30.599999999999984</v>
      </c>
      <c r="R288" s="162" t="str">
        <f t="shared" si="19"/>
        <v>YES</v>
      </c>
      <c r="S288" s="162" t="str">
        <f t="shared" si="16"/>
        <v>YES</v>
      </c>
      <c r="T288" s="162" t="str">
        <f t="shared" si="17"/>
        <v>YES</v>
      </c>
      <c r="U288" s="162" t="str">
        <f t="shared" si="18"/>
        <v>YES</v>
      </c>
    </row>
    <row r="289" spans="1:21" ht="15">
      <c r="A289" s="174">
        <v>4546</v>
      </c>
      <c r="B289" s="174" t="s">
        <v>535</v>
      </c>
      <c r="C289" s="174" t="s">
        <v>536</v>
      </c>
      <c r="D289" s="174" t="s">
        <v>554</v>
      </c>
      <c r="E289" s="174" t="s">
        <v>271</v>
      </c>
      <c r="F289" s="174">
        <v>16</v>
      </c>
      <c r="G289" s="174">
        <v>1.32</v>
      </c>
      <c r="H289" s="174" t="b">
        <v>1</v>
      </c>
      <c r="I289" s="174" t="b">
        <v>1</v>
      </c>
      <c r="J289" s="174">
        <v>0.76</v>
      </c>
      <c r="K289" s="174">
        <v>285</v>
      </c>
      <c r="L289" s="174">
        <v>4.0999999999999996</v>
      </c>
      <c r="M289" s="178">
        <v>40897</v>
      </c>
      <c r="O289" s="179">
        <f>VLOOKUP(K289,'Cost Model '!$G$11:$J$200,4,FALSE)</f>
        <v>30.599999999999984</v>
      </c>
      <c r="R289" s="162" t="str">
        <f t="shared" si="19"/>
        <v>YES</v>
      </c>
      <c r="S289" s="162" t="str">
        <f t="shared" si="16"/>
        <v>YES</v>
      </c>
      <c r="T289" s="162" t="str">
        <f t="shared" si="17"/>
        <v>YES</v>
      </c>
      <c r="U289" s="162" t="str">
        <f t="shared" si="18"/>
        <v>YES</v>
      </c>
    </row>
    <row r="290" spans="1:21" ht="15">
      <c r="A290" s="174">
        <v>4197</v>
      </c>
      <c r="B290" s="174" t="s">
        <v>535</v>
      </c>
      <c r="C290" s="174" t="s">
        <v>536</v>
      </c>
      <c r="D290" s="174" t="s">
        <v>555</v>
      </c>
      <c r="E290" s="174" t="s">
        <v>271</v>
      </c>
      <c r="F290" s="174">
        <v>16</v>
      </c>
      <c r="G290" s="174">
        <v>1.32</v>
      </c>
      <c r="H290" s="174" t="b">
        <v>1</v>
      </c>
      <c r="I290" s="174" t="b">
        <v>1</v>
      </c>
      <c r="J290" s="174">
        <v>0.76</v>
      </c>
      <c r="K290" s="174">
        <v>285</v>
      </c>
      <c r="L290" s="174">
        <v>4.0999999999999996</v>
      </c>
      <c r="M290" s="178">
        <v>40680</v>
      </c>
      <c r="O290" s="179">
        <f>VLOOKUP(K290,'Cost Model '!$G$11:$J$200,4,FALSE)</f>
        <v>30.599999999999984</v>
      </c>
      <c r="R290" s="162" t="str">
        <f t="shared" si="19"/>
        <v>YES</v>
      </c>
      <c r="S290" s="162" t="str">
        <f t="shared" si="16"/>
        <v>YES</v>
      </c>
      <c r="T290" s="162" t="str">
        <f t="shared" si="17"/>
        <v>YES</v>
      </c>
      <c r="U290" s="162" t="str">
        <f t="shared" si="18"/>
        <v>YES</v>
      </c>
    </row>
    <row r="291" spans="1:21" ht="15">
      <c r="A291" s="174">
        <v>4547</v>
      </c>
      <c r="B291" s="174" t="s">
        <v>535</v>
      </c>
      <c r="C291" s="174" t="s">
        <v>536</v>
      </c>
      <c r="D291" s="174" t="s">
        <v>555</v>
      </c>
      <c r="E291" s="174" t="s">
        <v>271</v>
      </c>
      <c r="F291" s="174">
        <v>16</v>
      </c>
      <c r="G291" s="174">
        <v>1.32</v>
      </c>
      <c r="H291" s="174" t="b">
        <v>1</v>
      </c>
      <c r="I291" s="174" t="b">
        <v>1</v>
      </c>
      <c r="J291" s="174">
        <v>0.76</v>
      </c>
      <c r="K291" s="174">
        <v>285</v>
      </c>
      <c r="L291" s="174">
        <v>4.0999999999999996</v>
      </c>
      <c r="M291" s="178">
        <v>40897</v>
      </c>
      <c r="O291" s="179">
        <f>VLOOKUP(K291,'Cost Model '!$G$11:$J$200,4,FALSE)</f>
        <v>30.599999999999984</v>
      </c>
      <c r="R291" s="162" t="str">
        <f t="shared" si="19"/>
        <v>YES</v>
      </c>
      <c r="S291" s="162" t="str">
        <f t="shared" si="16"/>
        <v>YES</v>
      </c>
      <c r="T291" s="162" t="str">
        <f t="shared" si="17"/>
        <v>YES</v>
      </c>
      <c r="U291" s="162" t="str">
        <f t="shared" si="18"/>
        <v>YES</v>
      </c>
    </row>
    <row r="292" spans="1:21" ht="15">
      <c r="A292" s="174">
        <v>4198</v>
      </c>
      <c r="B292" s="174" t="s">
        <v>535</v>
      </c>
      <c r="C292" s="174" t="s">
        <v>536</v>
      </c>
      <c r="D292" s="174" t="s">
        <v>556</v>
      </c>
      <c r="E292" s="174" t="s">
        <v>271</v>
      </c>
      <c r="F292" s="174">
        <v>16</v>
      </c>
      <c r="G292" s="174">
        <v>1.32</v>
      </c>
      <c r="H292" s="174" t="b">
        <v>1</v>
      </c>
      <c r="I292" s="174" t="b">
        <v>1</v>
      </c>
      <c r="J292" s="174">
        <v>0.76</v>
      </c>
      <c r="K292" s="174">
        <v>285</v>
      </c>
      <c r="L292" s="174">
        <v>3.2</v>
      </c>
      <c r="M292" s="178">
        <v>40680</v>
      </c>
      <c r="O292" s="179">
        <f>VLOOKUP(K292,'Cost Model '!$G$11:$J$200,4,FALSE)</f>
        <v>30.599999999999984</v>
      </c>
      <c r="R292" s="162" t="str">
        <f t="shared" si="19"/>
        <v>YES</v>
      </c>
      <c r="S292" s="162" t="str">
        <f t="shared" si="16"/>
        <v>YES</v>
      </c>
      <c r="T292" s="162" t="str">
        <f t="shared" si="17"/>
        <v>YES</v>
      </c>
      <c r="U292" s="162" t="str">
        <f t="shared" si="18"/>
        <v>YES</v>
      </c>
    </row>
    <row r="293" spans="1:21" ht="15">
      <c r="A293" s="174">
        <v>4548</v>
      </c>
      <c r="B293" s="174" t="s">
        <v>535</v>
      </c>
      <c r="C293" s="174" t="s">
        <v>536</v>
      </c>
      <c r="D293" s="174" t="s">
        <v>556</v>
      </c>
      <c r="E293" s="174" t="s">
        <v>271</v>
      </c>
      <c r="F293" s="174">
        <v>16</v>
      </c>
      <c r="G293" s="174">
        <v>1.32</v>
      </c>
      <c r="H293" s="174" t="b">
        <v>1</v>
      </c>
      <c r="I293" s="174" t="b">
        <v>1</v>
      </c>
      <c r="J293" s="174">
        <v>0.76</v>
      </c>
      <c r="K293" s="174">
        <v>285</v>
      </c>
      <c r="L293" s="174">
        <v>3.2</v>
      </c>
      <c r="M293" s="178">
        <v>40897</v>
      </c>
      <c r="O293" s="179">
        <f>VLOOKUP(K293,'Cost Model '!$G$11:$J$200,4,FALSE)</f>
        <v>30.599999999999984</v>
      </c>
      <c r="R293" s="162" t="str">
        <f t="shared" si="19"/>
        <v>YES</v>
      </c>
      <c r="S293" s="162" t="str">
        <f t="shared" si="16"/>
        <v>YES</v>
      </c>
      <c r="T293" s="162" t="str">
        <f t="shared" si="17"/>
        <v>YES</v>
      </c>
      <c r="U293" s="162" t="str">
        <f t="shared" si="18"/>
        <v>YES</v>
      </c>
    </row>
    <row r="294" spans="1:21" ht="15">
      <c r="A294" s="174">
        <v>4199</v>
      </c>
      <c r="B294" s="174" t="s">
        <v>535</v>
      </c>
      <c r="C294" s="174" t="s">
        <v>536</v>
      </c>
      <c r="D294" s="174" t="s">
        <v>557</v>
      </c>
      <c r="E294" s="174" t="s">
        <v>271</v>
      </c>
      <c r="F294" s="174">
        <v>16</v>
      </c>
      <c r="G294" s="174">
        <v>1.32</v>
      </c>
      <c r="H294" s="174" t="b">
        <v>1</v>
      </c>
      <c r="I294" s="174" t="b">
        <v>1</v>
      </c>
      <c r="J294" s="174">
        <v>0.76</v>
      </c>
      <c r="K294" s="174">
        <v>285</v>
      </c>
      <c r="L294" s="174">
        <v>3.2</v>
      </c>
      <c r="M294" s="178">
        <v>40680</v>
      </c>
      <c r="O294" s="179">
        <f>VLOOKUP(K294,'Cost Model '!$G$11:$J$200,4,FALSE)</f>
        <v>30.599999999999984</v>
      </c>
      <c r="R294" s="162" t="str">
        <f t="shared" si="19"/>
        <v>YES</v>
      </c>
      <c r="S294" s="162" t="str">
        <f t="shared" si="16"/>
        <v>YES</v>
      </c>
      <c r="T294" s="162" t="str">
        <f t="shared" si="17"/>
        <v>YES</v>
      </c>
      <c r="U294" s="162" t="str">
        <f t="shared" si="18"/>
        <v>YES</v>
      </c>
    </row>
    <row r="295" spans="1:21" ht="15">
      <c r="A295" s="174">
        <v>4549</v>
      </c>
      <c r="B295" s="174" t="s">
        <v>535</v>
      </c>
      <c r="C295" s="174" t="s">
        <v>536</v>
      </c>
      <c r="D295" s="174" t="s">
        <v>557</v>
      </c>
      <c r="E295" s="174" t="s">
        <v>271</v>
      </c>
      <c r="F295" s="174">
        <v>16</v>
      </c>
      <c r="G295" s="174">
        <v>1.32</v>
      </c>
      <c r="H295" s="174" t="b">
        <v>1</v>
      </c>
      <c r="I295" s="174" t="b">
        <v>1</v>
      </c>
      <c r="J295" s="174">
        <v>0.76</v>
      </c>
      <c r="K295" s="174">
        <v>285</v>
      </c>
      <c r="L295" s="174">
        <v>3.2</v>
      </c>
      <c r="M295" s="178">
        <v>40897</v>
      </c>
      <c r="O295" s="179">
        <f>VLOOKUP(K295,'Cost Model '!$G$11:$J$200,4,FALSE)</f>
        <v>30.599999999999984</v>
      </c>
      <c r="R295" s="162" t="str">
        <f t="shared" si="19"/>
        <v>YES</v>
      </c>
      <c r="S295" s="162" t="str">
        <f t="shared" si="16"/>
        <v>YES</v>
      </c>
      <c r="T295" s="162" t="str">
        <f t="shared" si="17"/>
        <v>YES</v>
      </c>
      <c r="U295" s="162" t="str">
        <f t="shared" si="18"/>
        <v>YES</v>
      </c>
    </row>
    <row r="296" spans="1:21" ht="15">
      <c r="A296" s="174">
        <v>4200</v>
      </c>
      <c r="B296" s="174" t="s">
        <v>535</v>
      </c>
      <c r="C296" s="174" t="s">
        <v>536</v>
      </c>
      <c r="D296" s="174" t="s">
        <v>558</v>
      </c>
      <c r="E296" s="174" t="s">
        <v>271</v>
      </c>
      <c r="F296" s="174">
        <v>16</v>
      </c>
      <c r="G296" s="174">
        <v>1.32</v>
      </c>
      <c r="H296" s="174" t="b">
        <v>1</v>
      </c>
      <c r="I296" s="174" t="b">
        <v>1</v>
      </c>
      <c r="J296" s="174">
        <v>0.76</v>
      </c>
      <c r="K296" s="174">
        <v>285</v>
      </c>
      <c r="L296" s="174">
        <v>3.2</v>
      </c>
      <c r="M296" s="178">
        <v>40680</v>
      </c>
      <c r="O296" s="179">
        <f>VLOOKUP(K296,'Cost Model '!$G$11:$J$200,4,FALSE)</f>
        <v>30.599999999999984</v>
      </c>
      <c r="R296" s="162" t="str">
        <f t="shared" si="19"/>
        <v>YES</v>
      </c>
      <c r="S296" s="162" t="str">
        <f t="shared" si="16"/>
        <v>YES</v>
      </c>
      <c r="T296" s="162" t="str">
        <f t="shared" si="17"/>
        <v>YES</v>
      </c>
      <c r="U296" s="162" t="str">
        <f t="shared" si="18"/>
        <v>YES</v>
      </c>
    </row>
    <row r="297" spans="1:21" ht="15">
      <c r="A297" s="174">
        <v>4550</v>
      </c>
      <c r="B297" s="174" t="s">
        <v>535</v>
      </c>
      <c r="C297" s="174" t="s">
        <v>536</v>
      </c>
      <c r="D297" s="174" t="s">
        <v>558</v>
      </c>
      <c r="E297" s="174" t="s">
        <v>271</v>
      </c>
      <c r="F297" s="174">
        <v>16</v>
      </c>
      <c r="G297" s="174">
        <v>1.32</v>
      </c>
      <c r="H297" s="174" t="b">
        <v>1</v>
      </c>
      <c r="I297" s="174" t="b">
        <v>1</v>
      </c>
      <c r="J297" s="174">
        <v>0.76</v>
      </c>
      <c r="K297" s="174">
        <v>285</v>
      </c>
      <c r="L297" s="174">
        <v>3.2</v>
      </c>
      <c r="M297" s="178">
        <v>40897</v>
      </c>
      <c r="O297" s="179">
        <f>VLOOKUP(K297,'Cost Model '!$G$11:$J$200,4,FALSE)</f>
        <v>30.599999999999984</v>
      </c>
      <c r="R297" s="162" t="str">
        <f t="shared" si="19"/>
        <v>YES</v>
      </c>
      <c r="S297" s="162" t="str">
        <f t="shared" si="16"/>
        <v>YES</v>
      </c>
      <c r="T297" s="162" t="str">
        <f t="shared" si="17"/>
        <v>YES</v>
      </c>
      <c r="U297" s="162" t="str">
        <f t="shared" si="18"/>
        <v>YES</v>
      </c>
    </row>
    <row r="298" spans="1:21" ht="15">
      <c r="A298" s="174">
        <v>4201</v>
      </c>
      <c r="B298" s="174" t="s">
        <v>535</v>
      </c>
      <c r="C298" s="174" t="s">
        <v>536</v>
      </c>
      <c r="D298" s="174" t="s">
        <v>559</v>
      </c>
      <c r="E298" s="174" t="s">
        <v>271</v>
      </c>
      <c r="F298" s="174">
        <v>16</v>
      </c>
      <c r="G298" s="174">
        <v>1.32</v>
      </c>
      <c r="H298" s="174" t="b">
        <v>1</v>
      </c>
      <c r="I298" s="174" t="b">
        <v>1</v>
      </c>
      <c r="J298" s="174">
        <v>0.76</v>
      </c>
      <c r="K298" s="174">
        <v>285</v>
      </c>
      <c r="L298" s="174">
        <v>3.2</v>
      </c>
      <c r="M298" s="178">
        <v>40680</v>
      </c>
      <c r="O298" s="179">
        <f>VLOOKUP(K298,'Cost Model '!$G$11:$J$200,4,FALSE)</f>
        <v>30.599999999999984</v>
      </c>
      <c r="R298" s="162" t="str">
        <f t="shared" si="19"/>
        <v>YES</v>
      </c>
      <c r="S298" s="162" t="str">
        <f t="shared" si="16"/>
        <v>YES</v>
      </c>
      <c r="T298" s="162" t="str">
        <f t="shared" si="17"/>
        <v>YES</v>
      </c>
      <c r="U298" s="162" t="str">
        <f t="shared" si="18"/>
        <v>YES</v>
      </c>
    </row>
    <row r="299" spans="1:21" ht="15">
      <c r="A299" s="174">
        <v>4551</v>
      </c>
      <c r="B299" s="174" t="s">
        <v>535</v>
      </c>
      <c r="C299" s="174" t="s">
        <v>536</v>
      </c>
      <c r="D299" s="174" t="s">
        <v>559</v>
      </c>
      <c r="E299" s="174" t="s">
        <v>271</v>
      </c>
      <c r="F299" s="174">
        <v>16</v>
      </c>
      <c r="G299" s="174">
        <v>1.32</v>
      </c>
      <c r="H299" s="174" t="b">
        <v>1</v>
      </c>
      <c r="I299" s="174" t="b">
        <v>1</v>
      </c>
      <c r="J299" s="174">
        <v>0.76</v>
      </c>
      <c r="K299" s="174">
        <v>285</v>
      </c>
      <c r="L299" s="174">
        <v>3.2</v>
      </c>
      <c r="M299" s="178">
        <v>40897</v>
      </c>
      <c r="O299" s="179">
        <f>VLOOKUP(K299,'Cost Model '!$G$11:$J$200,4,FALSE)</f>
        <v>30.599999999999984</v>
      </c>
      <c r="R299" s="162" t="str">
        <f t="shared" si="19"/>
        <v>YES</v>
      </c>
      <c r="S299" s="162" t="str">
        <f t="shared" si="16"/>
        <v>YES</v>
      </c>
      <c r="T299" s="162" t="str">
        <f t="shared" si="17"/>
        <v>YES</v>
      </c>
      <c r="U299" s="162" t="str">
        <f t="shared" si="18"/>
        <v>YES</v>
      </c>
    </row>
    <row r="300" spans="1:21" ht="15">
      <c r="A300" s="174">
        <v>4202</v>
      </c>
      <c r="B300" s="174" t="s">
        <v>535</v>
      </c>
      <c r="C300" s="174" t="s">
        <v>536</v>
      </c>
      <c r="D300" s="174" t="s">
        <v>560</v>
      </c>
      <c r="E300" s="174" t="s">
        <v>271</v>
      </c>
      <c r="F300" s="174">
        <v>16</v>
      </c>
      <c r="G300" s="174">
        <v>1.32</v>
      </c>
      <c r="H300" s="174" t="b">
        <v>1</v>
      </c>
      <c r="I300" s="174" t="b">
        <v>1</v>
      </c>
      <c r="J300" s="174">
        <v>0.76</v>
      </c>
      <c r="K300" s="174">
        <v>285</v>
      </c>
      <c r="L300" s="174">
        <v>3.2</v>
      </c>
      <c r="M300" s="178">
        <v>40680</v>
      </c>
      <c r="O300" s="179">
        <f>VLOOKUP(K300,'Cost Model '!$G$11:$J$200,4,FALSE)</f>
        <v>30.599999999999984</v>
      </c>
      <c r="R300" s="162" t="str">
        <f t="shared" si="19"/>
        <v>YES</v>
      </c>
      <c r="S300" s="162" t="str">
        <f t="shared" si="16"/>
        <v>YES</v>
      </c>
      <c r="T300" s="162" t="str">
        <f t="shared" si="17"/>
        <v>YES</v>
      </c>
      <c r="U300" s="162" t="str">
        <f t="shared" si="18"/>
        <v>YES</v>
      </c>
    </row>
    <row r="301" spans="1:21" ht="15">
      <c r="A301" s="174">
        <v>4552</v>
      </c>
      <c r="B301" s="174" t="s">
        <v>535</v>
      </c>
      <c r="C301" s="174" t="s">
        <v>536</v>
      </c>
      <c r="D301" s="174" t="s">
        <v>560</v>
      </c>
      <c r="E301" s="174" t="s">
        <v>271</v>
      </c>
      <c r="F301" s="174">
        <v>16</v>
      </c>
      <c r="G301" s="174">
        <v>1.32</v>
      </c>
      <c r="H301" s="174" t="b">
        <v>1</v>
      </c>
      <c r="I301" s="174" t="b">
        <v>1</v>
      </c>
      <c r="J301" s="174">
        <v>0.76</v>
      </c>
      <c r="K301" s="174">
        <v>285</v>
      </c>
      <c r="L301" s="174">
        <v>3.2</v>
      </c>
      <c r="M301" s="178">
        <v>40897</v>
      </c>
      <c r="O301" s="179">
        <f>VLOOKUP(K301,'Cost Model '!$G$11:$J$200,4,FALSE)</f>
        <v>30.599999999999984</v>
      </c>
      <c r="R301" s="162" t="str">
        <f t="shared" si="19"/>
        <v>YES</v>
      </c>
      <c r="S301" s="162" t="str">
        <f t="shared" si="16"/>
        <v>YES</v>
      </c>
      <c r="T301" s="162" t="str">
        <f t="shared" si="17"/>
        <v>YES</v>
      </c>
      <c r="U301" s="162" t="str">
        <f t="shared" si="18"/>
        <v>YES</v>
      </c>
    </row>
    <row r="302" spans="1:21" ht="15">
      <c r="A302" s="174">
        <v>4203</v>
      </c>
      <c r="B302" s="174" t="s">
        <v>535</v>
      </c>
      <c r="C302" s="174" t="s">
        <v>536</v>
      </c>
      <c r="D302" s="174" t="s">
        <v>561</v>
      </c>
      <c r="E302" s="174" t="s">
        <v>271</v>
      </c>
      <c r="F302" s="174">
        <v>16</v>
      </c>
      <c r="G302" s="174">
        <v>1.32</v>
      </c>
      <c r="H302" s="174" t="b">
        <v>1</v>
      </c>
      <c r="I302" s="174" t="b">
        <v>1</v>
      </c>
      <c r="J302" s="174">
        <v>0.76</v>
      </c>
      <c r="K302" s="174">
        <v>285</v>
      </c>
      <c r="L302" s="174">
        <v>3.2</v>
      </c>
      <c r="M302" s="178">
        <v>40680</v>
      </c>
      <c r="O302" s="179">
        <f>VLOOKUP(K302,'Cost Model '!$G$11:$J$200,4,FALSE)</f>
        <v>30.599999999999984</v>
      </c>
      <c r="R302" s="162" t="str">
        <f t="shared" si="19"/>
        <v>YES</v>
      </c>
      <c r="S302" s="162" t="str">
        <f t="shared" si="16"/>
        <v>YES</v>
      </c>
      <c r="T302" s="162" t="str">
        <f t="shared" si="17"/>
        <v>YES</v>
      </c>
      <c r="U302" s="162" t="str">
        <f t="shared" si="18"/>
        <v>YES</v>
      </c>
    </row>
    <row r="303" spans="1:21" ht="15">
      <c r="A303" s="174">
        <v>4553</v>
      </c>
      <c r="B303" s="174" t="s">
        <v>535</v>
      </c>
      <c r="C303" s="174" t="s">
        <v>536</v>
      </c>
      <c r="D303" s="174" t="s">
        <v>561</v>
      </c>
      <c r="E303" s="174" t="s">
        <v>271</v>
      </c>
      <c r="F303" s="174">
        <v>16</v>
      </c>
      <c r="G303" s="174">
        <v>1.32</v>
      </c>
      <c r="H303" s="174" t="b">
        <v>1</v>
      </c>
      <c r="I303" s="174" t="b">
        <v>1</v>
      </c>
      <c r="J303" s="174">
        <v>0.76</v>
      </c>
      <c r="K303" s="174">
        <v>285</v>
      </c>
      <c r="L303" s="174">
        <v>3.2</v>
      </c>
      <c r="M303" s="178">
        <v>40897</v>
      </c>
      <c r="O303" s="179">
        <f>VLOOKUP(K303,'Cost Model '!$G$11:$J$200,4,FALSE)</f>
        <v>30.599999999999984</v>
      </c>
      <c r="R303" s="162" t="str">
        <f t="shared" si="19"/>
        <v>YES</v>
      </c>
      <c r="S303" s="162" t="str">
        <f t="shared" si="16"/>
        <v>YES</v>
      </c>
      <c r="T303" s="162" t="str">
        <f t="shared" si="17"/>
        <v>YES</v>
      </c>
      <c r="U303" s="162" t="str">
        <f t="shared" si="18"/>
        <v>YES</v>
      </c>
    </row>
    <row r="304" spans="1:21" ht="15">
      <c r="A304" s="174">
        <v>3699</v>
      </c>
      <c r="B304" s="174" t="s">
        <v>535</v>
      </c>
      <c r="C304" s="174" t="s">
        <v>536</v>
      </c>
      <c r="D304" s="174" t="s">
        <v>562</v>
      </c>
      <c r="E304" s="174" t="s">
        <v>271</v>
      </c>
      <c r="F304" s="174">
        <v>16</v>
      </c>
      <c r="G304" s="174">
        <v>1.44</v>
      </c>
      <c r="H304" s="174" t="b">
        <v>1</v>
      </c>
      <c r="I304" s="174" t="b">
        <v>1</v>
      </c>
      <c r="J304" s="174">
        <v>0.69</v>
      </c>
      <c r="K304" s="174">
        <v>312</v>
      </c>
      <c r="L304" s="174">
        <v>6.3</v>
      </c>
      <c r="M304" s="178">
        <v>40458</v>
      </c>
      <c r="O304" s="179">
        <f>VLOOKUP(K304,'Cost Model '!$G$11:$J$200,4,FALSE)</f>
        <v>7.669999999999999</v>
      </c>
      <c r="R304" s="162" t="str">
        <f t="shared" si="19"/>
        <v>YES</v>
      </c>
      <c r="S304" s="162" t="str">
        <f t="shared" si="16"/>
        <v>No</v>
      </c>
      <c r="T304" s="162" t="str">
        <f t="shared" si="17"/>
        <v>No</v>
      </c>
      <c r="U304" s="162" t="str">
        <f t="shared" si="18"/>
        <v>No</v>
      </c>
    </row>
    <row r="305" spans="1:21" ht="15">
      <c r="A305" s="174">
        <v>4554</v>
      </c>
      <c r="B305" s="174" t="s">
        <v>535</v>
      </c>
      <c r="C305" s="174" t="s">
        <v>536</v>
      </c>
      <c r="D305" s="174" t="s">
        <v>563</v>
      </c>
      <c r="E305" s="174" t="s">
        <v>271</v>
      </c>
      <c r="F305" s="174">
        <v>12</v>
      </c>
      <c r="G305" s="174">
        <v>1.35</v>
      </c>
      <c r="H305" s="174" t="b">
        <v>1</v>
      </c>
      <c r="I305" s="174" t="b">
        <v>1</v>
      </c>
      <c r="J305" s="174">
        <v>0.74</v>
      </c>
      <c r="K305" s="174">
        <v>292</v>
      </c>
      <c r="L305" s="174">
        <v>4.8</v>
      </c>
      <c r="M305" s="178">
        <v>40897</v>
      </c>
      <c r="O305" s="179">
        <f>VLOOKUP(K305,'Cost Model '!$G$11:$J$200,4,FALSE)</f>
        <v>22.549999999999994</v>
      </c>
      <c r="R305" s="162" t="str">
        <f t="shared" si="19"/>
        <v>YES</v>
      </c>
      <c r="S305" s="162" t="str">
        <f t="shared" si="16"/>
        <v>YES</v>
      </c>
      <c r="T305" s="162" t="str">
        <f t="shared" si="17"/>
        <v>No</v>
      </c>
      <c r="U305" s="162" t="str">
        <f t="shared" si="18"/>
        <v>No</v>
      </c>
    </row>
    <row r="306" spans="1:21" ht="15">
      <c r="A306" s="174">
        <v>4555</v>
      </c>
      <c r="B306" s="174" t="s">
        <v>535</v>
      </c>
      <c r="C306" s="174" t="s">
        <v>536</v>
      </c>
      <c r="D306" s="174" t="s">
        <v>564</v>
      </c>
      <c r="E306" s="174" t="s">
        <v>271</v>
      </c>
      <c r="F306" s="174">
        <v>14</v>
      </c>
      <c r="G306" s="174">
        <v>1.5</v>
      </c>
      <c r="H306" s="174" t="b">
        <v>1</v>
      </c>
      <c r="I306" s="174" t="b">
        <v>1</v>
      </c>
      <c r="J306" s="174">
        <v>0.67</v>
      </c>
      <c r="K306" s="174">
        <v>325</v>
      </c>
      <c r="L306" s="174">
        <v>5.3</v>
      </c>
      <c r="M306" s="178">
        <v>40897</v>
      </c>
      <c r="O306" s="179" t="str">
        <f>VLOOKUP(K306,'Cost Model '!$G$11:$J$200,4,FALSE)</f>
        <v>--</v>
      </c>
      <c r="R306" s="162" t="str">
        <f t="shared" si="19"/>
        <v>YES</v>
      </c>
      <c r="S306" s="162" t="str">
        <f t="shared" si="16"/>
        <v>No</v>
      </c>
      <c r="T306" s="162" t="str">
        <f t="shared" si="17"/>
        <v>No</v>
      </c>
      <c r="U306" s="162" t="str">
        <f t="shared" si="18"/>
        <v>No</v>
      </c>
    </row>
    <row r="307" spans="1:21" ht="15">
      <c r="A307" s="174">
        <v>3794</v>
      </c>
      <c r="B307" s="174" t="s">
        <v>565</v>
      </c>
      <c r="C307" s="174" t="s">
        <v>566</v>
      </c>
      <c r="D307" s="174" t="s">
        <v>567</v>
      </c>
      <c r="E307" s="174" t="s">
        <v>271</v>
      </c>
      <c r="F307" s="174">
        <v>10</v>
      </c>
      <c r="G307" s="174">
        <v>1.22</v>
      </c>
      <c r="H307" s="174" t="b">
        <v>1</v>
      </c>
      <c r="I307" s="174" t="b">
        <v>0</v>
      </c>
      <c r="J307" s="174">
        <v>0.82</v>
      </c>
      <c r="K307" s="174">
        <v>271</v>
      </c>
      <c r="L307" s="174">
        <v>4.5</v>
      </c>
      <c r="M307" s="178">
        <v>40528</v>
      </c>
      <c r="O307" s="179">
        <f>VLOOKUP(K307,'Cost Model '!$G$11:$J$200,4,FALSE)</f>
        <v>46.699999999999967</v>
      </c>
      <c r="R307" s="162" t="str">
        <f t="shared" si="19"/>
        <v>YES</v>
      </c>
      <c r="S307" s="162" t="str">
        <f t="shared" si="16"/>
        <v>YES</v>
      </c>
      <c r="T307" s="162" t="str">
        <f t="shared" si="17"/>
        <v>No</v>
      </c>
      <c r="U307" s="162" t="str">
        <f t="shared" si="18"/>
        <v>No</v>
      </c>
    </row>
    <row r="308" spans="1:21" ht="15">
      <c r="A308" s="174">
        <v>3791</v>
      </c>
      <c r="B308" s="174" t="s">
        <v>565</v>
      </c>
      <c r="C308" s="174" t="s">
        <v>566</v>
      </c>
      <c r="D308" s="174" t="s">
        <v>568</v>
      </c>
      <c r="E308" s="174" t="s">
        <v>271</v>
      </c>
      <c r="F308" s="174">
        <v>10</v>
      </c>
      <c r="G308" s="174">
        <v>1.25</v>
      </c>
      <c r="H308" s="174" t="b">
        <v>1</v>
      </c>
      <c r="I308" s="174" t="b">
        <v>1</v>
      </c>
      <c r="J308" s="174">
        <v>0.8</v>
      </c>
      <c r="K308" s="174">
        <v>276</v>
      </c>
      <c r="L308" s="174">
        <v>4.5</v>
      </c>
      <c r="M308" s="178">
        <v>40528</v>
      </c>
      <c r="O308" s="179">
        <f>VLOOKUP(K308,'Cost Model '!$G$11:$J$200,4,FALSE)</f>
        <v>40.949999999999974</v>
      </c>
      <c r="R308" s="162" t="str">
        <f t="shared" si="19"/>
        <v>YES</v>
      </c>
      <c r="S308" s="162" t="str">
        <f t="shared" si="16"/>
        <v>YES</v>
      </c>
      <c r="T308" s="162" t="str">
        <f t="shared" si="17"/>
        <v>No</v>
      </c>
      <c r="U308" s="162" t="str">
        <f t="shared" si="18"/>
        <v>No</v>
      </c>
    </row>
    <row r="309" spans="1:21" ht="15">
      <c r="A309" s="174">
        <v>3793</v>
      </c>
      <c r="B309" s="174" t="s">
        <v>565</v>
      </c>
      <c r="C309" s="174" t="s">
        <v>566</v>
      </c>
      <c r="D309" s="174" t="s">
        <v>569</v>
      </c>
      <c r="E309" s="174" t="s">
        <v>271</v>
      </c>
      <c r="F309" s="174">
        <v>10</v>
      </c>
      <c r="G309" s="174">
        <v>1.22</v>
      </c>
      <c r="H309" s="174" t="b">
        <v>1</v>
      </c>
      <c r="I309" s="174" t="b">
        <v>0</v>
      </c>
      <c r="J309" s="174">
        <v>0.82</v>
      </c>
      <c r="K309" s="174">
        <v>271</v>
      </c>
      <c r="L309" s="174">
        <v>4.5</v>
      </c>
      <c r="M309" s="178">
        <v>40528</v>
      </c>
      <c r="O309" s="179">
        <f>VLOOKUP(K309,'Cost Model '!$G$11:$J$200,4,FALSE)</f>
        <v>46.699999999999967</v>
      </c>
      <c r="R309" s="162" t="str">
        <f t="shared" si="19"/>
        <v>YES</v>
      </c>
      <c r="S309" s="162" t="str">
        <f t="shared" si="16"/>
        <v>YES</v>
      </c>
      <c r="T309" s="162" t="str">
        <f t="shared" si="17"/>
        <v>No</v>
      </c>
      <c r="U309" s="162" t="str">
        <f t="shared" si="18"/>
        <v>No</v>
      </c>
    </row>
    <row r="310" spans="1:21" ht="15">
      <c r="A310" s="174">
        <v>3790</v>
      </c>
      <c r="B310" s="174" t="s">
        <v>565</v>
      </c>
      <c r="C310" s="174" t="s">
        <v>566</v>
      </c>
      <c r="D310" s="174" t="s">
        <v>570</v>
      </c>
      <c r="E310" s="174" t="s">
        <v>271</v>
      </c>
      <c r="F310" s="174">
        <v>10</v>
      </c>
      <c r="G310" s="174">
        <v>1.25</v>
      </c>
      <c r="H310" s="174" t="b">
        <v>1</v>
      </c>
      <c r="I310" s="174" t="b">
        <v>1</v>
      </c>
      <c r="J310" s="174">
        <v>0.8</v>
      </c>
      <c r="K310" s="174">
        <v>276</v>
      </c>
      <c r="L310" s="174">
        <v>4.5</v>
      </c>
      <c r="M310" s="178">
        <v>40528</v>
      </c>
      <c r="O310" s="179">
        <f>VLOOKUP(K310,'Cost Model '!$G$11:$J$200,4,FALSE)</f>
        <v>40.949999999999974</v>
      </c>
      <c r="R310" s="162" t="str">
        <f t="shared" si="19"/>
        <v>YES</v>
      </c>
      <c r="S310" s="162" t="str">
        <f t="shared" si="16"/>
        <v>YES</v>
      </c>
      <c r="T310" s="162" t="str">
        <f t="shared" si="17"/>
        <v>No</v>
      </c>
      <c r="U310" s="162" t="str">
        <f t="shared" si="18"/>
        <v>No</v>
      </c>
    </row>
    <row r="311" spans="1:21" ht="15">
      <c r="A311" s="174">
        <v>4662</v>
      </c>
      <c r="B311" s="174" t="s">
        <v>565</v>
      </c>
      <c r="C311" s="174" t="s">
        <v>566</v>
      </c>
      <c r="D311" s="174" t="s">
        <v>571</v>
      </c>
      <c r="E311" s="174" t="s">
        <v>271</v>
      </c>
      <c r="F311" s="174">
        <v>10</v>
      </c>
      <c r="G311" s="174">
        <v>1.32</v>
      </c>
      <c r="H311" s="174" t="b">
        <v>1</v>
      </c>
      <c r="I311" s="174" t="b">
        <v>0</v>
      </c>
      <c r="J311" s="174">
        <v>0.76</v>
      </c>
      <c r="K311" s="174">
        <v>284</v>
      </c>
      <c r="L311" s="174">
        <v>4.0999999999999996</v>
      </c>
      <c r="M311" s="178">
        <v>41061</v>
      </c>
      <c r="O311" s="179">
        <f>VLOOKUP(K311,'Cost Model '!$G$11:$J$200,4,FALSE)</f>
        <v>31.749999999999982</v>
      </c>
      <c r="R311" s="162" t="str">
        <f t="shared" si="19"/>
        <v>YES</v>
      </c>
      <c r="S311" s="162" t="str">
        <f t="shared" si="16"/>
        <v>YES</v>
      </c>
      <c r="T311" s="162" t="str">
        <f t="shared" si="17"/>
        <v>YES</v>
      </c>
      <c r="U311" s="162" t="str">
        <f t="shared" si="18"/>
        <v>YES</v>
      </c>
    </row>
    <row r="312" spans="1:21" ht="15">
      <c r="A312" s="174">
        <v>4639</v>
      </c>
      <c r="B312" s="174" t="s">
        <v>565</v>
      </c>
      <c r="C312" s="174" t="s">
        <v>566</v>
      </c>
      <c r="D312" s="174" t="s">
        <v>572</v>
      </c>
      <c r="E312" s="174" t="s">
        <v>271</v>
      </c>
      <c r="F312" s="174">
        <v>10</v>
      </c>
      <c r="G312" s="174">
        <v>1.23</v>
      </c>
      <c r="H312" s="174" t="b">
        <v>1</v>
      </c>
      <c r="I312" s="174" t="b">
        <v>0</v>
      </c>
      <c r="J312" s="174">
        <v>0.81</v>
      </c>
      <c r="K312" s="174">
        <v>271</v>
      </c>
      <c r="L312" s="174">
        <v>4.2</v>
      </c>
      <c r="M312" s="178">
        <v>41001</v>
      </c>
      <c r="O312" s="179">
        <f>VLOOKUP(K312,'Cost Model '!$G$11:$J$200,4,FALSE)</f>
        <v>46.699999999999967</v>
      </c>
      <c r="R312" s="162" t="str">
        <f t="shared" si="19"/>
        <v>YES</v>
      </c>
      <c r="S312" s="162" t="str">
        <f t="shared" si="16"/>
        <v>YES</v>
      </c>
      <c r="T312" s="162" t="str">
        <f t="shared" si="17"/>
        <v>YES</v>
      </c>
      <c r="U312" s="162" t="str">
        <f t="shared" si="18"/>
        <v>YES</v>
      </c>
    </row>
    <row r="313" spans="1:21" ht="15">
      <c r="A313" s="174">
        <v>4626</v>
      </c>
      <c r="B313" s="174" t="s">
        <v>565</v>
      </c>
      <c r="C313" s="174" t="s">
        <v>566</v>
      </c>
      <c r="D313" s="174" t="s">
        <v>573</v>
      </c>
      <c r="E313" s="174" t="s">
        <v>271</v>
      </c>
      <c r="F313" s="174">
        <v>10</v>
      </c>
      <c r="G313" s="174">
        <v>1.32</v>
      </c>
      <c r="H313" s="174" t="b">
        <v>1</v>
      </c>
      <c r="I313" s="174" t="b">
        <v>0</v>
      </c>
      <c r="J313" s="174">
        <v>0.76</v>
      </c>
      <c r="K313" s="174">
        <v>284</v>
      </c>
      <c r="L313" s="174">
        <v>4.0999999999999996</v>
      </c>
      <c r="M313" s="178">
        <v>40996</v>
      </c>
      <c r="O313" s="179">
        <f>VLOOKUP(K313,'Cost Model '!$G$11:$J$200,4,FALSE)</f>
        <v>31.749999999999982</v>
      </c>
      <c r="R313" s="162" t="str">
        <f t="shared" si="19"/>
        <v>YES</v>
      </c>
      <c r="S313" s="162" t="str">
        <f t="shared" si="16"/>
        <v>YES</v>
      </c>
      <c r="T313" s="162" t="str">
        <f t="shared" si="17"/>
        <v>YES</v>
      </c>
      <c r="U313" s="162" t="str">
        <f t="shared" si="18"/>
        <v>YES</v>
      </c>
    </row>
    <row r="314" spans="1:21" ht="15">
      <c r="A314" s="174">
        <v>4628</v>
      </c>
      <c r="B314" s="174" t="s">
        <v>565</v>
      </c>
      <c r="C314" s="174" t="s">
        <v>566</v>
      </c>
      <c r="D314" s="174" t="s">
        <v>574</v>
      </c>
      <c r="E314" s="174" t="s">
        <v>271</v>
      </c>
      <c r="F314" s="174">
        <v>10</v>
      </c>
      <c r="G314" s="174">
        <v>1.32</v>
      </c>
      <c r="H314" s="174" t="b">
        <v>1</v>
      </c>
      <c r="I314" s="174" t="b">
        <v>0</v>
      </c>
      <c r="J314" s="174">
        <v>0.76</v>
      </c>
      <c r="K314" s="174">
        <v>284</v>
      </c>
      <c r="L314" s="174">
        <v>4.0999999999999996</v>
      </c>
      <c r="M314" s="178">
        <v>40996</v>
      </c>
      <c r="O314" s="179">
        <f>VLOOKUP(K314,'Cost Model '!$G$11:$J$200,4,FALSE)</f>
        <v>31.749999999999982</v>
      </c>
      <c r="R314" s="162" t="str">
        <f t="shared" si="19"/>
        <v>YES</v>
      </c>
      <c r="S314" s="162" t="str">
        <f t="shared" si="16"/>
        <v>YES</v>
      </c>
      <c r="T314" s="162" t="str">
        <f t="shared" si="17"/>
        <v>YES</v>
      </c>
      <c r="U314" s="162" t="str">
        <f t="shared" si="18"/>
        <v>YES</v>
      </c>
    </row>
    <row r="315" spans="1:21" ht="15">
      <c r="A315" s="174">
        <v>4627</v>
      </c>
      <c r="B315" s="174" t="s">
        <v>565</v>
      </c>
      <c r="C315" s="174" t="s">
        <v>566</v>
      </c>
      <c r="D315" s="174" t="s">
        <v>575</v>
      </c>
      <c r="E315" s="174" t="s">
        <v>271</v>
      </c>
      <c r="F315" s="174">
        <v>10</v>
      </c>
      <c r="G315" s="174">
        <v>1.32</v>
      </c>
      <c r="H315" s="174" t="b">
        <v>1</v>
      </c>
      <c r="I315" s="174" t="b">
        <v>0</v>
      </c>
      <c r="J315" s="174">
        <v>0.76</v>
      </c>
      <c r="K315" s="174">
        <v>284</v>
      </c>
      <c r="L315" s="174">
        <v>4.0999999999999996</v>
      </c>
      <c r="M315" s="178">
        <v>40996</v>
      </c>
      <c r="O315" s="179">
        <f>VLOOKUP(K315,'Cost Model '!$G$11:$J$200,4,FALSE)</f>
        <v>31.749999999999982</v>
      </c>
      <c r="R315" s="162" t="str">
        <f t="shared" si="19"/>
        <v>YES</v>
      </c>
      <c r="S315" s="162" t="str">
        <f t="shared" si="16"/>
        <v>YES</v>
      </c>
      <c r="T315" s="162" t="str">
        <f t="shared" si="17"/>
        <v>YES</v>
      </c>
      <c r="U315" s="162" t="str">
        <f t="shared" si="18"/>
        <v>YES</v>
      </c>
    </row>
    <row r="316" spans="1:21" ht="15">
      <c r="A316" s="174">
        <v>4629</v>
      </c>
      <c r="B316" s="174" t="s">
        <v>565</v>
      </c>
      <c r="C316" s="174" t="s">
        <v>566</v>
      </c>
      <c r="D316" s="174" t="s">
        <v>576</v>
      </c>
      <c r="E316" s="174" t="s">
        <v>271</v>
      </c>
      <c r="F316" s="174">
        <v>10</v>
      </c>
      <c r="G316" s="174">
        <v>1.32</v>
      </c>
      <c r="H316" s="174" t="b">
        <v>1</v>
      </c>
      <c r="I316" s="174" t="b">
        <v>0</v>
      </c>
      <c r="J316" s="174">
        <v>0.76</v>
      </c>
      <c r="K316" s="174">
        <v>284</v>
      </c>
      <c r="L316" s="174">
        <v>4.0999999999999996</v>
      </c>
      <c r="M316" s="178">
        <v>40996</v>
      </c>
      <c r="O316" s="179">
        <f>VLOOKUP(K316,'Cost Model '!$G$11:$J$200,4,FALSE)</f>
        <v>31.749999999999982</v>
      </c>
      <c r="R316" s="162" t="str">
        <f t="shared" si="19"/>
        <v>YES</v>
      </c>
      <c r="S316" s="162" t="str">
        <f t="shared" si="16"/>
        <v>YES</v>
      </c>
      <c r="T316" s="162" t="str">
        <f t="shared" si="17"/>
        <v>YES</v>
      </c>
      <c r="U316" s="162" t="str">
        <f t="shared" si="18"/>
        <v>YES</v>
      </c>
    </row>
    <row r="317" spans="1:21" ht="15">
      <c r="A317" s="174">
        <v>4640</v>
      </c>
      <c r="B317" s="174" t="s">
        <v>565</v>
      </c>
      <c r="C317" s="174" t="s">
        <v>566</v>
      </c>
      <c r="D317" s="174" t="s">
        <v>577</v>
      </c>
      <c r="E317" s="174" t="s">
        <v>271</v>
      </c>
      <c r="F317" s="174">
        <v>10</v>
      </c>
      <c r="G317" s="174">
        <v>1.23</v>
      </c>
      <c r="H317" s="174" t="b">
        <v>1</v>
      </c>
      <c r="I317" s="174" t="b">
        <v>0</v>
      </c>
      <c r="J317" s="174">
        <v>0.81</v>
      </c>
      <c r="K317" s="174">
        <v>271</v>
      </c>
      <c r="L317" s="174">
        <v>4.2</v>
      </c>
      <c r="M317" s="178">
        <v>41001</v>
      </c>
      <c r="O317" s="179">
        <f>VLOOKUP(K317,'Cost Model '!$G$11:$J$200,4,FALSE)</f>
        <v>46.699999999999967</v>
      </c>
      <c r="R317" s="162" t="str">
        <f t="shared" si="19"/>
        <v>YES</v>
      </c>
      <c r="S317" s="162" t="str">
        <f t="shared" si="16"/>
        <v>YES</v>
      </c>
      <c r="T317" s="162" t="str">
        <f t="shared" si="17"/>
        <v>YES</v>
      </c>
      <c r="U317" s="162" t="str">
        <f t="shared" si="18"/>
        <v>YES</v>
      </c>
    </row>
    <row r="318" spans="1:21" ht="15">
      <c r="A318" s="174">
        <v>4630</v>
      </c>
      <c r="B318" s="174" t="s">
        <v>565</v>
      </c>
      <c r="C318" s="174" t="s">
        <v>566</v>
      </c>
      <c r="D318" s="174" t="s">
        <v>578</v>
      </c>
      <c r="E318" s="174" t="s">
        <v>271</v>
      </c>
      <c r="F318" s="174">
        <v>10</v>
      </c>
      <c r="G318" s="174">
        <v>1.32</v>
      </c>
      <c r="H318" s="174" t="b">
        <v>1</v>
      </c>
      <c r="I318" s="174" t="b">
        <v>0</v>
      </c>
      <c r="J318" s="174">
        <v>0.76</v>
      </c>
      <c r="K318" s="174">
        <v>284</v>
      </c>
      <c r="L318" s="174">
        <v>4.0999999999999996</v>
      </c>
      <c r="M318" s="178">
        <v>40996</v>
      </c>
      <c r="O318" s="179">
        <f>VLOOKUP(K318,'Cost Model '!$G$11:$J$200,4,FALSE)</f>
        <v>31.749999999999982</v>
      </c>
      <c r="R318" s="162" t="str">
        <f t="shared" si="19"/>
        <v>YES</v>
      </c>
      <c r="S318" s="162" t="str">
        <f t="shared" si="16"/>
        <v>YES</v>
      </c>
      <c r="T318" s="162" t="str">
        <f t="shared" si="17"/>
        <v>YES</v>
      </c>
      <c r="U318" s="162" t="str">
        <f t="shared" si="18"/>
        <v>YES</v>
      </c>
    </row>
    <row r="319" spans="1:21" ht="15">
      <c r="A319" s="174">
        <v>3792</v>
      </c>
      <c r="B319" s="174" t="s">
        <v>565</v>
      </c>
      <c r="C319" s="174" t="s">
        <v>566</v>
      </c>
      <c r="D319" s="174" t="s">
        <v>579</v>
      </c>
      <c r="E319" s="174" t="s">
        <v>271</v>
      </c>
      <c r="F319" s="174">
        <v>10</v>
      </c>
      <c r="G319" s="174">
        <v>1.22</v>
      </c>
      <c r="H319" s="174" t="b">
        <v>1</v>
      </c>
      <c r="I319" s="174" t="b">
        <v>0</v>
      </c>
      <c r="J319" s="174">
        <v>0.82</v>
      </c>
      <c r="K319" s="174">
        <v>271</v>
      </c>
      <c r="L319" s="174">
        <v>4.5</v>
      </c>
      <c r="M319" s="178">
        <v>40528</v>
      </c>
      <c r="O319" s="179">
        <f>VLOOKUP(K319,'Cost Model '!$G$11:$J$200,4,FALSE)</f>
        <v>46.699999999999967</v>
      </c>
      <c r="R319" s="162" t="str">
        <f t="shared" si="19"/>
        <v>YES</v>
      </c>
      <c r="S319" s="162" t="str">
        <f t="shared" si="16"/>
        <v>YES</v>
      </c>
      <c r="T319" s="162" t="str">
        <f t="shared" si="17"/>
        <v>No</v>
      </c>
      <c r="U319" s="162" t="str">
        <f t="shared" si="18"/>
        <v>No</v>
      </c>
    </row>
    <row r="320" spans="1:21" ht="15">
      <c r="A320" s="174">
        <v>3789</v>
      </c>
      <c r="B320" s="174" t="s">
        <v>565</v>
      </c>
      <c r="C320" s="174" t="s">
        <v>566</v>
      </c>
      <c r="D320" s="174" t="s">
        <v>580</v>
      </c>
      <c r="E320" s="174" t="s">
        <v>271</v>
      </c>
      <c r="F320" s="174">
        <v>10</v>
      </c>
      <c r="G320" s="174">
        <v>1.25</v>
      </c>
      <c r="H320" s="174" t="b">
        <v>1</v>
      </c>
      <c r="I320" s="174" t="b">
        <v>1</v>
      </c>
      <c r="J320" s="174">
        <v>0.8</v>
      </c>
      <c r="K320" s="174">
        <v>276</v>
      </c>
      <c r="L320" s="174">
        <v>4.5</v>
      </c>
      <c r="M320" s="178">
        <v>40528</v>
      </c>
      <c r="O320" s="179">
        <f>VLOOKUP(K320,'Cost Model '!$G$11:$J$200,4,FALSE)</f>
        <v>40.949999999999974</v>
      </c>
      <c r="R320" s="162" t="str">
        <f t="shared" si="19"/>
        <v>YES</v>
      </c>
      <c r="S320" s="162" t="str">
        <f t="shared" si="16"/>
        <v>YES</v>
      </c>
      <c r="T320" s="162" t="str">
        <f t="shared" si="17"/>
        <v>No</v>
      </c>
      <c r="U320" s="162" t="str">
        <f t="shared" si="18"/>
        <v>No</v>
      </c>
    </row>
    <row r="321" spans="1:21" ht="15">
      <c r="A321" s="174">
        <v>4641</v>
      </c>
      <c r="B321" s="174" t="s">
        <v>565</v>
      </c>
      <c r="C321" s="174" t="s">
        <v>566</v>
      </c>
      <c r="D321" s="174" t="s">
        <v>581</v>
      </c>
      <c r="E321" s="174" t="s">
        <v>271</v>
      </c>
      <c r="F321" s="174">
        <v>10</v>
      </c>
      <c r="G321" s="174">
        <v>1.23</v>
      </c>
      <c r="H321" s="174" t="b">
        <v>1</v>
      </c>
      <c r="I321" s="174" t="b">
        <v>0</v>
      </c>
      <c r="J321" s="174">
        <v>0.81</v>
      </c>
      <c r="K321" s="174">
        <v>271</v>
      </c>
      <c r="L321" s="174">
        <v>4.2</v>
      </c>
      <c r="M321" s="178">
        <v>41001</v>
      </c>
      <c r="O321" s="179">
        <f>VLOOKUP(K321,'Cost Model '!$G$11:$J$200,4,FALSE)</f>
        <v>46.699999999999967</v>
      </c>
      <c r="R321" s="162" t="str">
        <f t="shared" si="19"/>
        <v>YES</v>
      </c>
      <c r="S321" s="162" t="str">
        <f t="shared" si="16"/>
        <v>YES</v>
      </c>
      <c r="T321" s="162" t="str">
        <f t="shared" si="17"/>
        <v>YES</v>
      </c>
      <c r="U321" s="162" t="str">
        <f t="shared" si="18"/>
        <v>YES</v>
      </c>
    </row>
    <row r="322" spans="1:21" ht="15">
      <c r="A322" s="174">
        <v>2831</v>
      </c>
      <c r="B322" s="174" t="s">
        <v>582</v>
      </c>
      <c r="C322" s="174" t="s">
        <v>583</v>
      </c>
      <c r="D322" s="174" t="s">
        <v>584</v>
      </c>
      <c r="E322" s="174" t="s">
        <v>271</v>
      </c>
      <c r="F322" s="174">
        <v>12</v>
      </c>
      <c r="G322" s="174">
        <v>1.39</v>
      </c>
      <c r="H322" s="174" t="b">
        <v>1</v>
      </c>
      <c r="I322" s="174" t="b">
        <v>1</v>
      </c>
      <c r="J322" s="174">
        <v>0.72</v>
      </c>
      <c r="K322" s="174">
        <v>300</v>
      </c>
      <c r="L322" s="174">
        <v>4.0999999999999996</v>
      </c>
      <c r="M322" s="178">
        <v>40345</v>
      </c>
      <c r="O322" s="179">
        <f>VLOOKUP(K322,'Cost Model '!$G$11:$J$200,4,FALSE)</f>
        <v>15.31</v>
      </c>
      <c r="R322" s="162" t="str">
        <f t="shared" si="19"/>
        <v>YES</v>
      </c>
      <c r="S322" s="162" t="str">
        <f t="shared" si="16"/>
        <v>YES</v>
      </c>
      <c r="T322" s="162" t="str">
        <f t="shared" si="17"/>
        <v>No</v>
      </c>
      <c r="U322" s="162" t="str">
        <f t="shared" si="18"/>
        <v>No</v>
      </c>
    </row>
    <row r="323" spans="1:21" ht="15">
      <c r="A323" s="174">
        <v>3461</v>
      </c>
      <c r="B323" s="174" t="s">
        <v>582</v>
      </c>
      <c r="C323" s="174" t="s">
        <v>585</v>
      </c>
      <c r="D323" s="174" t="s">
        <v>586</v>
      </c>
      <c r="E323" s="174" t="s">
        <v>271</v>
      </c>
      <c r="F323" s="174">
        <v>12</v>
      </c>
      <c r="G323" s="174">
        <v>1.33</v>
      </c>
      <c r="H323" s="174" t="b">
        <v>1</v>
      </c>
      <c r="I323" s="174" t="b">
        <v>1</v>
      </c>
      <c r="J323" s="174">
        <v>0.75</v>
      </c>
      <c r="K323" s="174">
        <v>288</v>
      </c>
      <c r="L323" s="174">
        <v>4.2</v>
      </c>
      <c r="M323" s="178">
        <v>40406</v>
      </c>
      <c r="O323" s="179">
        <f>VLOOKUP(K323,'Cost Model '!$G$11:$J$200,4,FALSE)</f>
        <v>27.149999999999988</v>
      </c>
      <c r="R323" s="162" t="str">
        <f t="shared" si="19"/>
        <v>YES</v>
      </c>
      <c r="S323" s="162" t="str">
        <f t="shared" si="16"/>
        <v>YES</v>
      </c>
      <c r="T323" s="162" t="str">
        <f t="shared" si="17"/>
        <v>YES</v>
      </c>
      <c r="U323" s="162" t="str">
        <f t="shared" si="18"/>
        <v>YES</v>
      </c>
    </row>
    <row r="324" spans="1:21" ht="15">
      <c r="A324" s="174">
        <v>3462</v>
      </c>
      <c r="B324" s="174" t="s">
        <v>582</v>
      </c>
      <c r="C324" s="174" t="s">
        <v>585</v>
      </c>
      <c r="D324" s="174" t="s">
        <v>587</v>
      </c>
      <c r="E324" s="174" t="s">
        <v>271</v>
      </c>
      <c r="F324" s="174">
        <v>12</v>
      </c>
      <c r="G324" s="174">
        <v>1.33</v>
      </c>
      <c r="H324" s="174" t="b">
        <v>1</v>
      </c>
      <c r="I324" s="174" t="b">
        <v>1</v>
      </c>
      <c r="J324" s="174">
        <v>0.75</v>
      </c>
      <c r="K324" s="174">
        <v>288</v>
      </c>
      <c r="L324" s="174">
        <v>4.2</v>
      </c>
      <c r="M324" s="178">
        <v>40406</v>
      </c>
      <c r="O324" s="179">
        <f>VLOOKUP(K324,'Cost Model '!$G$11:$J$200,4,FALSE)</f>
        <v>27.149999999999988</v>
      </c>
      <c r="R324" s="162" t="str">
        <f t="shared" si="19"/>
        <v>YES</v>
      </c>
      <c r="S324" s="162" t="str">
        <f t="shared" si="16"/>
        <v>YES</v>
      </c>
      <c r="T324" s="162" t="str">
        <f t="shared" si="17"/>
        <v>YES</v>
      </c>
      <c r="U324" s="162" t="str">
        <f t="shared" si="18"/>
        <v>YES</v>
      </c>
    </row>
    <row r="325" spans="1:21" ht="15">
      <c r="A325" s="174">
        <v>3479</v>
      </c>
      <c r="B325" s="174" t="s">
        <v>582</v>
      </c>
      <c r="C325" s="174" t="s">
        <v>588</v>
      </c>
      <c r="D325" s="174" t="s">
        <v>589</v>
      </c>
      <c r="E325" s="174" t="s">
        <v>271</v>
      </c>
      <c r="F325" s="174">
        <v>12</v>
      </c>
      <c r="G325" s="174">
        <v>1.34</v>
      </c>
      <c r="H325" s="174" t="b">
        <v>1</v>
      </c>
      <c r="I325" s="174" t="b">
        <v>1</v>
      </c>
      <c r="J325" s="174">
        <v>0.75</v>
      </c>
      <c r="K325" s="174">
        <v>292</v>
      </c>
      <c r="L325" s="174">
        <v>4.2</v>
      </c>
      <c r="M325" s="178">
        <v>40406</v>
      </c>
      <c r="O325" s="179">
        <f>VLOOKUP(K325,'Cost Model '!$G$11:$J$200,4,FALSE)</f>
        <v>22.549999999999994</v>
      </c>
      <c r="R325" s="162" t="str">
        <f t="shared" si="19"/>
        <v>YES</v>
      </c>
      <c r="S325" s="162" t="str">
        <f t="shared" si="16"/>
        <v>YES</v>
      </c>
      <c r="T325" s="162" t="str">
        <f t="shared" si="17"/>
        <v>YES</v>
      </c>
      <c r="U325" s="162" t="str">
        <f t="shared" si="18"/>
        <v>YES</v>
      </c>
    </row>
    <row r="326" spans="1:21" ht="15">
      <c r="A326" s="174">
        <v>3480</v>
      </c>
      <c r="B326" s="174" t="s">
        <v>582</v>
      </c>
      <c r="C326" s="174" t="s">
        <v>588</v>
      </c>
      <c r="D326" s="174" t="s">
        <v>590</v>
      </c>
      <c r="E326" s="174" t="s">
        <v>271</v>
      </c>
      <c r="F326" s="174">
        <v>12</v>
      </c>
      <c r="G326" s="174">
        <v>1.34</v>
      </c>
      <c r="H326" s="174" t="b">
        <v>1</v>
      </c>
      <c r="I326" s="174" t="b">
        <v>1</v>
      </c>
      <c r="J326" s="174">
        <v>0.75</v>
      </c>
      <c r="K326" s="174">
        <v>292</v>
      </c>
      <c r="L326" s="174">
        <v>4.2</v>
      </c>
      <c r="M326" s="178">
        <v>40406</v>
      </c>
      <c r="O326" s="179">
        <f>VLOOKUP(K326,'Cost Model '!$G$11:$J$200,4,FALSE)</f>
        <v>22.549999999999994</v>
      </c>
      <c r="R326" s="162" t="str">
        <f t="shared" si="19"/>
        <v>YES</v>
      </c>
      <c r="S326" s="162" t="str">
        <f t="shared" si="16"/>
        <v>YES</v>
      </c>
      <c r="T326" s="162" t="str">
        <f t="shared" si="17"/>
        <v>YES</v>
      </c>
      <c r="U326" s="162" t="str">
        <f t="shared" si="18"/>
        <v>YES</v>
      </c>
    </row>
    <row r="327" spans="1:21" ht="15">
      <c r="A327" s="174">
        <v>4719</v>
      </c>
      <c r="B327" s="174" t="s">
        <v>582</v>
      </c>
      <c r="C327" s="174" t="s">
        <v>340</v>
      </c>
      <c r="D327" s="174" t="s">
        <v>591</v>
      </c>
      <c r="E327" s="174" t="s">
        <v>271</v>
      </c>
      <c r="F327" s="174">
        <v>12</v>
      </c>
      <c r="G327" s="174">
        <v>1.17</v>
      </c>
      <c r="H327" s="174" t="b">
        <v>1</v>
      </c>
      <c r="I327" s="174" t="b">
        <v>1</v>
      </c>
      <c r="J327" s="174">
        <v>0.85</v>
      </c>
      <c r="K327" s="174">
        <v>254</v>
      </c>
      <c r="L327" s="174">
        <v>2.9</v>
      </c>
      <c r="M327" s="178">
        <v>41170</v>
      </c>
      <c r="O327" s="179">
        <f>VLOOKUP(K327,'Cost Model '!$G$11:$J$200,4,FALSE)</f>
        <v>66.249999999999957</v>
      </c>
      <c r="R327" s="162" t="str">
        <f t="shared" si="19"/>
        <v>YES</v>
      </c>
      <c r="S327" s="162" t="str">
        <f t="shared" si="16"/>
        <v>YES</v>
      </c>
      <c r="T327" s="162" t="str">
        <f t="shared" si="17"/>
        <v>YES</v>
      </c>
      <c r="U327" s="162" t="str">
        <f t="shared" si="18"/>
        <v>YES</v>
      </c>
    </row>
    <row r="328" spans="1:21" ht="15">
      <c r="A328" s="174">
        <v>3924</v>
      </c>
      <c r="B328" s="174" t="s">
        <v>582</v>
      </c>
      <c r="C328" s="174" t="s">
        <v>340</v>
      </c>
      <c r="D328" s="174" t="s">
        <v>592</v>
      </c>
      <c r="E328" s="174" t="s">
        <v>271</v>
      </c>
      <c r="F328" s="174">
        <v>12</v>
      </c>
      <c r="G328" s="174">
        <v>1.41</v>
      </c>
      <c r="H328" s="174" t="b">
        <v>1</v>
      </c>
      <c r="I328" s="174" t="b">
        <v>1</v>
      </c>
      <c r="J328" s="174">
        <v>0.71</v>
      </c>
      <c r="K328" s="174">
        <v>307</v>
      </c>
      <c r="L328" s="174">
        <v>5</v>
      </c>
      <c r="M328" s="178">
        <v>40640</v>
      </c>
      <c r="O328" s="179">
        <f>VLOOKUP(K328,'Cost Model '!$G$11:$J$200,4,FALSE)</f>
        <v>10.69</v>
      </c>
      <c r="R328" s="162" t="str">
        <f t="shared" si="19"/>
        <v>YES</v>
      </c>
      <c r="S328" s="162" t="str">
        <f t="shared" si="16"/>
        <v>YES</v>
      </c>
      <c r="T328" s="162" t="str">
        <f t="shared" si="17"/>
        <v>No</v>
      </c>
      <c r="U328" s="162" t="str">
        <f t="shared" si="18"/>
        <v>No</v>
      </c>
    </row>
    <row r="329" spans="1:21" ht="15">
      <c r="A329" s="174">
        <v>3925</v>
      </c>
      <c r="B329" s="174" t="s">
        <v>582</v>
      </c>
      <c r="C329" s="174" t="s">
        <v>340</v>
      </c>
      <c r="D329" s="174" t="s">
        <v>593</v>
      </c>
      <c r="E329" s="174" t="s">
        <v>271</v>
      </c>
      <c r="F329" s="174">
        <v>12</v>
      </c>
      <c r="G329" s="174">
        <v>1.41</v>
      </c>
      <c r="H329" s="174" t="b">
        <v>1</v>
      </c>
      <c r="I329" s="174" t="b">
        <v>1</v>
      </c>
      <c r="J329" s="174">
        <v>0.71</v>
      </c>
      <c r="K329" s="174">
        <v>307</v>
      </c>
      <c r="L329" s="174">
        <v>5</v>
      </c>
      <c r="M329" s="178">
        <v>40640</v>
      </c>
      <c r="O329" s="179">
        <f>VLOOKUP(K329,'Cost Model '!$G$11:$J$200,4,FALSE)</f>
        <v>10.69</v>
      </c>
      <c r="R329" s="162" t="str">
        <f t="shared" si="19"/>
        <v>YES</v>
      </c>
      <c r="S329" s="162" t="str">
        <f t="shared" si="16"/>
        <v>YES</v>
      </c>
      <c r="T329" s="162" t="str">
        <f t="shared" si="17"/>
        <v>No</v>
      </c>
      <c r="U329" s="162" t="str">
        <f t="shared" si="18"/>
        <v>No</v>
      </c>
    </row>
    <row r="330" spans="1:21" ht="15">
      <c r="A330" s="174">
        <v>3926</v>
      </c>
      <c r="B330" s="174" t="s">
        <v>582</v>
      </c>
      <c r="C330" s="174" t="s">
        <v>340</v>
      </c>
      <c r="D330" s="174" t="s">
        <v>594</v>
      </c>
      <c r="E330" s="174" t="s">
        <v>271</v>
      </c>
      <c r="F330" s="174">
        <v>12</v>
      </c>
      <c r="G330" s="174">
        <v>1.17</v>
      </c>
      <c r="H330" s="174" t="b">
        <v>1</v>
      </c>
      <c r="I330" s="174" t="b">
        <v>1</v>
      </c>
      <c r="J330" s="174">
        <v>0.85</v>
      </c>
      <c r="K330" s="174">
        <v>254</v>
      </c>
      <c r="L330" s="174">
        <v>2.9</v>
      </c>
      <c r="M330" s="178">
        <v>40640</v>
      </c>
      <c r="O330" s="179">
        <f>VLOOKUP(K330,'Cost Model '!$G$11:$J$200,4,FALSE)</f>
        <v>66.249999999999957</v>
      </c>
      <c r="R330" s="162" t="str">
        <f t="shared" si="19"/>
        <v>YES</v>
      </c>
      <c r="S330" s="162" t="str">
        <f t="shared" si="16"/>
        <v>YES</v>
      </c>
      <c r="T330" s="162" t="str">
        <f t="shared" si="17"/>
        <v>YES</v>
      </c>
      <c r="U330" s="162" t="str">
        <f t="shared" si="18"/>
        <v>YES</v>
      </c>
    </row>
    <row r="331" spans="1:21" ht="15">
      <c r="A331" s="174">
        <v>3927</v>
      </c>
      <c r="B331" s="174" t="s">
        <v>582</v>
      </c>
      <c r="C331" s="174" t="s">
        <v>340</v>
      </c>
      <c r="D331" s="174" t="s">
        <v>595</v>
      </c>
      <c r="E331" s="174" t="s">
        <v>271</v>
      </c>
      <c r="F331" s="174">
        <v>12</v>
      </c>
      <c r="G331" s="174">
        <v>1.17</v>
      </c>
      <c r="H331" s="174" t="b">
        <v>1</v>
      </c>
      <c r="I331" s="174" t="b">
        <v>1</v>
      </c>
      <c r="J331" s="174">
        <v>0.85</v>
      </c>
      <c r="K331" s="174">
        <v>254</v>
      </c>
      <c r="L331" s="174">
        <v>2.9</v>
      </c>
      <c r="M331" s="178">
        <v>40640</v>
      </c>
      <c r="O331" s="179">
        <f>VLOOKUP(K331,'Cost Model '!$G$11:$J$200,4,FALSE)</f>
        <v>66.249999999999957</v>
      </c>
      <c r="R331" s="162" t="str">
        <f t="shared" si="19"/>
        <v>YES</v>
      </c>
      <c r="S331" s="162" t="str">
        <f t="shared" si="16"/>
        <v>YES</v>
      </c>
      <c r="T331" s="162" t="str">
        <f t="shared" si="17"/>
        <v>YES</v>
      </c>
      <c r="U331" s="162" t="str">
        <f t="shared" si="18"/>
        <v>YES</v>
      </c>
    </row>
    <row r="332" spans="1:21" ht="15">
      <c r="A332" s="174">
        <v>4204</v>
      </c>
      <c r="B332" s="174" t="s">
        <v>582</v>
      </c>
      <c r="C332" s="174" t="s">
        <v>340</v>
      </c>
      <c r="D332" s="174" t="s">
        <v>596</v>
      </c>
      <c r="E332" s="174" t="s">
        <v>271</v>
      </c>
      <c r="F332" s="174">
        <v>12</v>
      </c>
      <c r="G332" s="174">
        <v>1.48</v>
      </c>
      <c r="H332" s="174" t="b">
        <v>1</v>
      </c>
      <c r="I332" s="174" t="b">
        <v>1</v>
      </c>
      <c r="J332" s="174">
        <v>0.68</v>
      </c>
      <c r="K332" s="174">
        <v>320</v>
      </c>
      <c r="L332" s="174">
        <v>5</v>
      </c>
      <c r="M332" s="178">
        <v>40683</v>
      </c>
      <c r="O332" s="179">
        <f>VLOOKUP(K332,'Cost Model '!$G$11:$J$200,4,FALSE)</f>
        <v>2.9499999999999997</v>
      </c>
      <c r="R332" s="162" t="str">
        <f t="shared" si="19"/>
        <v>YES</v>
      </c>
      <c r="S332" s="162" t="str">
        <f t="shared" si="16"/>
        <v>No</v>
      </c>
      <c r="T332" s="162" t="str">
        <f t="shared" si="17"/>
        <v>No</v>
      </c>
      <c r="U332" s="162" t="str">
        <f t="shared" si="18"/>
        <v>No</v>
      </c>
    </row>
    <row r="333" spans="1:21" ht="15">
      <c r="A333" s="174">
        <v>2786</v>
      </c>
      <c r="B333" s="174" t="s">
        <v>582</v>
      </c>
      <c r="C333" s="174" t="s">
        <v>340</v>
      </c>
      <c r="D333" s="174" t="s">
        <v>597</v>
      </c>
      <c r="E333" s="174" t="s">
        <v>271</v>
      </c>
      <c r="F333" s="174">
        <v>12</v>
      </c>
      <c r="G333" s="174">
        <v>1.47</v>
      </c>
      <c r="H333" s="174" t="b">
        <v>1</v>
      </c>
      <c r="I333" s="174" t="b">
        <v>1</v>
      </c>
      <c r="J333" s="174">
        <v>0.68</v>
      </c>
      <c r="K333" s="174">
        <v>320</v>
      </c>
      <c r="L333" s="174">
        <v>4</v>
      </c>
      <c r="M333" s="178">
        <v>40270</v>
      </c>
      <c r="O333" s="179">
        <f>VLOOKUP(K333,'Cost Model '!$G$11:$J$200,4,FALSE)</f>
        <v>2.9499999999999997</v>
      </c>
      <c r="R333" s="162" t="str">
        <f t="shared" si="19"/>
        <v>YES</v>
      </c>
      <c r="S333" s="162" t="str">
        <f t="shared" si="16"/>
        <v>No</v>
      </c>
      <c r="T333" s="162" t="str">
        <f t="shared" si="17"/>
        <v>No</v>
      </c>
      <c r="U333" s="162" t="str">
        <f t="shared" si="18"/>
        <v>No</v>
      </c>
    </row>
    <row r="334" spans="1:21" ht="15">
      <c r="A334" s="174">
        <v>3928</v>
      </c>
      <c r="B334" s="174" t="s">
        <v>582</v>
      </c>
      <c r="C334" s="174" t="s">
        <v>340</v>
      </c>
      <c r="D334" s="174" t="s">
        <v>598</v>
      </c>
      <c r="E334" s="174" t="s">
        <v>271</v>
      </c>
      <c r="F334" s="174">
        <v>12</v>
      </c>
      <c r="G334" s="174">
        <v>1.17</v>
      </c>
      <c r="H334" s="174" t="b">
        <v>1</v>
      </c>
      <c r="I334" s="174" t="b">
        <v>1</v>
      </c>
      <c r="J334" s="174">
        <v>0.85</v>
      </c>
      <c r="K334" s="174">
        <v>254</v>
      </c>
      <c r="L334" s="174">
        <v>2.9</v>
      </c>
      <c r="M334" s="178">
        <v>40640</v>
      </c>
      <c r="O334" s="179">
        <f>VLOOKUP(K334,'Cost Model '!$G$11:$J$200,4,FALSE)</f>
        <v>66.249999999999957</v>
      </c>
      <c r="R334" s="162" t="str">
        <f t="shared" si="19"/>
        <v>YES</v>
      </c>
      <c r="S334" s="162" t="str">
        <f t="shared" si="16"/>
        <v>YES</v>
      </c>
      <c r="T334" s="162" t="str">
        <f t="shared" si="17"/>
        <v>YES</v>
      </c>
      <c r="U334" s="162" t="str">
        <f t="shared" si="18"/>
        <v>YES</v>
      </c>
    </row>
    <row r="335" spans="1:21" ht="15">
      <c r="A335" s="174">
        <v>3929</v>
      </c>
      <c r="B335" s="174" t="s">
        <v>582</v>
      </c>
      <c r="C335" s="174" t="s">
        <v>340</v>
      </c>
      <c r="D335" s="174" t="s">
        <v>599</v>
      </c>
      <c r="E335" s="174" t="s">
        <v>271</v>
      </c>
      <c r="F335" s="174">
        <v>12</v>
      </c>
      <c r="G335" s="174">
        <v>1.17</v>
      </c>
      <c r="H335" s="174" t="b">
        <v>1</v>
      </c>
      <c r="I335" s="174" t="b">
        <v>1</v>
      </c>
      <c r="J335" s="174">
        <v>0.85</v>
      </c>
      <c r="K335" s="174">
        <v>254</v>
      </c>
      <c r="L335" s="174">
        <v>2.9</v>
      </c>
      <c r="M335" s="178">
        <v>40640</v>
      </c>
      <c r="O335" s="179">
        <f>VLOOKUP(K335,'Cost Model '!$G$11:$J$200,4,FALSE)</f>
        <v>66.249999999999957</v>
      </c>
      <c r="R335" s="162" t="str">
        <f t="shared" si="19"/>
        <v>YES</v>
      </c>
      <c r="S335" s="162" t="str">
        <f t="shared" si="16"/>
        <v>YES</v>
      </c>
      <c r="T335" s="162" t="str">
        <f t="shared" si="17"/>
        <v>YES</v>
      </c>
      <c r="U335" s="162" t="str">
        <f t="shared" si="18"/>
        <v>YES</v>
      </c>
    </row>
    <row r="336" spans="1:21" ht="15">
      <c r="A336" s="174">
        <v>4205</v>
      </c>
      <c r="B336" s="174" t="s">
        <v>582</v>
      </c>
      <c r="C336" s="174" t="s">
        <v>340</v>
      </c>
      <c r="D336" s="174" t="s">
        <v>600</v>
      </c>
      <c r="E336" s="174" t="s">
        <v>271</v>
      </c>
      <c r="F336" s="174">
        <v>12</v>
      </c>
      <c r="G336" s="174">
        <v>1.48</v>
      </c>
      <c r="H336" s="174" t="b">
        <v>1</v>
      </c>
      <c r="I336" s="174" t="b">
        <v>1</v>
      </c>
      <c r="J336" s="174">
        <v>0.68</v>
      </c>
      <c r="K336" s="174">
        <v>320</v>
      </c>
      <c r="L336" s="174">
        <v>5</v>
      </c>
      <c r="M336" s="178">
        <v>40683</v>
      </c>
      <c r="O336" s="179">
        <f>VLOOKUP(K336,'Cost Model '!$G$11:$J$200,4,FALSE)</f>
        <v>2.9499999999999997</v>
      </c>
      <c r="R336" s="162" t="str">
        <f t="shared" si="19"/>
        <v>YES</v>
      </c>
      <c r="S336" s="162" t="str">
        <f t="shared" si="16"/>
        <v>No</v>
      </c>
      <c r="T336" s="162" t="str">
        <f t="shared" si="17"/>
        <v>No</v>
      </c>
      <c r="U336" s="162" t="str">
        <f t="shared" si="18"/>
        <v>No</v>
      </c>
    </row>
    <row r="337" spans="1:21" ht="15">
      <c r="A337" s="174">
        <v>2787</v>
      </c>
      <c r="B337" s="174" t="s">
        <v>582</v>
      </c>
      <c r="C337" s="174" t="s">
        <v>340</v>
      </c>
      <c r="D337" s="174" t="s">
        <v>601</v>
      </c>
      <c r="E337" s="174" t="s">
        <v>271</v>
      </c>
      <c r="F337" s="174">
        <v>12</v>
      </c>
      <c r="G337" s="174">
        <v>1.47</v>
      </c>
      <c r="H337" s="174" t="b">
        <v>1</v>
      </c>
      <c r="I337" s="174" t="b">
        <v>1</v>
      </c>
      <c r="J337" s="174">
        <v>0.68</v>
      </c>
      <c r="K337" s="174">
        <v>320</v>
      </c>
      <c r="L337" s="174">
        <v>4</v>
      </c>
      <c r="M337" s="178">
        <v>40270</v>
      </c>
      <c r="O337" s="179">
        <f>VLOOKUP(K337,'Cost Model '!$G$11:$J$200,4,FALSE)</f>
        <v>2.9499999999999997</v>
      </c>
      <c r="R337" s="162" t="str">
        <f t="shared" si="19"/>
        <v>YES</v>
      </c>
      <c r="S337" s="162" t="str">
        <f t="shared" si="16"/>
        <v>No</v>
      </c>
      <c r="T337" s="162" t="str">
        <f t="shared" si="17"/>
        <v>No</v>
      </c>
      <c r="U337" s="162" t="str">
        <f t="shared" si="18"/>
        <v>No</v>
      </c>
    </row>
    <row r="338" spans="1:21" ht="15">
      <c r="A338" s="174">
        <v>4206</v>
      </c>
      <c r="B338" s="174" t="s">
        <v>582</v>
      </c>
      <c r="C338" s="174" t="s">
        <v>340</v>
      </c>
      <c r="D338" s="174" t="s">
        <v>602</v>
      </c>
      <c r="E338" s="174" t="s">
        <v>271</v>
      </c>
      <c r="F338" s="174">
        <v>12</v>
      </c>
      <c r="G338" s="174">
        <v>1.48</v>
      </c>
      <c r="H338" s="174" t="b">
        <v>1</v>
      </c>
      <c r="I338" s="174" t="b">
        <v>1</v>
      </c>
      <c r="J338" s="174">
        <v>0.68</v>
      </c>
      <c r="K338" s="174">
        <v>320</v>
      </c>
      <c r="L338" s="174">
        <v>5</v>
      </c>
      <c r="M338" s="178">
        <v>40683</v>
      </c>
      <c r="O338" s="179">
        <f>VLOOKUP(K338,'Cost Model '!$G$11:$J$200,4,FALSE)</f>
        <v>2.9499999999999997</v>
      </c>
      <c r="R338" s="162" t="str">
        <f t="shared" si="19"/>
        <v>YES</v>
      </c>
      <c r="S338" s="162" t="str">
        <f t="shared" si="16"/>
        <v>No</v>
      </c>
      <c r="T338" s="162" t="str">
        <f t="shared" si="17"/>
        <v>No</v>
      </c>
      <c r="U338" s="162" t="str">
        <f t="shared" si="18"/>
        <v>No</v>
      </c>
    </row>
    <row r="339" spans="1:21" ht="15">
      <c r="A339" s="174">
        <v>2788</v>
      </c>
      <c r="B339" s="174" t="s">
        <v>582</v>
      </c>
      <c r="C339" s="174" t="s">
        <v>340</v>
      </c>
      <c r="D339" s="174" t="s">
        <v>603</v>
      </c>
      <c r="E339" s="174" t="s">
        <v>271</v>
      </c>
      <c r="F339" s="174">
        <v>12</v>
      </c>
      <c r="G339" s="174">
        <v>1.47</v>
      </c>
      <c r="H339" s="174" t="b">
        <v>1</v>
      </c>
      <c r="I339" s="174" t="b">
        <v>1</v>
      </c>
      <c r="J339" s="174">
        <v>0.68</v>
      </c>
      <c r="K339" s="174">
        <v>320</v>
      </c>
      <c r="L339" s="174">
        <v>4</v>
      </c>
      <c r="M339" s="178">
        <v>40270</v>
      </c>
      <c r="O339" s="179">
        <f>VLOOKUP(K339,'Cost Model '!$G$11:$J$200,4,FALSE)</f>
        <v>2.9499999999999997</v>
      </c>
      <c r="R339" s="162" t="str">
        <f t="shared" si="19"/>
        <v>YES</v>
      </c>
      <c r="S339" s="162" t="str">
        <f t="shared" si="16"/>
        <v>No</v>
      </c>
      <c r="T339" s="162" t="str">
        <f t="shared" si="17"/>
        <v>No</v>
      </c>
      <c r="U339" s="162" t="str">
        <f t="shared" si="18"/>
        <v>No</v>
      </c>
    </row>
    <row r="340" spans="1:21" ht="15">
      <c r="A340" s="174">
        <v>4207</v>
      </c>
      <c r="B340" s="174" t="s">
        <v>582</v>
      </c>
      <c r="C340" s="174" t="s">
        <v>340</v>
      </c>
      <c r="D340" s="174" t="s">
        <v>604</v>
      </c>
      <c r="E340" s="174" t="s">
        <v>271</v>
      </c>
      <c r="F340" s="174">
        <v>12</v>
      </c>
      <c r="G340" s="174">
        <v>1.48</v>
      </c>
      <c r="H340" s="174" t="b">
        <v>1</v>
      </c>
      <c r="I340" s="174" t="b">
        <v>1</v>
      </c>
      <c r="J340" s="174">
        <v>0.68</v>
      </c>
      <c r="K340" s="174">
        <v>320</v>
      </c>
      <c r="L340" s="174">
        <v>5</v>
      </c>
      <c r="M340" s="178">
        <v>40683</v>
      </c>
      <c r="O340" s="179">
        <f>VLOOKUP(K340,'Cost Model '!$G$11:$J$200,4,FALSE)</f>
        <v>2.9499999999999997</v>
      </c>
      <c r="R340" s="162" t="str">
        <f t="shared" si="19"/>
        <v>YES</v>
      </c>
      <c r="S340" s="162" t="str">
        <f t="shared" si="16"/>
        <v>No</v>
      </c>
      <c r="T340" s="162" t="str">
        <f t="shared" si="17"/>
        <v>No</v>
      </c>
      <c r="U340" s="162" t="str">
        <f t="shared" si="18"/>
        <v>No</v>
      </c>
    </row>
    <row r="341" spans="1:21" ht="15">
      <c r="A341" s="174">
        <v>2789</v>
      </c>
      <c r="B341" s="174" t="s">
        <v>582</v>
      </c>
      <c r="C341" s="174" t="s">
        <v>340</v>
      </c>
      <c r="D341" s="174" t="s">
        <v>605</v>
      </c>
      <c r="E341" s="174" t="s">
        <v>271</v>
      </c>
      <c r="F341" s="174">
        <v>12</v>
      </c>
      <c r="G341" s="174">
        <v>1.47</v>
      </c>
      <c r="H341" s="174" t="b">
        <v>1</v>
      </c>
      <c r="I341" s="174" t="b">
        <v>1</v>
      </c>
      <c r="J341" s="174">
        <v>0.68</v>
      </c>
      <c r="K341" s="174">
        <v>320</v>
      </c>
      <c r="L341" s="174">
        <v>4</v>
      </c>
      <c r="M341" s="178">
        <v>40270</v>
      </c>
      <c r="O341" s="179">
        <f>VLOOKUP(K341,'Cost Model '!$G$11:$J$200,4,FALSE)</f>
        <v>2.9499999999999997</v>
      </c>
      <c r="R341" s="162" t="str">
        <f t="shared" si="19"/>
        <v>YES</v>
      </c>
      <c r="S341" s="162" t="str">
        <f t="shared" ref="S341:S383" si="20">IF(AND($K341&gt;=$S$7,$K341&lt;=$S$8,$L341&lt;=$S$9),"YES","No")</f>
        <v>No</v>
      </c>
      <c r="T341" s="162" t="str">
        <f t="shared" ref="T341:T383" si="21">IF(AND($K341&gt;=$T$7,$K341&lt;=$T$8,$L341&lt;=$T$9),"YES","No")</f>
        <v>No</v>
      </c>
      <c r="U341" s="162" t="str">
        <f t="shared" ref="U341:U383" si="22">IF(AND($K341&gt;=$U$7,$K341&lt;=$U$8,$L341&lt;=$U$9,J341&gt;=$U$11),"YES","No")</f>
        <v>No</v>
      </c>
    </row>
    <row r="342" spans="1:21" ht="15">
      <c r="A342" s="174">
        <v>4208</v>
      </c>
      <c r="B342" s="174" t="s">
        <v>582</v>
      </c>
      <c r="C342" s="174" t="s">
        <v>340</v>
      </c>
      <c r="D342" s="174" t="s">
        <v>606</v>
      </c>
      <c r="E342" s="174" t="s">
        <v>271</v>
      </c>
      <c r="F342" s="174">
        <v>12</v>
      </c>
      <c r="G342" s="174">
        <v>1.48</v>
      </c>
      <c r="H342" s="174" t="b">
        <v>1</v>
      </c>
      <c r="I342" s="174" t="b">
        <v>1</v>
      </c>
      <c r="J342" s="174">
        <v>0.68</v>
      </c>
      <c r="K342" s="174">
        <v>320</v>
      </c>
      <c r="L342" s="174">
        <v>5</v>
      </c>
      <c r="M342" s="178">
        <v>40683</v>
      </c>
      <c r="O342" s="179">
        <f>VLOOKUP(K342,'Cost Model '!$G$11:$J$200,4,FALSE)</f>
        <v>2.9499999999999997</v>
      </c>
      <c r="R342" s="162" t="str">
        <f t="shared" ref="R342:R383" si="23">IF(AND($K342&gt;=$R$7,$K342&lt;=$R$8,$L342&lt;=$R$9),"YES","No")</f>
        <v>YES</v>
      </c>
      <c r="S342" s="162" t="str">
        <f t="shared" si="20"/>
        <v>No</v>
      </c>
      <c r="T342" s="162" t="str">
        <f t="shared" si="21"/>
        <v>No</v>
      </c>
      <c r="U342" s="162" t="str">
        <f t="shared" si="22"/>
        <v>No</v>
      </c>
    </row>
    <row r="343" spans="1:21" ht="15">
      <c r="A343" s="174">
        <v>2790</v>
      </c>
      <c r="B343" s="174" t="s">
        <v>582</v>
      </c>
      <c r="C343" s="174" t="s">
        <v>340</v>
      </c>
      <c r="D343" s="174" t="s">
        <v>607</v>
      </c>
      <c r="E343" s="174" t="s">
        <v>271</v>
      </c>
      <c r="F343" s="174">
        <v>12</v>
      </c>
      <c r="G343" s="174">
        <v>1.47</v>
      </c>
      <c r="H343" s="174" t="b">
        <v>1</v>
      </c>
      <c r="I343" s="174" t="b">
        <v>1</v>
      </c>
      <c r="J343" s="174">
        <v>0.68</v>
      </c>
      <c r="K343" s="174">
        <v>320</v>
      </c>
      <c r="L343" s="174">
        <v>4</v>
      </c>
      <c r="M343" s="178">
        <v>40270</v>
      </c>
      <c r="O343" s="179">
        <f>VLOOKUP(K343,'Cost Model '!$G$11:$J$200,4,FALSE)</f>
        <v>2.9499999999999997</v>
      </c>
      <c r="R343" s="162" t="str">
        <f t="shared" si="23"/>
        <v>YES</v>
      </c>
      <c r="S343" s="162" t="str">
        <f t="shared" si="20"/>
        <v>No</v>
      </c>
      <c r="T343" s="162" t="str">
        <f t="shared" si="21"/>
        <v>No</v>
      </c>
      <c r="U343" s="162" t="str">
        <f t="shared" si="22"/>
        <v>No</v>
      </c>
    </row>
    <row r="344" spans="1:21" ht="15">
      <c r="A344" s="174">
        <v>2837</v>
      </c>
      <c r="B344" s="174" t="s">
        <v>582</v>
      </c>
      <c r="C344" s="174" t="s">
        <v>340</v>
      </c>
      <c r="D344" s="174" t="s">
        <v>608</v>
      </c>
      <c r="E344" s="174" t="s">
        <v>271</v>
      </c>
      <c r="F344" s="174">
        <v>12</v>
      </c>
      <c r="G344" s="174">
        <v>1.28</v>
      </c>
      <c r="H344" s="174" t="b">
        <v>1</v>
      </c>
      <c r="I344" s="174" t="b">
        <v>1</v>
      </c>
      <c r="J344" s="174">
        <v>0.78</v>
      </c>
      <c r="K344" s="174">
        <v>290</v>
      </c>
      <c r="L344" s="174">
        <v>4.2</v>
      </c>
      <c r="M344" s="178">
        <v>40357</v>
      </c>
      <c r="O344" s="179">
        <f>VLOOKUP(K344,'Cost Model '!$G$11:$J$200,4,FALSE)</f>
        <v>24.849999999999991</v>
      </c>
      <c r="R344" s="162" t="str">
        <f t="shared" si="23"/>
        <v>YES</v>
      </c>
      <c r="S344" s="162" t="str">
        <f t="shared" si="20"/>
        <v>YES</v>
      </c>
      <c r="T344" s="162" t="str">
        <f t="shared" si="21"/>
        <v>YES</v>
      </c>
      <c r="U344" s="162" t="str">
        <f t="shared" si="22"/>
        <v>YES</v>
      </c>
    </row>
    <row r="345" spans="1:21" ht="15">
      <c r="A345" s="174">
        <v>2838</v>
      </c>
      <c r="B345" s="174" t="s">
        <v>582</v>
      </c>
      <c r="C345" s="174" t="s">
        <v>340</v>
      </c>
      <c r="D345" s="174" t="s">
        <v>609</v>
      </c>
      <c r="E345" s="174" t="s">
        <v>271</v>
      </c>
      <c r="F345" s="174">
        <v>12</v>
      </c>
      <c r="G345" s="174">
        <v>1.28</v>
      </c>
      <c r="H345" s="174" t="b">
        <v>1</v>
      </c>
      <c r="I345" s="174" t="b">
        <v>1</v>
      </c>
      <c r="J345" s="174">
        <v>0.78</v>
      </c>
      <c r="K345" s="174">
        <v>290</v>
      </c>
      <c r="L345" s="174">
        <v>4.2</v>
      </c>
      <c r="M345" s="178">
        <v>40357</v>
      </c>
      <c r="O345" s="179">
        <f>VLOOKUP(K345,'Cost Model '!$G$11:$J$200,4,FALSE)</f>
        <v>24.849999999999991</v>
      </c>
      <c r="R345" s="162" t="str">
        <f t="shared" si="23"/>
        <v>YES</v>
      </c>
      <c r="S345" s="162" t="str">
        <f t="shared" si="20"/>
        <v>YES</v>
      </c>
      <c r="T345" s="162" t="str">
        <f t="shared" si="21"/>
        <v>YES</v>
      </c>
      <c r="U345" s="162" t="str">
        <f t="shared" si="22"/>
        <v>YES</v>
      </c>
    </row>
    <row r="346" spans="1:21" ht="15">
      <c r="A346" s="174">
        <v>2839</v>
      </c>
      <c r="B346" s="174" t="s">
        <v>582</v>
      </c>
      <c r="C346" s="174" t="s">
        <v>340</v>
      </c>
      <c r="D346" s="174" t="s">
        <v>610</v>
      </c>
      <c r="E346" s="174" t="s">
        <v>271</v>
      </c>
      <c r="F346" s="174">
        <v>12</v>
      </c>
      <c r="G346" s="174">
        <v>1.28</v>
      </c>
      <c r="H346" s="174" t="b">
        <v>1</v>
      </c>
      <c r="I346" s="174" t="b">
        <v>1</v>
      </c>
      <c r="J346" s="174">
        <v>0.78</v>
      </c>
      <c r="K346" s="174">
        <v>290</v>
      </c>
      <c r="L346" s="174">
        <v>4.2</v>
      </c>
      <c r="M346" s="178">
        <v>40357</v>
      </c>
      <c r="O346" s="179">
        <f>VLOOKUP(K346,'Cost Model '!$G$11:$J$200,4,FALSE)</f>
        <v>24.849999999999991</v>
      </c>
      <c r="R346" s="162" t="str">
        <f t="shared" si="23"/>
        <v>YES</v>
      </c>
      <c r="S346" s="162" t="str">
        <f t="shared" si="20"/>
        <v>YES</v>
      </c>
      <c r="T346" s="162" t="str">
        <f t="shared" si="21"/>
        <v>YES</v>
      </c>
      <c r="U346" s="162" t="str">
        <f t="shared" si="22"/>
        <v>YES</v>
      </c>
    </row>
    <row r="347" spans="1:21" ht="15">
      <c r="A347" s="174">
        <v>2840</v>
      </c>
      <c r="B347" s="174" t="s">
        <v>582</v>
      </c>
      <c r="C347" s="174" t="s">
        <v>340</v>
      </c>
      <c r="D347" s="174" t="s">
        <v>611</v>
      </c>
      <c r="E347" s="174" t="s">
        <v>271</v>
      </c>
      <c r="F347" s="174">
        <v>12</v>
      </c>
      <c r="G347" s="174">
        <v>1.28</v>
      </c>
      <c r="H347" s="174" t="b">
        <v>1</v>
      </c>
      <c r="I347" s="174" t="b">
        <v>1</v>
      </c>
      <c r="J347" s="174">
        <v>0.78</v>
      </c>
      <c r="K347" s="174">
        <v>290</v>
      </c>
      <c r="L347" s="174">
        <v>4.2</v>
      </c>
      <c r="M347" s="178">
        <v>40357</v>
      </c>
      <c r="O347" s="179">
        <f>VLOOKUP(K347,'Cost Model '!$G$11:$J$200,4,FALSE)</f>
        <v>24.849999999999991</v>
      </c>
      <c r="R347" s="162" t="str">
        <f t="shared" si="23"/>
        <v>YES</v>
      </c>
      <c r="S347" s="162" t="str">
        <f t="shared" si="20"/>
        <v>YES</v>
      </c>
      <c r="T347" s="162" t="str">
        <f t="shared" si="21"/>
        <v>YES</v>
      </c>
      <c r="U347" s="162" t="str">
        <f t="shared" si="22"/>
        <v>YES</v>
      </c>
    </row>
    <row r="348" spans="1:21" ht="15">
      <c r="A348" s="174">
        <v>2841</v>
      </c>
      <c r="B348" s="174" t="s">
        <v>582</v>
      </c>
      <c r="C348" s="174" t="s">
        <v>340</v>
      </c>
      <c r="D348" s="174" t="s">
        <v>612</v>
      </c>
      <c r="E348" s="174" t="s">
        <v>271</v>
      </c>
      <c r="F348" s="174">
        <v>12</v>
      </c>
      <c r="G348" s="174">
        <v>1.28</v>
      </c>
      <c r="H348" s="174" t="b">
        <v>1</v>
      </c>
      <c r="I348" s="174" t="b">
        <v>1</v>
      </c>
      <c r="J348" s="174">
        <v>0.78</v>
      </c>
      <c r="K348" s="174">
        <v>290</v>
      </c>
      <c r="L348" s="174">
        <v>4.2</v>
      </c>
      <c r="M348" s="178">
        <v>40357</v>
      </c>
      <c r="O348" s="179">
        <f>VLOOKUP(K348,'Cost Model '!$G$11:$J$200,4,FALSE)</f>
        <v>24.849999999999991</v>
      </c>
      <c r="R348" s="162" t="str">
        <f t="shared" si="23"/>
        <v>YES</v>
      </c>
      <c r="S348" s="162" t="str">
        <f t="shared" si="20"/>
        <v>YES</v>
      </c>
      <c r="T348" s="162" t="str">
        <f t="shared" si="21"/>
        <v>YES</v>
      </c>
      <c r="U348" s="162" t="str">
        <f t="shared" si="22"/>
        <v>YES</v>
      </c>
    </row>
    <row r="349" spans="1:21" ht="15">
      <c r="A349" s="174">
        <v>2842</v>
      </c>
      <c r="B349" s="174" t="s">
        <v>582</v>
      </c>
      <c r="C349" s="174" t="s">
        <v>340</v>
      </c>
      <c r="D349" s="174" t="s">
        <v>613</v>
      </c>
      <c r="E349" s="174" t="s">
        <v>271</v>
      </c>
      <c r="F349" s="174">
        <v>12</v>
      </c>
      <c r="G349" s="174">
        <v>1.28</v>
      </c>
      <c r="H349" s="174" t="b">
        <v>1</v>
      </c>
      <c r="I349" s="174" t="b">
        <v>1</v>
      </c>
      <c r="J349" s="174">
        <v>0.78</v>
      </c>
      <c r="K349" s="174">
        <v>290</v>
      </c>
      <c r="L349" s="174">
        <v>4.2</v>
      </c>
      <c r="M349" s="178">
        <v>40357</v>
      </c>
      <c r="O349" s="179">
        <f>VLOOKUP(K349,'Cost Model '!$G$11:$J$200,4,FALSE)</f>
        <v>24.849999999999991</v>
      </c>
      <c r="R349" s="162" t="str">
        <f t="shared" si="23"/>
        <v>YES</v>
      </c>
      <c r="S349" s="162" t="str">
        <f t="shared" si="20"/>
        <v>YES</v>
      </c>
      <c r="T349" s="162" t="str">
        <f t="shared" si="21"/>
        <v>YES</v>
      </c>
      <c r="U349" s="162" t="str">
        <f t="shared" si="22"/>
        <v>YES</v>
      </c>
    </row>
    <row r="350" spans="1:21" ht="15">
      <c r="A350" s="174">
        <v>3919</v>
      </c>
      <c r="B350" s="174" t="s">
        <v>582</v>
      </c>
      <c r="C350" s="174" t="s">
        <v>340</v>
      </c>
      <c r="D350" s="174" t="s">
        <v>614</v>
      </c>
      <c r="E350" s="174" t="s">
        <v>271</v>
      </c>
      <c r="F350" s="174">
        <v>12</v>
      </c>
      <c r="G350" s="174">
        <v>1.38</v>
      </c>
      <c r="H350" s="174" t="b">
        <v>1</v>
      </c>
      <c r="I350" s="174" t="b">
        <v>1</v>
      </c>
      <c r="J350" s="174">
        <v>0.72</v>
      </c>
      <c r="K350" s="174">
        <v>302</v>
      </c>
      <c r="L350" s="174">
        <v>5</v>
      </c>
      <c r="M350" s="178">
        <v>40640</v>
      </c>
      <c r="O350" s="179">
        <f>VLOOKUP(K350,'Cost Model '!$G$11:$J$200,4,FALSE)</f>
        <v>13.99</v>
      </c>
      <c r="R350" s="162" t="str">
        <f t="shared" si="23"/>
        <v>YES</v>
      </c>
      <c r="S350" s="162" t="str">
        <f t="shared" si="20"/>
        <v>YES</v>
      </c>
      <c r="T350" s="162" t="str">
        <f t="shared" si="21"/>
        <v>No</v>
      </c>
      <c r="U350" s="162" t="str">
        <f t="shared" si="22"/>
        <v>No</v>
      </c>
    </row>
    <row r="351" spans="1:21" ht="15">
      <c r="A351" s="174">
        <v>3920</v>
      </c>
      <c r="B351" s="174" t="s">
        <v>582</v>
      </c>
      <c r="C351" s="174" t="s">
        <v>340</v>
      </c>
      <c r="D351" s="174" t="s">
        <v>615</v>
      </c>
      <c r="E351" s="174" t="s">
        <v>271</v>
      </c>
      <c r="F351" s="174">
        <v>12</v>
      </c>
      <c r="G351" s="174">
        <v>1.38</v>
      </c>
      <c r="H351" s="174" t="b">
        <v>1</v>
      </c>
      <c r="I351" s="174" t="b">
        <v>1</v>
      </c>
      <c r="J351" s="174">
        <v>0.72</v>
      </c>
      <c r="K351" s="174">
        <v>302</v>
      </c>
      <c r="L351" s="174">
        <v>5</v>
      </c>
      <c r="M351" s="178">
        <v>40640</v>
      </c>
      <c r="O351" s="179">
        <f>VLOOKUP(K351,'Cost Model '!$G$11:$J$200,4,FALSE)</f>
        <v>13.99</v>
      </c>
      <c r="R351" s="162" t="str">
        <f t="shared" si="23"/>
        <v>YES</v>
      </c>
      <c r="S351" s="162" t="str">
        <f t="shared" si="20"/>
        <v>YES</v>
      </c>
      <c r="T351" s="162" t="str">
        <f t="shared" si="21"/>
        <v>No</v>
      </c>
      <c r="U351" s="162" t="str">
        <f t="shared" si="22"/>
        <v>No</v>
      </c>
    </row>
    <row r="352" spans="1:21" ht="15">
      <c r="A352" s="174">
        <v>3930</v>
      </c>
      <c r="B352" s="174" t="s">
        <v>582</v>
      </c>
      <c r="C352" s="174" t="s">
        <v>340</v>
      </c>
      <c r="D352" s="174" t="s">
        <v>616</v>
      </c>
      <c r="E352" s="174" t="s">
        <v>271</v>
      </c>
      <c r="F352" s="174">
        <v>12</v>
      </c>
      <c r="G352" s="174">
        <v>1.17</v>
      </c>
      <c r="H352" s="174" t="b">
        <v>1</v>
      </c>
      <c r="I352" s="174" t="b">
        <v>1</v>
      </c>
      <c r="J352" s="174">
        <v>0.85</v>
      </c>
      <c r="K352" s="174">
        <v>254</v>
      </c>
      <c r="L352" s="174">
        <v>2.9</v>
      </c>
      <c r="M352" s="178">
        <v>40640</v>
      </c>
      <c r="O352" s="179">
        <f>VLOOKUP(K352,'Cost Model '!$G$11:$J$200,4,FALSE)</f>
        <v>66.249999999999957</v>
      </c>
      <c r="R352" s="162" t="str">
        <f t="shared" si="23"/>
        <v>YES</v>
      </c>
      <c r="S352" s="162" t="str">
        <f t="shared" si="20"/>
        <v>YES</v>
      </c>
      <c r="T352" s="162" t="str">
        <f t="shared" si="21"/>
        <v>YES</v>
      </c>
      <c r="U352" s="162" t="str">
        <f t="shared" si="22"/>
        <v>YES</v>
      </c>
    </row>
    <row r="353" spans="1:21" ht="15">
      <c r="A353" s="174">
        <v>3931</v>
      </c>
      <c r="B353" s="174" t="s">
        <v>582</v>
      </c>
      <c r="C353" s="174" t="s">
        <v>340</v>
      </c>
      <c r="D353" s="174" t="s">
        <v>617</v>
      </c>
      <c r="E353" s="174" t="s">
        <v>271</v>
      </c>
      <c r="F353" s="174">
        <v>12</v>
      </c>
      <c r="G353" s="174">
        <v>1.17</v>
      </c>
      <c r="H353" s="174" t="b">
        <v>1</v>
      </c>
      <c r="I353" s="174" t="b">
        <v>1</v>
      </c>
      <c r="J353" s="174">
        <v>0.85</v>
      </c>
      <c r="K353" s="174">
        <v>254</v>
      </c>
      <c r="L353" s="174">
        <v>2.9</v>
      </c>
      <c r="M353" s="178">
        <v>40640</v>
      </c>
      <c r="O353" s="179">
        <f>VLOOKUP(K353,'Cost Model '!$G$11:$J$200,4,FALSE)</f>
        <v>66.249999999999957</v>
      </c>
      <c r="R353" s="162" t="str">
        <f t="shared" si="23"/>
        <v>YES</v>
      </c>
      <c r="S353" s="162" t="str">
        <f t="shared" si="20"/>
        <v>YES</v>
      </c>
      <c r="T353" s="162" t="str">
        <f t="shared" si="21"/>
        <v>YES</v>
      </c>
      <c r="U353" s="162" t="str">
        <f t="shared" si="22"/>
        <v>YES</v>
      </c>
    </row>
    <row r="354" spans="1:21" ht="15">
      <c r="A354" s="174">
        <v>4665</v>
      </c>
      <c r="B354" s="174" t="s">
        <v>582</v>
      </c>
      <c r="C354" s="174" t="s">
        <v>340</v>
      </c>
      <c r="D354" s="174" t="s">
        <v>618</v>
      </c>
      <c r="E354" s="174" t="s">
        <v>271</v>
      </c>
      <c r="F354" s="174">
        <v>12</v>
      </c>
      <c r="G354" s="174">
        <v>1.17</v>
      </c>
      <c r="H354" s="174" t="b">
        <v>1</v>
      </c>
      <c r="I354" s="174" t="b">
        <v>1</v>
      </c>
      <c r="J354" s="174">
        <v>0.85</v>
      </c>
      <c r="K354" s="174">
        <v>253</v>
      </c>
      <c r="L354" s="174">
        <v>2.9</v>
      </c>
      <c r="M354" s="178">
        <v>41086</v>
      </c>
      <c r="O354" s="179">
        <f>VLOOKUP(K354,'Cost Model '!$G$11:$J$200,4,FALSE)</f>
        <v>67.399999999999963</v>
      </c>
      <c r="R354" s="162" t="str">
        <f t="shared" si="23"/>
        <v>YES</v>
      </c>
      <c r="S354" s="162" t="str">
        <f t="shared" si="20"/>
        <v>YES</v>
      </c>
      <c r="T354" s="162" t="str">
        <f t="shared" si="21"/>
        <v>YES</v>
      </c>
      <c r="U354" s="162" t="str">
        <f t="shared" si="22"/>
        <v>YES</v>
      </c>
    </row>
    <row r="355" spans="1:21" ht="15">
      <c r="A355" s="174">
        <v>3464</v>
      </c>
      <c r="B355" s="174" t="s">
        <v>582</v>
      </c>
      <c r="C355" s="174" t="s">
        <v>619</v>
      </c>
      <c r="D355" s="174" t="s">
        <v>620</v>
      </c>
      <c r="E355" s="174" t="s">
        <v>271</v>
      </c>
      <c r="F355" s="174">
        <v>12</v>
      </c>
      <c r="G355" s="174">
        <v>1.33</v>
      </c>
      <c r="H355" s="174" t="b">
        <v>1</v>
      </c>
      <c r="I355" s="174" t="b">
        <v>1</v>
      </c>
      <c r="J355" s="174">
        <v>0.75</v>
      </c>
      <c r="K355" s="174">
        <v>288</v>
      </c>
      <c r="L355" s="174">
        <v>4</v>
      </c>
      <c r="M355" s="178">
        <v>40406</v>
      </c>
      <c r="O355" s="179">
        <f>VLOOKUP(K355,'Cost Model '!$G$11:$J$200,4,FALSE)</f>
        <v>27.149999999999988</v>
      </c>
      <c r="R355" s="162" t="str">
        <f t="shared" si="23"/>
        <v>YES</v>
      </c>
      <c r="S355" s="162" t="str">
        <f t="shared" si="20"/>
        <v>YES</v>
      </c>
      <c r="T355" s="162" t="str">
        <f t="shared" si="21"/>
        <v>YES</v>
      </c>
      <c r="U355" s="162" t="str">
        <f t="shared" si="22"/>
        <v>YES</v>
      </c>
    </row>
    <row r="356" spans="1:21" ht="15">
      <c r="A356" s="174">
        <v>3463</v>
      </c>
      <c r="B356" s="174" t="s">
        <v>582</v>
      </c>
      <c r="C356" s="174" t="s">
        <v>619</v>
      </c>
      <c r="D356" s="174" t="s">
        <v>621</v>
      </c>
      <c r="E356" s="174" t="s">
        <v>271</v>
      </c>
      <c r="F356" s="174">
        <v>12</v>
      </c>
      <c r="G356" s="174">
        <v>1.33</v>
      </c>
      <c r="H356" s="174" t="b">
        <v>1</v>
      </c>
      <c r="I356" s="174" t="b">
        <v>1</v>
      </c>
      <c r="J356" s="174">
        <v>0.75</v>
      </c>
      <c r="K356" s="174">
        <v>288</v>
      </c>
      <c r="L356" s="174">
        <v>4</v>
      </c>
      <c r="M356" s="178">
        <v>40406</v>
      </c>
      <c r="O356" s="179">
        <f>VLOOKUP(K356,'Cost Model '!$G$11:$J$200,4,FALSE)</f>
        <v>27.149999999999988</v>
      </c>
      <c r="R356" s="162" t="str">
        <f t="shared" si="23"/>
        <v>YES</v>
      </c>
      <c r="S356" s="162" t="str">
        <f t="shared" si="20"/>
        <v>YES</v>
      </c>
      <c r="T356" s="162" t="str">
        <f t="shared" si="21"/>
        <v>YES</v>
      </c>
      <c r="U356" s="162" t="str">
        <f t="shared" si="22"/>
        <v>YES</v>
      </c>
    </row>
    <row r="357" spans="1:21" ht="15">
      <c r="A357" s="174">
        <v>3470</v>
      </c>
      <c r="B357" s="174" t="s">
        <v>582</v>
      </c>
      <c r="C357" s="174" t="s">
        <v>619</v>
      </c>
      <c r="D357" s="174" t="s">
        <v>622</v>
      </c>
      <c r="E357" s="174" t="s">
        <v>271</v>
      </c>
      <c r="F357" s="174">
        <v>12</v>
      </c>
      <c r="G357" s="174">
        <v>1.28</v>
      </c>
      <c r="H357" s="174" t="b">
        <v>1</v>
      </c>
      <c r="I357" s="174" t="b">
        <v>1</v>
      </c>
      <c r="J357" s="174">
        <v>0.78</v>
      </c>
      <c r="K357" s="174">
        <v>279</v>
      </c>
      <c r="L357" s="174">
        <v>4.0999999999999996</v>
      </c>
      <c r="M357" s="178">
        <v>40406</v>
      </c>
      <c r="O357" s="179">
        <f>VLOOKUP(K357,'Cost Model '!$G$11:$J$200,4,FALSE)</f>
        <v>37.499999999999979</v>
      </c>
      <c r="R357" s="162" t="str">
        <f t="shared" si="23"/>
        <v>YES</v>
      </c>
      <c r="S357" s="162" t="str">
        <f t="shared" si="20"/>
        <v>YES</v>
      </c>
      <c r="T357" s="162" t="str">
        <f t="shared" si="21"/>
        <v>YES</v>
      </c>
      <c r="U357" s="162" t="str">
        <f t="shared" si="22"/>
        <v>YES</v>
      </c>
    </row>
    <row r="358" spans="1:21" ht="15">
      <c r="A358" s="174">
        <v>3469</v>
      </c>
      <c r="B358" s="174" t="s">
        <v>582</v>
      </c>
      <c r="C358" s="174" t="s">
        <v>619</v>
      </c>
      <c r="D358" s="174" t="s">
        <v>623</v>
      </c>
      <c r="E358" s="174" t="s">
        <v>271</v>
      </c>
      <c r="F358" s="174">
        <v>12</v>
      </c>
      <c r="G358" s="174">
        <v>1.28</v>
      </c>
      <c r="H358" s="174" t="b">
        <v>1</v>
      </c>
      <c r="I358" s="174" t="b">
        <v>1</v>
      </c>
      <c r="J358" s="174">
        <v>0.78</v>
      </c>
      <c r="K358" s="174">
        <v>279</v>
      </c>
      <c r="L358" s="174">
        <v>4.0999999999999996</v>
      </c>
      <c r="M358" s="178">
        <v>40406</v>
      </c>
      <c r="O358" s="179">
        <f>VLOOKUP(K358,'Cost Model '!$G$11:$J$200,4,FALSE)</f>
        <v>37.499999999999979</v>
      </c>
      <c r="R358" s="162" t="str">
        <f t="shared" si="23"/>
        <v>YES</v>
      </c>
      <c r="S358" s="162" t="str">
        <f t="shared" si="20"/>
        <v>YES</v>
      </c>
      <c r="T358" s="162" t="str">
        <f t="shared" si="21"/>
        <v>YES</v>
      </c>
      <c r="U358" s="162" t="str">
        <f t="shared" si="22"/>
        <v>YES</v>
      </c>
    </row>
    <row r="359" spans="1:21" ht="15">
      <c r="A359" s="174">
        <v>3471</v>
      </c>
      <c r="B359" s="174" t="s">
        <v>582</v>
      </c>
      <c r="C359" s="174" t="s">
        <v>619</v>
      </c>
      <c r="D359" s="174" t="s">
        <v>624</v>
      </c>
      <c r="E359" s="174" t="s">
        <v>271</v>
      </c>
      <c r="F359" s="174">
        <v>12</v>
      </c>
      <c r="G359" s="174">
        <v>1.28</v>
      </c>
      <c r="H359" s="174" t="b">
        <v>1</v>
      </c>
      <c r="I359" s="174" t="b">
        <v>1</v>
      </c>
      <c r="J359" s="174">
        <v>0.78</v>
      </c>
      <c r="K359" s="174">
        <v>279</v>
      </c>
      <c r="L359" s="174">
        <v>4.0999999999999996</v>
      </c>
      <c r="M359" s="178">
        <v>40406</v>
      </c>
      <c r="O359" s="179">
        <f>VLOOKUP(K359,'Cost Model '!$G$11:$J$200,4,FALSE)</f>
        <v>37.499999999999979</v>
      </c>
      <c r="R359" s="162" t="str">
        <f t="shared" si="23"/>
        <v>YES</v>
      </c>
      <c r="S359" s="162" t="str">
        <f t="shared" si="20"/>
        <v>YES</v>
      </c>
      <c r="T359" s="162" t="str">
        <f t="shared" si="21"/>
        <v>YES</v>
      </c>
      <c r="U359" s="162" t="str">
        <f t="shared" si="22"/>
        <v>YES</v>
      </c>
    </row>
    <row r="360" spans="1:21" ht="15">
      <c r="A360" s="174">
        <v>3923</v>
      </c>
      <c r="B360" s="174" t="s">
        <v>582</v>
      </c>
      <c r="C360" s="174" t="s">
        <v>619</v>
      </c>
      <c r="D360" s="174" t="s">
        <v>625</v>
      </c>
      <c r="E360" s="174" t="s">
        <v>271</v>
      </c>
      <c r="F360" s="174">
        <v>12</v>
      </c>
      <c r="G360" s="174">
        <v>1.28</v>
      </c>
      <c r="H360" s="174" t="b">
        <v>1</v>
      </c>
      <c r="I360" s="174" t="b">
        <v>1</v>
      </c>
      <c r="J360" s="174">
        <v>0.78</v>
      </c>
      <c r="K360" s="174">
        <v>279</v>
      </c>
      <c r="L360" s="174">
        <v>4.0999999999999996</v>
      </c>
      <c r="M360" s="178">
        <v>40640</v>
      </c>
      <c r="O360" s="179">
        <f>VLOOKUP(K360,'Cost Model '!$G$11:$J$200,4,FALSE)</f>
        <v>37.499999999999979</v>
      </c>
      <c r="R360" s="162" t="str">
        <f t="shared" si="23"/>
        <v>YES</v>
      </c>
      <c r="S360" s="162" t="str">
        <f t="shared" si="20"/>
        <v>YES</v>
      </c>
      <c r="T360" s="162" t="str">
        <f t="shared" si="21"/>
        <v>YES</v>
      </c>
      <c r="U360" s="162" t="str">
        <f t="shared" si="22"/>
        <v>YES</v>
      </c>
    </row>
    <row r="361" spans="1:21" ht="15">
      <c r="A361" s="174">
        <v>2738</v>
      </c>
      <c r="B361" s="174" t="s">
        <v>582</v>
      </c>
      <c r="C361" s="174" t="s">
        <v>619</v>
      </c>
      <c r="D361" s="174" t="s">
        <v>626</v>
      </c>
      <c r="E361" s="174" t="s">
        <v>271</v>
      </c>
      <c r="F361" s="174">
        <v>12</v>
      </c>
      <c r="G361" s="174">
        <v>1.39</v>
      </c>
      <c r="H361" s="174" t="b">
        <v>1</v>
      </c>
      <c r="I361" s="174" t="b">
        <v>1</v>
      </c>
      <c r="J361" s="174">
        <v>0.72</v>
      </c>
      <c r="K361" s="174">
        <v>302</v>
      </c>
      <c r="L361" s="174">
        <v>4.3</v>
      </c>
      <c r="M361" s="178">
        <v>40247</v>
      </c>
      <c r="O361" s="179">
        <f>VLOOKUP(K361,'Cost Model '!$G$11:$J$200,4,FALSE)</f>
        <v>13.99</v>
      </c>
      <c r="R361" s="162" t="str">
        <f t="shared" si="23"/>
        <v>YES</v>
      </c>
      <c r="S361" s="162" t="str">
        <f t="shared" si="20"/>
        <v>YES</v>
      </c>
      <c r="T361" s="162" t="str">
        <f t="shared" si="21"/>
        <v>No</v>
      </c>
      <c r="U361" s="162" t="str">
        <f t="shared" si="22"/>
        <v>No</v>
      </c>
    </row>
    <row r="362" spans="1:21" ht="15">
      <c r="A362" s="174">
        <v>3472</v>
      </c>
      <c r="B362" s="174" t="s">
        <v>582</v>
      </c>
      <c r="C362" s="174" t="s">
        <v>619</v>
      </c>
      <c r="D362" s="174" t="s">
        <v>627</v>
      </c>
      <c r="E362" s="174" t="s">
        <v>271</v>
      </c>
      <c r="F362" s="174">
        <v>12</v>
      </c>
      <c r="G362" s="174">
        <v>1.28</v>
      </c>
      <c r="H362" s="174" t="b">
        <v>1</v>
      </c>
      <c r="I362" s="174" t="b">
        <v>1</v>
      </c>
      <c r="J362" s="174">
        <v>0.78</v>
      </c>
      <c r="K362" s="174">
        <v>279</v>
      </c>
      <c r="L362" s="174">
        <v>4.0999999999999996</v>
      </c>
      <c r="M362" s="178">
        <v>40406</v>
      </c>
      <c r="O362" s="179">
        <f>VLOOKUP(K362,'Cost Model '!$G$11:$J$200,4,FALSE)</f>
        <v>37.499999999999979</v>
      </c>
      <c r="R362" s="162" t="str">
        <f t="shared" si="23"/>
        <v>YES</v>
      </c>
      <c r="S362" s="162" t="str">
        <f t="shared" si="20"/>
        <v>YES</v>
      </c>
      <c r="T362" s="162" t="str">
        <f t="shared" si="21"/>
        <v>YES</v>
      </c>
      <c r="U362" s="162" t="str">
        <f t="shared" si="22"/>
        <v>YES</v>
      </c>
    </row>
    <row r="363" spans="1:21" ht="15">
      <c r="A363" s="174">
        <v>3473</v>
      </c>
      <c r="B363" s="174" t="s">
        <v>582</v>
      </c>
      <c r="C363" s="174" t="s">
        <v>619</v>
      </c>
      <c r="D363" s="174" t="s">
        <v>628</v>
      </c>
      <c r="E363" s="174" t="s">
        <v>271</v>
      </c>
      <c r="F363" s="174">
        <v>12</v>
      </c>
      <c r="G363" s="174">
        <v>1.28</v>
      </c>
      <c r="H363" s="174" t="b">
        <v>1</v>
      </c>
      <c r="I363" s="174" t="b">
        <v>1</v>
      </c>
      <c r="J363" s="174">
        <v>0.78</v>
      </c>
      <c r="K363" s="174">
        <v>279</v>
      </c>
      <c r="L363" s="174">
        <v>4.0999999999999996</v>
      </c>
      <c r="M363" s="178">
        <v>40406</v>
      </c>
      <c r="O363" s="179">
        <f>VLOOKUP(K363,'Cost Model '!$G$11:$J$200,4,FALSE)</f>
        <v>37.499999999999979</v>
      </c>
      <c r="R363" s="162" t="str">
        <f t="shared" si="23"/>
        <v>YES</v>
      </c>
      <c r="S363" s="162" t="str">
        <f t="shared" si="20"/>
        <v>YES</v>
      </c>
      <c r="T363" s="162" t="str">
        <f t="shared" si="21"/>
        <v>YES</v>
      </c>
      <c r="U363" s="162" t="str">
        <f t="shared" si="22"/>
        <v>YES</v>
      </c>
    </row>
    <row r="364" spans="1:21" ht="15">
      <c r="A364" s="174">
        <v>3474</v>
      </c>
      <c r="B364" s="174" t="s">
        <v>582</v>
      </c>
      <c r="C364" s="174" t="s">
        <v>619</v>
      </c>
      <c r="D364" s="174" t="s">
        <v>629</v>
      </c>
      <c r="E364" s="174" t="s">
        <v>271</v>
      </c>
      <c r="F364" s="174">
        <v>12</v>
      </c>
      <c r="G364" s="174">
        <v>1.28</v>
      </c>
      <c r="H364" s="174" t="b">
        <v>1</v>
      </c>
      <c r="I364" s="174" t="b">
        <v>1</v>
      </c>
      <c r="J364" s="174">
        <v>0.78</v>
      </c>
      <c r="K364" s="174">
        <v>279</v>
      </c>
      <c r="L364" s="174">
        <v>4.0999999999999996</v>
      </c>
      <c r="M364" s="178">
        <v>40406</v>
      </c>
      <c r="O364" s="179">
        <f>VLOOKUP(K364,'Cost Model '!$G$11:$J$200,4,FALSE)</f>
        <v>37.499999999999979</v>
      </c>
      <c r="R364" s="162" t="str">
        <f t="shared" si="23"/>
        <v>YES</v>
      </c>
      <c r="S364" s="162" t="str">
        <f t="shared" si="20"/>
        <v>YES</v>
      </c>
      <c r="T364" s="162" t="str">
        <f t="shared" si="21"/>
        <v>YES</v>
      </c>
      <c r="U364" s="162" t="str">
        <f t="shared" si="22"/>
        <v>YES</v>
      </c>
    </row>
    <row r="365" spans="1:21" ht="15">
      <c r="A365" s="174">
        <v>3921</v>
      </c>
      <c r="B365" s="174" t="s">
        <v>582</v>
      </c>
      <c r="C365" s="174" t="s">
        <v>619</v>
      </c>
      <c r="D365" s="174" t="s">
        <v>630</v>
      </c>
      <c r="E365" s="174" t="s">
        <v>271</v>
      </c>
      <c r="F365" s="174">
        <v>12</v>
      </c>
      <c r="G365" s="174">
        <v>1.39</v>
      </c>
      <c r="H365" s="174" t="b">
        <v>1</v>
      </c>
      <c r="I365" s="174" t="b">
        <v>1</v>
      </c>
      <c r="J365" s="174">
        <v>0.72</v>
      </c>
      <c r="K365" s="174">
        <v>302</v>
      </c>
      <c r="L365" s="174">
        <v>5</v>
      </c>
      <c r="M365" s="178">
        <v>40640</v>
      </c>
      <c r="O365" s="179">
        <f>VLOOKUP(K365,'Cost Model '!$G$11:$J$200,4,FALSE)</f>
        <v>13.99</v>
      </c>
      <c r="R365" s="162" t="str">
        <f t="shared" si="23"/>
        <v>YES</v>
      </c>
      <c r="S365" s="162" t="str">
        <f t="shared" si="20"/>
        <v>YES</v>
      </c>
      <c r="T365" s="162" t="str">
        <f t="shared" si="21"/>
        <v>No</v>
      </c>
      <c r="U365" s="162" t="str">
        <f t="shared" si="22"/>
        <v>No</v>
      </c>
    </row>
    <row r="366" spans="1:21" ht="15">
      <c r="A366" s="174">
        <v>3475</v>
      </c>
      <c r="B366" s="174" t="s">
        <v>582</v>
      </c>
      <c r="C366" s="174" t="s">
        <v>619</v>
      </c>
      <c r="D366" s="174" t="s">
        <v>631</v>
      </c>
      <c r="E366" s="174" t="s">
        <v>271</v>
      </c>
      <c r="F366" s="174">
        <v>12</v>
      </c>
      <c r="G366" s="174">
        <v>1.28</v>
      </c>
      <c r="H366" s="174" t="b">
        <v>1</v>
      </c>
      <c r="I366" s="174" t="b">
        <v>1</v>
      </c>
      <c r="J366" s="174">
        <v>0.78</v>
      </c>
      <c r="K366" s="174">
        <v>279</v>
      </c>
      <c r="L366" s="174">
        <v>4.0999999999999996</v>
      </c>
      <c r="M366" s="178">
        <v>40406</v>
      </c>
      <c r="O366" s="179">
        <f>VLOOKUP(K366,'Cost Model '!$G$11:$J$200,4,FALSE)</f>
        <v>37.499999999999979</v>
      </c>
      <c r="R366" s="162" t="str">
        <f t="shared" si="23"/>
        <v>YES</v>
      </c>
      <c r="S366" s="162" t="str">
        <f t="shared" si="20"/>
        <v>YES</v>
      </c>
      <c r="T366" s="162" t="str">
        <f t="shared" si="21"/>
        <v>YES</v>
      </c>
      <c r="U366" s="162" t="str">
        <f t="shared" si="22"/>
        <v>YES</v>
      </c>
    </row>
    <row r="367" spans="1:21" ht="15">
      <c r="A367" s="174">
        <v>3803</v>
      </c>
      <c r="B367" s="174" t="s">
        <v>582</v>
      </c>
      <c r="C367" s="174" t="s">
        <v>619</v>
      </c>
      <c r="D367" s="174" t="s">
        <v>632</v>
      </c>
      <c r="E367" s="174" t="s">
        <v>271</v>
      </c>
      <c r="F367" s="174">
        <v>12</v>
      </c>
      <c r="G367" s="174">
        <v>1.28</v>
      </c>
      <c r="H367" s="174" t="b">
        <v>1</v>
      </c>
      <c r="I367" s="174" t="b">
        <v>1</v>
      </c>
      <c r="J367" s="174">
        <v>0.78</v>
      </c>
      <c r="K367" s="174">
        <v>279</v>
      </c>
      <c r="L367" s="174">
        <v>4.2</v>
      </c>
      <c r="M367" s="178">
        <v>40574</v>
      </c>
      <c r="O367" s="179">
        <f>VLOOKUP(K367,'Cost Model '!$G$11:$J$200,4,FALSE)</f>
        <v>37.499999999999979</v>
      </c>
      <c r="R367" s="162" t="str">
        <f t="shared" si="23"/>
        <v>YES</v>
      </c>
      <c r="S367" s="162" t="str">
        <f t="shared" si="20"/>
        <v>YES</v>
      </c>
      <c r="T367" s="162" t="str">
        <f t="shared" si="21"/>
        <v>YES</v>
      </c>
      <c r="U367" s="162" t="str">
        <f t="shared" si="22"/>
        <v>YES</v>
      </c>
    </row>
    <row r="368" spans="1:21" ht="15">
      <c r="A368" s="174">
        <v>3466</v>
      </c>
      <c r="B368" s="174" t="s">
        <v>582</v>
      </c>
      <c r="C368" s="174" t="s">
        <v>619</v>
      </c>
      <c r="D368" s="174" t="s">
        <v>633</v>
      </c>
      <c r="E368" s="174" t="s">
        <v>271</v>
      </c>
      <c r="F368" s="174">
        <v>12</v>
      </c>
      <c r="G368" s="174">
        <v>1.33</v>
      </c>
      <c r="H368" s="174" t="b">
        <v>1</v>
      </c>
      <c r="I368" s="174" t="b">
        <v>1</v>
      </c>
      <c r="J368" s="174">
        <v>0.75</v>
      </c>
      <c r="K368" s="174">
        <v>288</v>
      </c>
      <c r="L368" s="174">
        <v>4</v>
      </c>
      <c r="M368" s="178">
        <v>40406</v>
      </c>
      <c r="O368" s="179">
        <f>VLOOKUP(K368,'Cost Model '!$G$11:$J$200,4,FALSE)</f>
        <v>27.149999999999988</v>
      </c>
      <c r="R368" s="162" t="str">
        <f t="shared" si="23"/>
        <v>YES</v>
      </c>
      <c r="S368" s="162" t="str">
        <f t="shared" si="20"/>
        <v>YES</v>
      </c>
      <c r="T368" s="162" t="str">
        <f t="shared" si="21"/>
        <v>YES</v>
      </c>
      <c r="U368" s="162" t="str">
        <f t="shared" si="22"/>
        <v>YES</v>
      </c>
    </row>
    <row r="369" spans="1:21" ht="15">
      <c r="A369" s="174">
        <v>3467</v>
      </c>
      <c r="B369" s="174" t="s">
        <v>582</v>
      </c>
      <c r="C369" s="174" t="s">
        <v>619</v>
      </c>
      <c r="D369" s="174" t="s">
        <v>634</v>
      </c>
      <c r="E369" s="174" t="s">
        <v>271</v>
      </c>
      <c r="F369" s="174">
        <v>12</v>
      </c>
      <c r="G369" s="174">
        <v>1.33</v>
      </c>
      <c r="H369" s="174" t="b">
        <v>1</v>
      </c>
      <c r="I369" s="174" t="b">
        <v>1</v>
      </c>
      <c r="J369" s="174">
        <v>0.75</v>
      </c>
      <c r="K369" s="174">
        <v>288</v>
      </c>
      <c r="L369" s="174">
        <v>4</v>
      </c>
      <c r="M369" s="178">
        <v>40406</v>
      </c>
      <c r="O369" s="179">
        <f>VLOOKUP(K369,'Cost Model '!$G$11:$J$200,4,FALSE)</f>
        <v>27.149999999999988</v>
      </c>
      <c r="R369" s="162" t="str">
        <f t="shared" si="23"/>
        <v>YES</v>
      </c>
      <c r="S369" s="162" t="str">
        <f t="shared" si="20"/>
        <v>YES</v>
      </c>
      <c r="T369" s="162" t="str">
        <f t="shared" si="21"/>
        <v>YES</v>
      </c>
      <c r="U369" s="162" t="str">
        <f t="shared" si="22"/>
        <v>YES</v>
      </c>
    </row>
    <row r="370" spans="1:21" ht="15">
      <c r="A370" s="174">
        <v>3465</v>
      </c>
      <c r="B370" s="174" t="s">
        <v>582</v>
      </c>
      <c r="C370" s="174" t="s">
        <v>619</v>
      </c>
      <c r="D370" s="174" t="s">
        <v>635</v>
      </c>
      <c r="E370" s="174" t="s">
        <v>271</v>
      </c>
      <c r="F370" s="174">
        <v>12</v>
      </c>
      <c r="G370" s="174">
        <v>1.33</v>
      </c>
      <c r="H370" s="174" t="b">
        <v>1</v>
      </c>
      <c r="I370" s="174" t="b">
        <v>1</v>
      </c>
      <c r="J370" s="174">
        <v>0.75</v>
      </c>
      <c r="K370" s="174">
        <v>288</v>
      </c>
      <c r="L370" s="174">
        <v>4</v>
      </c>
      <c r="M370" s="178">
        <v>40406</v>
      </c>
      <c r="O370" s="179">
        <f>VLOOKUP(K370,'Cost Model '!$G$11:$J$200,4,FALSE)</f>
        <v>27.149999999999988</v>
      </c>
      <c r="R370" s="162" t="str">
        <f t="shared" si="23"/>
        <v>YES</v>
      </c>
      <c r="S370" s="162" t="str">
        <f t="shared" si="20"/>
        <v>YES</v>
      </c>
      <c r="T370" s="162" t="str">
        <f t="shared" si="21"/>
        <v>YES</v>
      </c>
      <c r="U370" s="162" t="str">
        <f t="shared" si="22"/>
        <v>YES</v>
      </c>
    </row>
    <row r="371" spans="1:21" ht="15">
      <c r="A371" s="174">
        <v>3922</v>
      </c>
      <c r="B371" s="174" t="s">
        <v>582</v>
      </c>
      <c r="C371" s="174" t="s">
        <v>619</v>
      </c>
      <c r="D371" s="174" t="s">
        <v>636</v>
      </c>
      <c r="E371" s="174" t="s">
        <v>271</v>
      </c>
      <c r="F371" s="174">
        <v>12</v>
      </c>
      <c r="G371" s="174">
        <v>1.39</v>
      </c>
      <c r="H371" s="174" t="b">
        <v>1</v>
      </c>
      <c r="I371" s="174" t="b">
        <v>1</v>
      </c>
      <c r="J371" s="174">
        <v>0.72</v>
      </c>
      <c r="K371" s="174">
        <v>302</v>
      </c>
      <c r="L371" s="174">
        <v>4.2</v>
      </c>
      <c r="M371" s="178">
        <v>40640</v>
      </c>
      <c r="O371" s="179">
        <f>VLOOKUP(K371,'Cost Model '!$G$11:$J$200,4,FALSE)</f>
        <v>13.99</v>
      </c>
      <c r="R371" s="162" t="str">
        <f t="shared" si="23"/>
        <v>YES</v>
      </c>
      <c r="S371" s="162" t="str">
        <f t="shared" si="20"/>
        <v>YES</v>
      </c>
      <c r="T371" s="162" t="str">
        <f t="shared" si="21"/>
        <v>No</v>
      </c>
      <c r="U371" s="162" t="str">
        <f t="shared" si="22"/>
        <v>No</v>
      </c>
    </row>
    <row r="372" spans="1:21" ht="15">
      <c r="A372" s="174">
        <v>3468</v>
      </c>
      <c r="B372" s="174" t="s">
        <v>582</v>
      </c>
      <c r="C372" s="174" t="s">
        <v>619</v>
      </c>
      <c r="D372" s="174" t="s">
        <v>637</v>
      </c>
      <c r="E372" s="174" t="s">
        <v>271</v>
      </c>
      <c r="F372" s="174">
        <v>12</v>
      </c>
      <c r="G372" s="174">
        <v>1.33</v>
      </c>
      <c r="H372" s="174" t="b">
        <v>1</v>
      </c>
      <c r="I372" s="174" t="b">
        <v>1</v>
      </c>
      <c r="J372" s="174">
        <v>0.75</v>
      </c>
      <c r="K372" s="174">
        <v>288</v>
      </c>
      <c r="L372" s="174">
        <v>4</v>
      </c>
      <c r="M372" s="178">
        <v>40406</v>
      </c>
      <c r="O372" s="179">
        <f>VLOOKUP(K372,'Cost Model '!$G$11:$J$200,4,FALSE)</f>
        <v>27.149999999999988</v>
      </c>
      <c r="R372" s="162" t="str">
        <f t="shared" si="23"/>
        <v>YES</v>
      </c>
      <c r="S372" s="162" t="str">
        <f t="shared" si="20"/>
        <v>YES</v>
      </c>
      <c r="T372" s="162" t="str">
        <f t="shared" si="21"/>
        <v>YES</v>
      </c>
      <c r="U372" s="162" t="str">
        <f t="shared" si="22"/>
        <v>YES</v>
      </c>
    </row>
    <row r="373" spans="1:21" ht="15">
      <c r="A373" s="174">
        <v>2832</v>
      </c>
      <c r="B373" s="174" t="s">
        <v>582</v>
      </c>
      <c r="C373" s="174" t="s">
        <v>638</v>
      </c>
      <c r="D373" s="174" t="s">
        <v>639</v>
      </c>
      <c r="E373" s="174" t="s">
        <v>271</v>
      </c>
      <c r="F373" s="174">
        <v>12</v>
      </c>
      <c r="G373" s="174">
        <v>1.39</v>
      </c>
      <c r="H373" s="174" t="b">
        <v>1</v>
      </c>
      <c r="I373" s="174" t="b">
        <v>1</v>
      </c>
      <c r="J373" s="174">
        <v>0.72</v>
      </c>
      <c r="K373" s="174">
        <v>300</v>
      </c>
      <c r="L373" s="174">
        <v>4.0999999999999996</v>
      </c>
      <c r="M373" s="178">
        <v>40345</v>
      </c>
      <c r="O373" s="179">
        <f>VLOOKUP(K373,'Cost Model '!$G$11:$J$200,4,FALSE)</f>
        <v>15.31</v>
      </c>
      <c r="R373" s="162" t="str">
        <f t="shared" si="23"/>
        <v>YES</v>
      </c>
      <c r="S373" s="162" t="str">
        <f t="shared" si="20"/>
        <v>YES</v>
      </c>
      <c r="T373" s="162" t="str">
        <f t="shared" si="21"/>
        <v>No</v>
      </c>
      <c r="U373" s="162" t="str">
        <f t="shared" si="22"/>
        <v>No</v>
      </c>
    </row>
    <row r="374" spans="1:21" ht="15">
      <c r="A374" s="174">
        <v>3802</v>
      </c>
      <c r="B374" s="174" t="s">
        <v>582</v>
      </c>
      <c r="C374" s="174" t="s">
        <v>640</v>
      </c>
      <c r="D374" s="174" t="s">
        <v>641</v>
      </c>
      <c r="E374" s="174" t="s">
        <v>271</v>
      </c>
      <c r="F374" s="174">
        <v>12</v>
      </c>
      <c r="G374" s="174">
        <v>1.34</v>
      </c>
      <c r="H374" s="174" t="b">
        <v>1</v>
      </c>
      <c r="I374" s="174" t="b">
        <v>1</v>
      </c>
      <c r="J374" s="174">
        <v>0.75</v>
      </c>
      <c r="K374" s="174">
        <v>291</v>
      </c>
      <c r="L374" s="174">
        <v>4.2</v>
      </c>
      <c r="M374" s="178">
        <v>40574</v>
      </c>
      <c r="O374" s="179">
        <f>VLOOKUP(K374,'Cost Model '!$G$11:$J$200,4,FALSE)</f>
        <v>23.699999999999992</v>
      </c>
      <c r="R374" s="162" t="str">
        <f t="shared" si="23"/>
        <v>YES</v>
      </c>
      <c r="S374" s="162" t="str">
        <f t="shared" si="20"/>
        <v>YES</v>
      </c>
      <c r="T374" s="162" t="str">
        <f t="shared" si="21"/>
        <v>YES</v>
      </c>
      <c r="U374" s="162" t="str">
        <f t="shared" si="22"/>
        <v>YES</v>
      </c>
    </row>
    <row r="375" spans="1:21" ht="15">
      <c r="A375" s="174">
        <v>2739</v>
      </c>
      <c r="B375" s="174" t="s">
        <v>582</v>
      </c>
      <c r="C375" s="174" t="s">
        <v>640</v>
      </c>
      <c r="D375" s="174" t="s">
        <v>642</v>
      </c>
      <c r="E375" s="174" t="s">
        <v>271</v>
      </c>
      <c r="F375" s="174">
        <v>12</v>
      </c>
      <c r="G375" s="174">
        <v>1.34</v>
      </c>
      <c r="H375" s="174" t="b">
        <v>1</v>
      </c>
      <c r="I375" s="174" t="b">
        <v>1</v>
      </c>
      <c r="J375" s="174">
        <v>0.75</v>
      </c>
      <c r="K375" s="174">
        <v>291</v>
      </c>
      <c r="L375" s="174">
        <v>4.2</v>
      </c>
      <c r="M375" s="178">
        <v>40247</v>
      </c>
      <c r="O375" s="179">
        <f>VLOOKUP(K375,'Cost Model '!$G$11:$J$200,4,FALSE)</f>
        <v>23.699999999999992</v>
      </c>
      <c r="R375" s="162" t="str">
        <f t="shared" si="23"/>
        <v>YES</v>
      </c>
      <c r="S375" s="162" t="str">
        <f t="shared" si="20"/>
        <v>YES</v>
      </c>
      <c r="T375" s="162" t="str">
        <f t="shared" si="21"/>
        <v>YES</v>
      </c>
      <c r="U375" s="162" t="str">
        <f t="shared" si="22"/>
        <v>YES</v>
      </c>
    </row>
    <row r="376" spans="1:21" ht="15">
      <c r="A376" s="174">
        <v>3809</v>
      </c>
      <c r="B376" s="174" t="s">
        <v>582</v>
      </c>
      <c r="C376" s="174" t="s">
        <v>640</v>
      </c>
      <c r="D376" s="174" t="s">
        <v>643</v>
      </c>
      <c r="E376" s="174" t="s">
        <v>271</v>
      </c>
      <c r="F376" s="174">
        <v>12</v>
      </c>
      <c r="G376" s="174">
        <v>1.34</v>
      </c>
      <c r="H376" s="174" t="b">
        <v>1</v>
      </c>
      <c r="I376" s="174" t="b">
        <v>1</v>
      </c>
      <c r="J376" s="174">
        <v>0.75</v>
      </c>
      <c r="K376" s="174">
        <v>291</v>
      </c>
      <c r="L376" s="174">
        <v>4.2</v>
      </c>
      <c r="M376" s="178">
        <v>40584</v>
      </c>
      <c r="O376" s="179">
        <f>VLOOKUP(K376,'Cost Model '!$G$11:$J$200,4,FALSE)</f>
        <v>23.699999999999992</v>
      </c>
      <c r="R376" s="162" t="str">
        <f t="shared" si="23"/>
        <v>YES</v>
      </c>
      <c r="S376" s="162" t="str">
        <f t="shared" si="20"/>
        <v>YES</v>
      </c>
      <c r="T376" s="162" t="str">
        <f t="shared" si="21"/>
        <v>YES</v>
      </c>
      <c r="U376" s="162" t="str">
        <f t="shared" si="22"/>
        <v>YES</v>
      </c>
    </row>
    <row r="377" spans="1:21" ht="15">
      <c r="A377" s="174">
        <v>3476</v>
      </c>
      <c r="B377" s="174" t="s">
        <v>582</v>
      </c>
      <c r="C377" s="174" t="s">
        <v>640</v>
      </c>
      <c r="D377" s="174" t="s">
        <v>644</v>
      </c>
      <c r="E377" s="174" t="s">
        <v>271</v>
      </c>
      <c r="F377" s="174">
        <v>12</v>
      </c>
      <c r="G377" s="174">
        <v>1.34</v>
      </c>
      <c r="H377" s="174" t="b">
        <v>1</v>
      </c>
      <c r="I377" s="174" t="b">
        <v>1</v>
      </c>
      <c r="J377" s="174">
        <v>0.75</v>
      </c>
      <c r="K377" s="174">
        <v>291</v>
      </c>
      <c r="L377" s="174">
        <v>4.2</v>
      </c>
      <c r="M377" s="178">
        <v>40406</v>
      </c>
      <c r="O377" s="179">
        <f>VLOOKUP(K377,'Cost Model '!$G$11:$J$200,4,FALSE)</f>
        <v>23.699999999999992</v>
      </c>
      <c r="R377" s="162" t="str">
        <f t="shared" si="23"/>
        <v>YES</v>
      </c>
      <c r="S377" s="162" t="str">
        <f t="shared" si="20"/>
        <v>YES</v>
      </c>
      <c r="T377" s="162" t="str">
        <f t="shared" si="21"/>
        <v>YES</v>
      </c>
      <c r="U377" s="162" t="str">
        <f t="shared" si="22"/>
        <v>YES</v>
      </c>
    </row>
    <row r="378" spans="1:21" ht="15">
      <c r="A378" s="174">
        <v>3477</v>
      </c>
      <c r="B378" s="174" t="s">
        <v>582</v>
      </c>
      <c r="C378" s="174" t="s">
        <v>640</v>
      </c>
      <c r="D378" s="174" t="s">
        <v>645</v>
      </c>
      <c r="E378" s="174" t="s">
        <v>271</v>
      </c>
      <c r="F378" s="174">
        <v>12</v>
      </c>
      <c r="G378" s="174">
        <v>1.34</v>
      </c>
      <c r="H378" s="174" t="b">
        <v>1</v>
      </c>
      <c r="I378" s="174" t="b">
        <v>1</v>
      </c>
      <c r="J378" s="174">
        <v>0.75</v>
      </c>
      <c r="K378" s="174">
        <v>291</v>
      </c>
      <c r="L378" s="174">
        <v>4.2</v>
      </c>
      <c r="M378" s="178">
        <v>40406</v>
      </c>
      <c r="O378" s="179">
        <f>VLOOKUP(K378,'Cost Model '!$G$11:$J$200,4,FALSE)</f>
        <v>23.699999999999992</v>
      </c>
      <c r="R378" s="162" t="str">
        <f t="shared" si="23"/>
        <v>YES</v>
      </c>
      <c r="S378" s="162" t="str">
        <f t="shared" si="20"/>
        <v>YES</v>
      </c>
      <c r="T378" s="162" t="str">
        <f t="shared" si="21"/>
        <v>YES</v>
      </c>
      <c r="U378" s="162" t="str">
        <f t="shared" si="22"/>
        <v>YES</v>
      </c>
    </row>
    <row r="379" spans="1:21" ht="15">
      <c r="A379" s="174">
        <v>3478</v>
      </c>
      <c r="B379" s="174" t="s">
        <v>582</v>
      </c>
      <c r="C379" s="174" t="s">
        <v>640</v>
      </c>
      <c r="D379" s="174" t="s">
        <v>646</v>
      </c>
      <c r="E379" s="174" t="s">
        <v>271</v>
      </c>
      <c r="F379" s="174">
        <v>12</v>
      </c>
      <c r="G379" s="174">
        <v>1.34</v>
      </c>
      <c r="H379" s="174" t="b">
        <v>1</v>
      </c>
      <c r="I379" s="174" t="b">
        <v>1</v>
      </c>
      <c r="J379" s="174">
        <v>0.75</v>
      </c>
      <c r="K379" s="174">
        <v>291</v>
      </c>
      <c r="L379" s="174">
        <v>4.2</v>
      </c>
      <c r="M379" s="178">
        <v>40406</v>
      </c>
      <c r="O379" s="179">
        <f>VLOOKUP(K379,'Cost Model '!$G$11:$J$200,4,FALSE)</f>
        <v>23.699999999999992</v>
      </c>
      <c r="R379" s="162" t="str">
        <f t="shared" si="23"/>
        <v>YES</v>
      </c>
      <c r="S379" s="162" t="str">
        <f t="shared" si="20"/>
        <v>YES</v>
      </c>
      <c r="T379" s="162" t="str">
        <f t="shared" si="21"/>
        <v>YES</v>
      </c>
      <c r="U379" s="162" t="str">
        <f t="shared" si="22"/>
        <v>YES</v>
      </c>
    </row>
    <row r="380" spans="1:21" ht="15">
      <c r="A380" s="174">
        <v>2740</v>
      </c>
      <c r="B380" s="174" t="s">
        <v>582</v>
      </c>
      <c r="C380" s="174" t="s">
        <v>640</v>
      </c>
      <c r="D380" s="174" t="s">
        <v>647</v>
      </c>
      <c r="E380" s="174" t="s">
        <v>271</v>
      </c>
      <c r="F380" s="174">
        <v>12</v>
      </c>
      <c r="G380" s="174">
        <v>1.46</v>
      </c>
      <c r="H380" s="174" t="b">
        <v>1</v>
      </c>
      <c r="I380" s="174" t="b">
        <v>1</v>
      </c>
      <c r="J380" s="174">
        <v>0.68</v>
      </c>
      <c r="K380" s="174">
        <v>317</v>
      </c>
      <c r="L380" s="174">
        <v>4.2</v>
      </c>
      <c r="M380" s="178">
        <v>40247</v>
      </c>
      <c r="O380" s="179">
        <f>VLOOKUP(K380,'Cost Model '!$G$11:$J$200,4,FALSE)</f>
        <v>4.72</v>
      </c>
      <c r="R380" s="162" t="str">
        <f t="shared" si="23"/>
        <v>YES</v>
      </c>
      <c r="S380" s="162" t="str">
        <f t="shared" si="20"/>
        <v>No</v>
      </c>
      <c r="T380" s="162" t="str">
        <f t="shared" si="21"/>
        <v>No</v>
      </c>
      <c r="U380" s="162" t="str">
        <f t="shared" si="22"/>
        <v>No</v>
      </c>
    </row>
    <row r="381" spans="1:21" ht="15">
      <c r="A381" s="174">
        <v>2741</v>
      </c>
      <c r="B381" s="174" t="s">
        <v>582</v>
      </c>
      <c r="C381" s="174" t="s">
        <v>582</v>
      </c>
      <c r="D381" s="174" t="s">
        <v>648</v>
      </c>
      <c r="E381" s="174" t="s">
        <v>271</v>
      </c>
      <c r="F381" s="174">
        <v>12</v>
      </c>
      <c r="G381" s="174">
        <v>1.4</v>
      </c>
      <c r="H381" s="174" t="b">
        <v>1</v>
      </c>
      <c r="I381" s="174" t="b">
        <v>1</v>
      </c>
      <c r="J381" s="174">
        <v>0.71</v>
      </c>
      <c r="K381" s="174">
        <v>304</v>
      </c>
      <c r="L381" s="174">
        <v>4.2</v>
      </c>
      <c r="M381" s="178">
        <v>40247</v>
      </c>
      <c r="O381" s="179">
        <f>VLOOKUP(K381,'Cost Model '!$G$11:$J$200,4,FALSE)</f>
        <v>12.67</v>
      </c>
      <c r="R381" s="162" t="str">
        <f t="shared" si="23"/>
        <v>YES</v>
      </c>
      <c r="S381" s="162" t="str">
        <f t="shared" si="20"/>
        <v>YES</v>
      </c>
      <c r="T381" s="162" t="str">
        <f t="shared" si="21"/>
        <v>No</v>
      </c>
      <c r="U381" s="162" t="str">
        <f t="shared" si="22"/>
        <v>No</v>
      </c>
    </row>
    <row r="382" spans="1:21" ht="15">
      <c r="A382" s="174">
        <v>2742</v>
      </c>
      <c r="B382" s="174" t="s">
        <v>582</v>
      </c>
      <c r="C382" s="174" t="s">
        <v>582</v>
      </c>
      <c r="D382" s="174" t="s">
        <v>649</v>
      </c>
      <c r="E382" s="174" t="s">
        <v>271</v>
      </c>
      <c r="F382" s="174">
        <v>12</v>
      </c>
      <c r="G382" s="174">
        <v>1.34</v>
      </c>
      <c r="H382" s="174" t="b">
        <v>1</v>
      </c>
      <c r="I382" s="174" t="b">
        <v>1</v>
      </c>
      <c r="J382" s="174">
        <v>0.75</v>
      </c>
      <c r="K382" s="174">
        <v>291</v>
      </c>
      <c r="L382" s="174">
        <v>4.2</v>
      </c>
      <c r="M382" s="178">
        <v>40247</v>
      </c>
      <c r="O382" s="179">
        <f>VLOOKUP(K382,'Cost Model '!$G$11:$J$200,4,FALSE)</f>
        <v>23.699999999999992</v>
      </c>
      <c r="R382" s="162" t="str">
        <f t="shared" si="23"/>
        <v>YES</v>
      </c>
      <c r="S382" s="162" t="str">
        <f t="shared" si="20"/>
        <v>YES</v>
      </c>
      <c r="T382" s="162" t="str">
        <f t="shared" si="21"/>
        <v>YES</v>
      </c>
      <c r="U382" s="162" t="str">
        <f t="shared" si="22"/>
        <v>YES</v>
      </c>
    </row>
    <row r="383" spans="1:21" ht="15">
      <c r="A383" s="174">
        <v>4449</v>
      </c>
      <c r="B383" s="174" t="s">
        <v>582</v>
      </c>
      <c r="C383" s="174" t="s">
        <v>582</v>
      </c>
      <c r="D383" s="174" t="s">
        <v>650</v>
      </c>
      <c r="E383" s="174" t="s">
        <v>271</v>
      </c>
      <c r="F383" s="174">
        <v>12</v>
      </c>
      <c r="G383" s="174">
        <v>1.18</v>
      </c>
      <c r="H383" s="174" t="b">
        <v>1</v>
      </c>
      <c r="I383" s="174" t="b">
        <v>1</v>
      </c>
      <c r="J383" s="174">
        <v>0.85</v>
      </c>
      <c r="K383" s="174">
        <v>258</v>
      </c>
      <c r="L383" s="174">
        <v>3.5</v>
      </c>
      <c r="M383" s="178">
        <v>40814</v>
      </c>
      <c r="O383" s="179">
        <f>VLOOKUP(K383,'Cost Model '!$G$11:$J$200,4,FALSE)</f>
        <v>61.649999999999949</v>
      </c>
      <c r="R383" s="162" t="str">
        <f t="shared" si="23"/>
        <v>YES</v>
      </c>
      <c r="S383" s="162" t="str">
        <f t="shared" si="20"/>
        <v>YES</v>
      </c>
      <c r="T383" s="162" t="str">
        <f t="shared" si="21"/>
        <v>YES</v>
      </c>
      <c r="U383" s="162" t="str">
        <f t="shared" si="22"/>
        <v>YES</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sheetPr codeName="Sheet15"/>
  <dimension ref="A1:K200"/>
  <sheetViews>
    <sheetView workbookViewId="0">
      <selection activeCell="J17" sqref="J17"/>
    </sheetView>
  </sheetViews>
  <sheetFormatPr defaultRowHeight="12.75"/>
  <cols>
    <col min="1" max="1" width="37.7109375" style="34" customWidth="1"/>
    <col min="2" max="2" width="30.5703125" style="34" customWidth="1"/>
    <col min="3" max="3" width="12.7109375" style="34" customWidth="1"/>
    <col min="4" max="4" width="11.28515625" style="34" customWidth="1"/>
    <col min="5" max="5" width="13.85546875" style="34" customWidth="1"/>
    <col min="6" max="16384" width="9.140625" style="34"/>
  </cols>
  <sheetData>
    <row r="1" spans="1:10">
      <c r="A1" s="34" t="s">
        <v>224</v>
      </c>
    </row>
    <row r="2" spans="1:10">
      <c r="A2" s="88" t="s">
        <v>225</v>
      </c>
    </row>
    <row r="3" spans="1:10">
      <c r="A3" s="34" t="s">
        <v>226</v>
      </c>
    </row>
    <row r="5" spans="1:10">
      <c r="A5" s="34" t="s">
        <v>227</v>
      </c>
    </row>
    <row r="6" spans="1:10">
      <c r="A6" s="34" t="s">
        <v>228</v>
      </c>
    </row>
    <row r="8" spans="1:10" ht="13.5" thickBot="1">
      <c r="A8" s="93"/>
      <c r="B8" s="93"/>
      <c r="C8" s="93"/>
      <c r="D8" s="93"/>
    </row>
    <row r="9" spans="1:10" ht="14.25" thickTop="1" thickBot="1">
      <c r="A9" s="676" t="s">
        <v>229</v>
      </c>
      <c r="B9" s="676"/>
      <c r="C9" s="93"/>
      <c r="D9" s="93"/>
      <c r="G9" s="677" t="s">
        <v>230</v>
      </c>
      <c r="H9" s="677"/>
      <c r="I9" s="677"/>
      <c r="J9" s="677"/>
    </row>
    <row r="10" spans="1:10" ht="31.5" thickTop="1" thickBot="1">
      <c r="A10" s="144" t="s">
        <v>231</v>
      </c>
      <c r="B10" s="145" t="s">
        <v>232</v>
      </c>
      <c r="C10" s="144" t="s">
        <v>233</v>
      </c>
      <c r="D10" s="146" t="s">
        <v>234</v>
      </c>
      <c r="E10" s="145" t="s">
        <v>235</v>
      </c>
      <c r="G10" s="147" t="s">
        <v>236</v>
      </c>
      <c r="H10" s="147" t="s">
        <v>15</v>
      </c>
      <c r="I10" s="147" t="s">
        <v>14</v>
      </c>
      <c r="J10" s="147" t="s">
        <v>237</v>
      </c>
    </row>
    <row r="11" spans="1:10" ht="16.5" thickTop="1" thickBot="1">
      <c r="A11" s="148">
        <v>355</v>
      </c>
      <c r="B11" s="149">
        <v>0</v>
      </c>
      <c r="C11" s="150">
        <f t="shared" ref="C11:D15" si="0">A12</f>
        <v>324</v>
      </c>
      <c r="D11" s="151">
        <f t="shared" si="0"/>
        <v>18.27</v>
      </c>
      <c r="E11" s="149" t="s">
        <v>238</v>
      </c>
      <c r="G11" s="34">
        <v>330</v>
      </c>
      <c r="H11" s="137">
        <v>355</v>
      </c>
      <c r="I11" s="34">
        <f t="shared" ref="I11:I16" si="1">VLOOKUP($H11,$A$11:$D$15,3,FALSE)</f>
        <v>324</v>
      </c>
      <c r="J11" s="34" t="str">
        <f t="shared" ref="J11:J16" si="2">VLOOKUP($H11,$A$11:$E$15,5,FALSE)</f>
        <v>--</v>
      </c>
    </row>
    <row r="12" spans="1:10" ht="16.5" thickTop="1" thickBot="1">
      <c r="A12" s="148">
        <v>324</v>
      </c>
      <c r="B12" s="149">
        <v>18.27</v>
      </c>
      <c r="C12" s="150">
        <f t="shared" si="0"/>
        <v>307</v>
      </c>
      <c r="D12" s="151">
        <f t="shared" si="0"/>
        <v>31.82</v>
      </c>
      <c r="E12" s="149">
        <v>0.59</v>
      </c>
      <c r="G12" s="34">
        <f>G11-1</f>
        <v>329</v>
      </c>
      <c r="H12" s="137">
        <v>355</v>
      </c>
      <c r="I12" s="34">
        <f t="shared" si="1"/>
        <v>324</v>
      </c>
      <c r="J12" s="34" t="str">
        <f t="shared" si="2"/>
        <v>--</v>
      </c>
    </row>
    <row r="13" spans="1:10" ht="16.5" thickTop="1" thickBot="1">
      <c r="A13" s="148">
        <v>307</v>
      </c>
      <c r="B13" s="149">
        <v>31.82</v>
      </c>
      <c r="C13" s="150">
        <f t="shared" si="0"/>
        <v>295</v>
      </c>
      <c r="D13" s="151">
        <f t="shared" si="0"/>
        <v>69.23</v>
      </c>
      <c r="E13" s="149">
        <v>0.66</v>
      </c>
      <c r="G13" s="34">
        <f>G12-1</f>
        <v>328</v>
      </c>
      <c r="H13" s="137">
        <v>355</v>
      </c>
      <c r="I13" s="34">
        <f t="shared" si="1"/>
        <v>324</v>
      </c>
      <c r="J13" s="34" t="str">
        <f t="shared" si="2"/>
        <v>--</v>
      </c>
    </row>
    <row r="14" spans="1:10" ht="16.5" thickTop="1" thickBot="1">
      <c r="A14" s="148">
        <v>295</v>
      </c>
      <c r="B14" s="149">
        <v>69.23</v>
      </c>
      <c r="C14" s="150">
        <f t="shared" si="0"/>
        <v>234</v>
      </c>
      <c r="D14" s="151">
        <f t="shared" si="0"/>
        <v>75.180000000000007</v>
      </c>
      <c r="E14" s="149">
        <v>1.1499999999999999</v>
      </c>
      <c r="G14" s="34">
        <f>G13-1</f>
        <v>327</v>
      </c>
      <c r="H14" s="137">
        <v>355</v>
      </c>
      <c r="I14" s="34">
        <f t="shared" si="1"/>
        <v>324</v>
      </c>
      <c r="J14" s="34" t="str">
        <f t="shared" si="2"/>
        <v>--</v>
      </c>
    </row>
    <row r="15" spans="1:10" ht="16.5" thickTop="1" thickBot="1">
      <c r="A15" s="148">
        <v>234</v>
      </c>
      <c r="B15" s="149">
        <v>75.180000000000007</v>
      </c>
      <c r="C15" s="150">
        <f t="shared" si="0"/>
        <v>180</v>
      </c>
      <c r="D15" s="151">
        <f t="shared" si="0"/>
        <v>82.95</v>
      </c>
      <c r="E15" s="149">
        <v>0.62</v>
      </c>
      <c r="G15" s="34">
        <f>G14-1</f>
        <v>326</v>
      </c>
      <c r="H15" s="137">
        <v>355</v>
      </c>
      <c r="I15" s="34">
        <f t="shared" si="1"/>
        <v>324</v>
      </c>
      <c r="J15" s="34" t="str">
        <f t="shared" si="2"/>
        <v>--</v>
      </c>
    </row>
    <row r="16" spans="1:10" ht="16.5" thickTop="1" thickBot="1">
      <c r="A16" s="152">
        <v>180</v>
      </c>
      <c r="B16" s="153">
        <v>82.95</v>
      </c>
      <c r="C16" s="154">
        <f>A15</f>
        <v>234</v>
      </c>
      <c r="D16" s="155"/>
      <c r="E16" s="156">
        <v>0.47</v>
      </c>
      <c r="G16" s="34">
        <f>G15-1</f>
        <v>325</v>
      </c>
      <c r="H16" s="137">
        <v>355</v>
      </c>
      <c r="I16" s="34">
        <f t="shared" si="1"/>
        <v>324</v>
      </c>
      <c r="J16" s="34" t="str">
        <f t="shared" si="2"/>
        <v>--</v>
      </c>
    </row>
    <row r="17" spans="1:10">
      <c r="A17" s="93"/>
      <c r="B17" s="93"/>
      <c r="C17" s="93"/>
      <c r="D17" s="93"/>
      <c r="G17" s="34">
        <v>324</v>
      </c>
      <c r="H17" s="137">
        <f>$A$12</f>
        <v>324</v>
      </c>
      <c r="I17" s="34">
        <f t="shared" ref="I17:I80" si="3">VLOOKUP($H17,$A$12:$D$15,3,FALSE)</f>
        <v>307</v>
      </c>
      <c r="J17" s="34">
        <f>VLOOKUP($H17,$A$12:$E$15,5,FALSE)</f>
        <v>0.59</v>
      </c>
    </row>
    <row r="18" spans="1:10">
      <c r="A18" s="93"/>
      <c r="B18" s="93"/>
      <c r="C18" s="93"/>
      <c r="D18" s="93"/>
      <c r="G18" s="34">
        <f>G17-1</f>
        <v>323</v>
      </c>
      <c r="H18" s="137">
        <f t="shared" ref="H18:H33" si="4">$A$12</f>
        <v>324</v>
      </c>
      <c r="I18" s="34">
        <f t="shared" si="3"/>
        <v>307</v>
      </c>
      <c r="J18" s="138">
        <f t="shared" ref="J18:J81" si="5">J17+VLOOKUP($H18,$A$12:$E$15,5,FALSE)</f>
        <v>1.18</v>
      </c>
    </row>
    <row r="19" spans="1:10">
      <c r="A19" s="93"/>
      <c r="B19" s="93"/>
      <c r="C19" s="93"/>
      <c r="D19" s="93"/>
      <c r="G19" s="34">
        <f t="shared" ref="G19:G82" si="6">G18-1</f>
        <v>322</v>
      </c>
      <c r="H19" s="137">
        <f t="shared" si="4"/>
        <v>324</v>
      </c>
      <c r="I19" s="34">
        <f t="shared" si="3"/>
        <v>307</v>
      </c>
      <c r="J19" s="138">
        <f t="shared" si="5"/>
        <v>1.77</v>
      </c>
    </row>
    <row r="20" spans="1:10">
      <c r="G20" s="34">
        <f t="shared" si="6"/>
        <v>321</v>
      </c>
      <c r="H20" s="137">
        <f t="shared" si="4"/>
        <v>324</v>
      </c>
      <c r="I20" s="34">
        <f t="shared" si="3"/>
        <v>307</v>
      </c>
      <c r="J20" s="138">
        <f t="shared" si="5"/>
        <v>2.36</v>
      </c>
    </row>
    <row r="21" spans="1:10">
      <c r="G21" s="34">
        <f t="shared" si="6"/>
        <v>320</v>
      </c>
      <c r="H21" s="137">
        <f t="shared" si="4"/>
        <v>324</v>
      </c>
      <c r="I21" s="34">
        <f t="shared" si="3"/>
        <v>307</v>
      </c>
      <c r="J21" s="138">
        <f t="shared" si="5"/>
        <v>2.9499999999999997</v>
      </c>
    </row>
    <row r="22" spans="1:10">
      <c r="G22" s="34">
        <f t="shared" si="6"/>
        <v>319</v>
      </c>
      <c r="H22" s="137">
        <f t="shared" si="4"/>
        <v>324</v>
      </c>
      <c r="I22" s="34">
        <f t="shared" si="3"/>
        <v>307</v>
      </c>
      <c r="J22" s="138">
        <f t="shared" si="5"/>
        <v>3.5399999999999996</v>
      </c>
    </row>
    <row r="23" spans="1:10">
      <c r="G23" s="34">
        <f t="shared" si="6"/>
        <v>318</v>
      </c>
      <c r="H23" s="137">
        <f t="shared" si="4"/>
        <v>324</v>
      </c>
      <c r="I23" s="34">
        <f t="shared" si="3"/>
        <v>307</v>
      </c>
      <c r="J23" s="138">
        <f t="shared" si="5"/>
        <v>4.13</v>
      </c>
    </row>
    <row r="24" spans="1:10">
      <c r="G24" s="34">
        <f t="shared" si="6"/>
        <v>317</v>
      </c>
      <c r="H24" s="137">
        <f t="shared" si="4"/>
        <v>324</v>
      </c>
      <c r="I24" s="34">
        <f t="shared" si="3"/>
        <v>307</v>
      </c>
      <c r="J24" s="138">
        <f t="shared" si="5"/>
        <v>4.72</v>
      </c>
    </row>
    <row r="25" spans="1:10">
      <c r="G25" s="34">
        <f t="shared" si="6"/>
        <v>316</v>
      </c>
      <c r="H25" s="137">
        <f t="shared" si="4"/>
        <v>324</v>
      </c>
      <c r="I25" s="34">
        <f t="shared" si="3"/>
        <v>307</v>
      </c>
      <c r="J25" s="138">
        <f t="shared" si="5"/>
        <v>5.31</v>
      </c>
    </row>
    <row r="26" spans="1:10">
      <c r="G26" s="34">
        <f t="shared" si="6"/>
        <v>315</v>
      </c>
      <c r="H26" s="137">
        <f t="shared" si="4"/>
        <v>324</v>
      </c>
      <c r="I26" s="34">
        <f t="shared" si="3"/>
        <v>307</v>
      </c>
      <c r="J26" s="138">
        <f t="shared" si="5"/>
        <v>5.8999999999999995</v>
      </c>
    </row>
    <row r="27" spans="1:10">
      <c r="G27" s="34">
        <f t="shared" si="6"/>
        <v>314</v>
      </c>
      <c r="H27" s="137">
        <f t="shared" si="4"/>
        <v>324</v>
      </c>
      <c r="I27" s="34">
        <f t="shared" si="3"/>
        <v>307</v>
      </c>
      <c r="J27" s="138">
        <f t="shared" si="5"/>
        <v>6.4899999999999993</v>
      </c>
    </row>
    <row r="28" spans="1:10">
      <c r="G28" s="34">
        <f t="shared" si="6"/>
        <v>313</v>
      </c>
      <c r="H28" s="137">
        <f t="shared" si="4"/>
        <v>324</v>
      </c>
      <c r="I28" s="34">
        <f t="shared" si="3"/>
        <v>307</v>
      </c>
      <c r="J28" s="138">
        <f t="shared" si="5"/>
        <v>7.0799999999999992</v>
      </c>
    </row>
    <row r="29" spans="1:10">
      <c r="G29" s="34">
        <f t="shared" si="6"/>
        <v>312</v>
      </c>
      <c r="H29" s="137">
        <f t="shared" si="4"/>
        <v>324</v>
      </c>
      <c r="I29" s="34">
        <f t="shared" si="3"/>
        <v>307</v>
      </c>
      <c r="J29" s="138">
        <f t="shared" si="5"/>
        <v>7.669999999999999</v>
      </c>
    </row>
    <row r="30" spans="1:10">
      <c r="G30" s="34">
        <f t="shared" si="6"/>
        <v>311</v>
      </c>
      <c r="H30" s="137">
        <f t="shared" si="4"/>
        <v>324</v>
      </c>
      <c r="I30" s="34">
        <f t="shared" si="3"/>
        <v>307</v>
      </c>
      <c r="J30" s="138">
        <f t="shared" si="5"/>
        <v>8.26</v>
      </c>
    </row>
    <row r="31" spans="1:10">
      <c r="G31" s="34">
        <f t="shared" si="6"/>
        <v>310</v>
      </c>
      <c r="H31" s="137">
        <f t="shared" si="4"/>
        <v>324</v>
      </c>
      <c r="I31" s="34">
        <f t="shared" si="3"/>
        <v>307</v>
      </c>
      <c r="J31" s="138">
        <f t="shared" si="5"/>
        <v>8.85</v>
      </c>
    </row>
    <row r="32" spans="1:10">
      <c r="G32" s="34">
        <f t="shared" si="6"/>
        <v>309</v>
      </c>
      <c r="H32" s="137">
        <f t="shared" si="4"/>
        <v>324</v>
      </c>
      <c r="I32" s="34">
        <f t="shared" si="3"/>
        <v>307</v>
      </c>
      <c r="J32" s="138">
        <f t="shared" si="5"/>
        <v>9.44</v>
      </c>
    </row>
    <row r="33" spans="7:10">
      <c r="G33" s="34">
        <f t="shared" si="6"/>
        <v>308</v>
      </c>
      <c r="H33" s="137">
        <f t="shared" si="4"/>
        <v>324</v>
      </c>
      <c r="I33" s="34">
        <f t="shared" si="3"/>
        <v>307</v>
      </c>
      <c r="J33" s="138">
        <f t="shared" si="5"/>
        <v>10.029999999999999</v>
      </c>
    </row>
    <row r="34" spans="7:10">
      <c r="G34" s="34">
        <f t="shared" si="6"/>
        <v>307</v>
      </c>
      <c r="H34" s="137">
        <f>$A$13</f>
        <v>307</v>
      </c>
      <c r="I34" s="34">
        <f t="shared" si="3"/>
        <v>295</v>
      </c>
      <c r="J34" s="138">
        <f t="shared" si="5"/>
        <v>10.69</v>
      </c>
    </row>
    <row r="35" spans="7:10">
      <c r="G35" s="34">
        <f t="shared" si="6"/>
        <v>306</v>
      </c>
      <c r="H35" s="137">
        <f t="shared" ref="H35:H45" si="7">$A$13</f>
        <v>307</v>
      </c>
      <c r="I35" s="34">
        <f t="shared" si="3"/>
        <v>295</v>
      </c>
      <c r="J35" s="138">
        <f t="shared" si="5"/>
        <v>11.35</v>
      </c>
    </row>
    <row r="36" spans="7:10">
      <c r="G36" s="34">
        <f t="shared" si="6"/>
        <v>305</v>
      </c>
      <c r="H36" s="137">
        <f t="shared" si="7"/>
        <v>307</v>
      </c>
      <c r="I36" s="34">
        <f t="shared" si="3"/>
        <v>295</v>
      </c>
      <c r="J36" s="138">
        <f t="shared" si="5"/>
        <v>12.01</v>
      </c>
    </row>
    <row r="37" spans="7:10">
      <c r="G37" s="34">
        <f t="shared" si="6"/>
        <v>304</v>
      </c>
      <c r="H37" s="137">
        <f t="shared" si="7"/>
        <v>307</v>
      </c>
      <c r="I37" s="34">
        <f t="shared" si="3"/>
        <v>295</v>
      </c>
      <c r="J37" s="138">
        <f t="shared" si="5"/>
        <v>12.67</v>
      </c>
    </row>
    <row r="38" spans="7:10">
      <c r="G38" s="34">
        <f t="shared" si="6"/>
        <v>303</v>
      </c>
      <c r="H38" s="137">
        <f t="shared" si="7"/>
        <v>307</v>
      </c>
      <c r="I38" s="34">
        <f t="shared" si="3"/>
        <v>295</v>
      </c>
      <c r="J38" s="138">
        <f t="shared" si="5"/>
        <v>13.33</v>
      </c>
    </row>
    <row r="39" spans="7:10">
      <c r="G39" s="34">
        <f t="shared" si="6"/>
        <v>302</v>
      </c>
      <c r="H39" s="137">
        <f t="shared" si="7"/>
        <v>307</v>
      </c>
      <c r="I39" s="34">
        <f t="shared" si="3"/>
        <v>295</v>
      </c>
      <c r="J39" s="138">
        <f t="shared" si="5"/>
        <v>13.99</v>
      </c>
    </row>
    <row r="40" spans="7:10">
      <c r="G40" s="34">
        <f t="shared" si="6"/>
        <v>301</v>
      </c>
      <c r="H40" s="137">
        <f t="shared" si="7"/>
        <v>307</v>
      </c>
      <c r="I40" s="34">
        <f t="shared" si="3"/>
        <v>295</v>
      </c>
      <c r="J40" s="138">
        <f t="shared" si="5"/>
        <v>14.65</v>
      </c>
    </row>
    <row r="41" spans="7:10">
      <c r="G41" s="34">
        <f t="shared" si="6"/>
        <v>300</v>
      </c>
      <c r="H41" s="137">
        <f t="shared" si="7"/>
        <v>307</v>
      </c>
      <c r="I41" s="34">
        <f t="shared" si="3"/>
        <v>295</v>
      </c>
      <c r="J41" s="138">
        <f t="shared" si="5"/>
        <v>15.31</v>
      </c>
    </row>
    <row r="42" spans="7:10">
      <c r="G42" s="34">
        <f t="shared" si="6"/>
        <v>299</v>
      </c>
      <c r="H42" s="137">
        <f t="shared" si="7"/>
        <v>307</v>
      </c>
      <c r="I42" s="34">
        <f t="shared" si="3"/>
        <v>295</v>
      </c>
      <c r="J42" s="138">
        <f t="shared" si="5"/>
        <v>15.97</v>
      </c>
    </row>
    <row r="43" spans="7:10">
      <c r="G43" s="34">
        <f t="shared" si="6"/>
        <v>298</v>
      </c>
      <c r="H43" s="137">
        <f t="shared" si="7"/>
        <v>307</v>
      </c>
      <c r="I43" s="34">
        <f t="shared" si="3"/>
        <v>295</v>
      </c>
      <c r="J43" s="138">
        <f t="shared" si="5"/>
        <v>16.63</v>
      </c>
    </row>
    <row r="44" spans="7:10">
      <c r="G44" s="34">
        <f t="shared" si="6"/>
        <v>297</v>
      </c>
      <c r="H44" s="137">
        <f t="shared" si="7"/>
        <v>307</v>
      </c>
      <c r="I44" s="34">
        <f t="shared" si="3"/>
        <v>295</v>
      </c>
      <c r="J44" s="138">
        <f t="shared" si="5"/>
        <v>17.29</v>
      </c>
    </row>
    <row r="45" spans="7:10">
      <c r="G45" s="34">
        <f t="shared" si="6"/>
        <v>296</v>
      </c>
      <c r="H45" s="137">
        <f t="shared" si="7"/>
        <v>307</v>
      </c>
      <c r="I45" s="34">
        <f t="shared" si="3"/>
        <v>295</v>
      </c>
      <c r="J45" s="138">
        <f t="shared" si="5"/>
        <v>17.95</v>
      </c>
    </row>
    <row r="46" spans="7:10">
      <c r="G46" s="34">
        <f t="shared" si="6"/>
        <v>295</v>
      </c>
      <c r="H46" s="137">
        <f>$A$14</f>
        <v>295</v>
      </c>
      <c r="I46" s="34">
        <f t="shared" si="3"/>
        <v>234</v>
      </c>
      <c r="J46" s="138">
        <f t="shared" si="5"/>
        <v>19.099999999999998</v>
      </c>
    </row>
    <row r="47" spans="7:10">
      <c r="G47" s="34">
        <f t="shared" si="6"/>
        <v>294</v>
      </c>
      <c r="H47" s="137">
        <f t="shared" ref="H47:H106" si="8">$A$14</f>
        <v>295</v>
      </c>
      <c r="I47" s="34">
        <f t="shared" si="3"/>
        <v>234</v>
      </c>
      <c r="J47" s="138">
        <f t="shared" si="5"/>
        <v>20.249999999999996</v>
      </c>
    </row>
    <row r="48" spans="7:10">
      <c r="G48" s="34">
        <f t="shared" si="6"/>
        <v>293</v>
      </c>
      <c r="H48" s="137">
        <f t="shared" si="8"/>
        <v>295</v>
      </c>
      <c r="I48" s="34">
        <f t="shared" si="3"/>
        <v>234</v>
      </c>
      <c r="J48" s="138">
        <f t="shared" si="5"/>
        <v>21.399999999999995</v>
      </c>
    </row>
    <row r="49" spans="7:10">
      <c r="G49" s="34">
        <f t="shared" si="6"/>
        <v>292</v>
      </c>
      <c r="H49" s="137">
        <f t="shared" si="8"/>
        <v>295</v>
      </c>
      <c r="I49" s="34">
        <f t="shared" si="3"/>
        <v>234</v>
      </c>
      <c r="J49" s="138">
        <f t="shared" si="5"/>
        <v>22.549999999999994</v>
      </c>
    </row>
    <row r="50" spans="7:10">
      <c r="G50" s="34">
        <f t="shared" si="6"/>
        <v>291</v>
      </c>
      <c r="H50" s="137">
        <f t="shared" si="8"/>
        <v>295</v>
      </c>
      <c r="I50" s="34">
        <f t="shared" si="3"/>
        <v>234</v>
      </c>
      <c r="J50" s="138">
        <f t="shared" si="5"/>
        <v>23.699999999999992</v>
      </c>
    </row>
    <row r="51" spans="7:10">
      <c r="G51" s="34">
        <f t="shared" si="6"/>
        <v>290</v>
      </c>
      <c r="H51" s="137">
        <f t="shared" si="8"/>
        <v>295</v>
      </c>
      <c r="I51" s="34">
        <f t="shared" si="3"/>
        <v>234</v>
      </c>
      <c r="J51" s="138">
        <f t="shared" si="5"/>
        <v>24.849999999999991</v>
      </c>
    </row>
    <row r="52" spans="7:10">
      <c r="G52" s="34">
        <f t="shared" si="6"/>
        <v>289</v>
      </c>
      <c r="H52" s="137">
        <f t="shared" si="8"/>
        <v>295</v>
      </c>
      <c r="I52" s="34">
        <f t="shared" si="3"/>
        <v>234</v>
      </c>
      <c r="J52" s="138">
        <f t="shared" si="5"/>
        <v>25.999999999999989</v>
      </c>
    </row>
    <row r="53" spans="7:10">
      <c r="G53" s="34">
        <f t="shared" si="6"/>
        <v>288</v>
      </c>
      <c r="H53" s="137">
        <f t="shared" si="8"/>
        <v>295</v>
      </c>
      <c r="I53" s="34">
        <f t="shared" si="3"/>
        <v>234</v>
      </c>
      <c r="J53" s="138">
        <f t="shared" si="5"/>
        <v>27.149999999999988</v>
      </c>
    </row>
    <row r="54" spans="7:10">
      <c r="G54" s="34">
        <f t="shared" si="6"/>
        <v>287</v>
      </c>
      <c r="H54" s="137">
        <f t="shared" si="8"/>
        <v>295</v>
      </c>
      <c r="I54" s="34">
        <f t="shared" si="3"/>
        <v>234</v>
      </c>
      <c r="J54" s="138">
        <f t="shared" si="5"/>
        <v>28.299999999999986</v>
      </c>
    </row>
    <row r="55" spans="7:10">
      <c r="G55" s="34">
        <f t="shared" si="6"/>
        <v>286</v>
      </c>
      <c r="H55" s="137">
        <f t="shared" si="8"/>
        <v>295</v>
      </c>
      <c r="I55" s="34">
        <f t="shared" si="3"/>
        <v>234</v>
      </c>
      <c r="J55" s="138">
        <f t="shared" si="5"/>
        <v>29.449999999999985</v>
      </c>
    </row>
    <row r="56" spans="7:10">
      <c r="G56" s="34">
        <f t="shared" si="6"/>
        <v>285</v>
      </c>
      <c r="H56" s="137">
        <f t="shared" si="8"/>
        <v>295</v>
      </c>
      <c r="I56" s="34">
        <f t="shared" si="3"/>
        <v>234</v>
      </c>
      <c r="J56" s="138">
        <f t="shared" si="5"/>
        <v>30.599999999999984</v>
      </c>
    </row>
    <row r="57" spans="7:10">
      <c r="G57" s="34">
        <f t="shared" si="6"/>
        <v>284</v>
      </c>
      <c r="H57" s="137">
        <f t="shared" si="8"/>
        <v>295</v>
      </c>
      <c r="I57" s="34">
        <f t="shared" si="3"/>
        <v>234</v>
      </c>
      <c r="J57" s="138">
        <f t="shared" si="5"/>
        <v>31.749999999999982</v>
      </c>
    </row>
    <row r="58" spans="7:10">
      <c r="G58" s="34">
        <f t="shared" si="6"/>
        <v>283</v>
      </c>
      <c r="H58" s="137">
        <f t="shared" si="8"/>
        <v>295</v>
      </c>
      <c r="I58" s="34">
        <f t="shared" si="3"/>
        <v>234</v>
      </c>
      <c r="J58" s="138">
        <f t="shared" si="5"/>
        <v>32.899999999999984</v>
      </c>
    </row>
    <row r="59" spans="7:10">
      <c r="G59" s="34">
        <f t="shared" si="6"/>
        <v>282</v>
      </c>
      <c r="H59" s="137">
        <f t="shared" si="8"/>
        <v>295</v>
      </c>
      <c r="I59" s="34">
        <f t="shared" si="3"/>
        <v>234</v>
      </c>
      <c r="J59" s="138">
        <f t="shared" si="5"/>
        <v>34.049999999999983</v>
      </c>
    </row>
    <row r="60" spans="7:10">
      <c r="G60" s="34">
        <f t="shared" si="6"/>
        <v>281</v>
      </c>
      <c r="H60" s="137">
        <f t="shared" si="8"/>
        <v>295</v>
      </c>
      <c r="I60" s="34">
        <f t="shared" si="3"/>
        <v>234</v>
      </c>
      <c r="J60" s="138">
        <f t="shared" si="5"/>
        <v>35.199999999999982</v>
      </c>
    </row>
    <row r="61" spans="7:10">
      <c r="G61" s="34">
        <f t="shared" si="6"/>
        <v>280</v>
      </c>
      <c r="H61" s="137">
        <f t="shared" si="8"/>
        <v>295</v>
      </c>
      <c r="I61" s="34">
        <f t="shared" si="3"/>
        <v>234</v>
      </c>
      <c r="J61" s="138">
        <f t="shared" si="5"/>
        <v>36.34999999999998</v>
      </c>
    </row>
    <row r="62" spans="7:10">
      <c r="G62" s="34">
        <f t="shared" si="6"/>
        <v>279</v>
      </c>
      <c r="H62" s="137">
        <f t="shared" si="8"/>
        <v>295</v>
      </c>
      <c r="I62" s="34">
        <f t="shared" si="3"/>
        <v>234</v>
      </c>
      <c r="J62" s="138">
        <f t="shared" si="5"/>
        <v>37.499999999999979</v>
      </c>
    </row>
    <row r="63" spans="7:10">
      <c r="G63" s="34">
        <f t="shared" si="6"/>
        <v>278</v>
      </c>
      <c r="H63" s="137">
        <f t="shared" si="8"/>
        <v>295</v>
      </c>
      <c r="I63" s="34">
        <f t="shared" si="3"/>
        <v>234</v>
      </c>
      <c r="J63" s="138">
        <f t="shared" si="5"/>
        <v>38.649999999999977</v>
      </c>
    </row>
    <row r="64" spans="7:10">
      <c r="G64" s="34">
        <f t="shared" si="6"/>
        <v>277</v>
      </c>
      <c r="H64" s="137">
        <f t="shared" si="8"/>
        <v>295</v>
      </c>
      <c r="I64" s="34">
        <f t="shared" si="3"/>
        <v>234</v>
      </c>
      <c r="J64" s="138">
        <f t="shared" si="5"/>
        <v>39.799999999999976</v>
      </c>
    </row>
    <row r="65" spans="7:10">
      <c r="G65" s="34">
        <f t="shared" si="6"/>
        <v>276</v>
      </c>
      <c r="H65" s="137">
        <f t="shared" si="8"/>
        <v>295</v>
      </c>
      <c r="I65" s="34">
        <f t="shared" si="3"/>
        <v>234</v>
      </c>
      <c r="J65" s="138">
        <f t="shared" si="5"/>
        <v>40.949999999999974</v>
      </c>
    </row>
    <row r="66" spans="7:10">
      <c r="G66" s="34">
        <f t="shared" si="6"/>
        <v>275</v>
      </c>
      <c r="H66" s="137">
        <f t="shared" si="8"/>
        <v>295</v>
      </c>
      <c r="I66" s="34">
        <f t="shared" si="3"/>
        <v>234</v>
      </c>
      <c r="J66" s="138">
        <f t="shared" si="5"/>
        <v>42.099999999999973</v>
      </c>
    </row>
    <row r="67" spans="7:10">
      <c r="G67" s="34">
        <f t="shared" si="6"/>
        <v>274</v>
      </c>
      <c r="H67" s="137">
        <f t="shared" si="8"/>
        <v>295</v>
      </c>
      <c r="I67" s="34">
        <f t="shared" si="3"/>
        <v>234</v>
      </c>
      <c r="J67" s="138">
        <f t="shared" si="5"/>
        <v>43.249999999999972</v>
      </c>
    </row>
    <row r="68" spans="7:10">
      <c r="G68" s="34">
        <f t="shared" si="6"/>
        <v>273</v>
      </c>
      <c r="H68" s="137">
        <f t="shared" si="8"/>
        <v>295</v>
      </c>
      <c r="I68" s="34">
        <f t="shared" si="3"/>
        <v>234</v>
      </c>
      <c r="J68" s="138">
        <f t="shared" si="5"/>
        <v>44.39999999999997</v>
      </c>
    </row>
    <row r="69" spans="7:10">
      <c r="G69" s="34">
        <f t="shared" si="6"/>
        <v>272</v>
      </c>
      <c r="H69" s="137">
        <f t="shared" si="8"/>
        <v>295</v>
      </c>
      <c r="I69" s="34">
        <f t="shared" si="3"/>
        <v>234</v>
      </c>
      <c r="J69" s="138">
        <f t="shared" si="5"/>
        <v>45.549999999999969</v>
      </c>
    </row>
    <row r="70" spans="7:10">
      <c r="G70" s="34">
        <f t="shared" si="6"/>
        <v>271</v>
      </c>
      <c r="H70" s="137">
        <f t="shared" si="8"/>
        <v>295</v>
      </c>
      <c r="I70" s="34">
        <f t="shared" si="3"/>
        <v>234</v>
      </c>
      <c r="J70" s="138">
        <f t="shared" si="5"/>
        <v>46.699999999999967</v>
      </c>
    </row>
    <row r="71" spans="7:10">
      <c r="G71" s="34">
        <f t="shared" si="6"/>
        <v>270</v>
      </c>
      <c r="H71" s="137">
        <f t="shared" si="8"/>
        <v>295</v>
      </c>
      <c r="I71" s="34">
        <f t="shared" si="3"/>
        <v>234</v>
      </c>
      <c r="J71" s="138">
        <f t="shared" si="5"/>
        <v>47.849999999999966</v>
      </c>
    </row>
    <row r="72" spans="7:10">
      <c r="G72" s="34">
        <f t="shared" si="6"/>
        <v>269</v>
      </c>
      <c r="H72" s="137">
        <f t="shared" si="8"/>
        <v>295</v>
      </c>
      <c r="I72" s="34">
        <f t="shared" si="3"/>
        <v>234</v>
      </c>
      <c r="J72" s="138">
        <f t="shared" si="5"/>
        <v>48.999999999999964</v>
      </c>
    </row>
    <row r="73" spans="7:10">
      <c r="G73" s="34">
        <f t="shared" si="6"/>
        <v>268</v>
      </c>
      <c r="H73" s="137">
        <f t="shared" si="8"/>
        <v>295</v>
      </c>
      <c r="I73" s="34">
        <f t="shared" si="3"/>
        <v>234</v>
      </c>
      <c r="J73" s="138">
        <f t="shared" si="5"/>
        <v>50.149999999999963</v>
      </c>
    </row>
    <row r="74" spans="7:10">
      <c r="G74" s="34">
        <f t="shared" si="6"/>
        <v>267</v>
      </c>
      <c r="H74" s="137">
        <f t="shared" si="8"/>
        <v>295</v>
      </c>
      <c r="I74" s="34">
        <f t="shared" si="3"/>
        <v>234</v>
      </c>
      <c r="J74" s="138">
        <f t="shared" si="5"/>
        <v>51.299999999999962</v>
      </c>
    </row>
    <row r="75" spans="7:10">
      <c r="G75" s="34">
        <f t="shared" si="6"/>
        <v>266</v>
      </c>
      <c r="H75" s="137">
        <f t="shared" si="8"/>
        <v>295</v>
      </c>
      <c r="I75" s="34">
        <f t="shared" si="3"/>
        <v>234</v>
      </c>
      <c r="J75" s="138">
        <f t="shared" si="5"/>
        <v>52.44999999999996</v>
      </c>
    </row>
    <row r="76" spans="7:10">
      <c r="G76" s="34">
        <f t="shared" si="6"/>
        <v>265</v>
      </c>
      <c r="H76" s="137">
        <f t="shared" si="8"/>
        <v>295</v>
      </c>
      <c r="I76" s="34">
        <f t="shared" si="3"/>
        <v>234</v>
      </c>
      <c r="J76" s="138">
        <f t="shared" si="5"/>
        <v>53.599999999999959</v>
      </c>
    </row>
    <row r="77" spans="7:10">
      <c r="G77" s="34">
        <f t="shared" si="6"/>
        <v>264</v>
      </c>
      <c r="H77" s="137">
        <f t="shared" si="8"/>
        <v>295</v>
      </c>
      <c r="I77" s="34">
        <f t="shared" si="3"/>
        <v>234</v>
      </c>
      <c r="J77" s="138">
        <f t="shared" si="5"/>
        <v>54.749999999999957</v>
      </c>
    </row>
    <row r="78" spans="7:10">
      <c r="G78" s="34">
        <f t="shared" si="6"/>
        <v>263</v>
      </c>
      <c r="H78" s="137">
        <f t="shared" si="8"/>
        <v>295</v>
      </c>
      <c r="I78" s="34">
        <f t="shared" si="3"/>
        <v>234</v>
      </c>
      <c r="J78" s="138">
        <f t="shared" si="5"/>
        <v>55.899999999999956</v>
      </c>
    </row>
    <row r="79" spans="7:10">
      <c r="G79" s="34">
        <f t="shared" si="6"/>
        <v>262</v>
      </c>
      <c r="H79" s="137">
        <f t="shared" si="8"/>
        <v>295</v>
      </c>
      <c r="I79" s="34">
        <f t="shared" si="3"/>
        <v>234</v>
      </c>
      <c r="J79" s="138">
        <f t="shared" si="5"/>
        <v>57.049999999999955</v>
      </c>
    </row>
    <row r="80" spans="7:10">
      <c r="G80" s="34">
        <f t="shared" si="6"/>
        <v>261</v>
      </c>
      <c r="H80" s="137">
        <f t="shared" si="8"/>
        <v>295</v>
      </c>
      <c r="I80" s="34">
        <f t="shared" si="3"/>
        <v>234</v>
      </c>
      <c r="J80" s="138">
        <f t="shared" si="5"/>
        <v>58.199999999999953</v>
      </c>
    </row>
    <row r="81" spans="7:10">
      <c r="G81" s="34">
        <f t="shared" si="6"/>
        <v>260</v>
      </c>
      <c r="H81" s="137">
        <f t="shared" si="8"/>
        <v>295</v>
      </c>
      <c r="I81" s="34">
        <f t="shared" ref="I81:I144" si="9">VLOOKUP($H81,$A$12:$D$15,3,FALSE)</f>
        <v>234</v>
      </c>
      <c r="J81" s="138">
        <f t="shared" si="5"/>
        <v>59.349999999999952</v>
      </c>
    </row>
    <row r="82" spans="7:10">
      <c r="G82" s="34">
        <f t="shared" si="6"/>
        <v>259</v>
      </c>
      <c r="H82" s="137">
        <f t="shared" si="8"/>
        <v>295</v>
      </c>
      <c r="I82" s="34">
        <f t="shared" si="9"/>
        <v>234</v>
      </c>
      <c r="J82" s="138">
        <f t="shared" ref="J82:J145" si="10">J81+VLOOKUP($H82,$A$12:$E$15,5,FALSE)</f>
        <v>60.49999999999995</v>
      </c>
    </row>
    <row r="83" spans="7:10">
      <c r="G83" s="34">
        <f t="shared" ref="G83:G136" si="11">G82-1</f>
        <v>258</v>
      </c>
      <c r="H83" s="137">
        <f t="shared" si="8"/>
        <v>295</v>
      </c>
      <c r="I83" s="34">
        <f t="shared" si="9"/>
        <v>234</v>
      </c>
      <c r="J83" s="138">
        <f t="shared" si="10"/>
        <v>61.649999999999949</v>
      </c>
    </row>
    <row r="84" spans="7:10">
      <c r="G84" s="34">
        <f t="shared" si="11"/>
        <v>257</v>
      </c>
      <c r="H84" s="137">
        <f t="shared" si="8"/>
        <v>295</v>
      </c>
      <c r="I84" s="34">
        <f t="shared" si="9"/>
        <v>234</v>
      </c>
      <c r="J84" s="138">
        <f t="shared" si="10"/>
        <v>62.799999999999947</v>
      </c>
    </row>
    <row r="85" spans="7:10">
      <c r="G85" s="34">
        <f t="shared" si="11"/>
        <v>256</v>
      </c>
      <c r="H85" s="137">
        <f t="shared" si="8"/>
        <v>295</v>
      </c>
      <c r="I85" s="34">
        <f t="shared" si="9"/>
        <v>234</v>
      </c>
      <c r="J85" s="138">
        <f t="shared" si="10"/>
        <v>63.949999999999946</v>
      </c>
    </row>
    <row r="86" spans="7:10">
      <c r="G86" s="34">
        <f t="shared" si="11"/>
        <v>255</v>
      </c>
      <c r="H86" s="137">
        <f t="shared" si="8"/>
        <v>295</v>
      </c>
      <c r="I86" s="34">
        <f t="shared" si="9"/>
        <v>234</v>
      </c>
      <c r="J86" s="138">
        <f t="shared" si="10"/>
        <v>65.099999999999952</v>
      </c>
    </row>
    <row r="87" spans="7:10">
      <c r="G87" s="34">
        <f t="shared" si="11"/>
        <v>254</v>
      </c>
      <c r="H87" s="137">
        <f t="shared" si="8"/>
        <v>295</v>
      </c>
      <c r="I87" s="34">
        <f t="shared" si="9"/>
        <v>234</v>
      </c>
      <c r="J87" s="138">
        <f t="shared" si="10"/>
        <v>66.249999999999957</v>
      </c>
    </row>
    <row r="88" spans="7:10">
      <c r="G88" s="34">
        <f t="shared" si="11"/>
        <v>253</v>
      </c>
      <c r="H88" s="137">
        <f t="shared" si="8"/>
        <v>295</v>
      </c>
      <c r="I88" s="34">
        <f t="shared" si="9"/>
        <v>234</v>
      </c>
      <c r="J88" s="138">
        <f t="shared" si="10"/>
        <v>67.399999999999963</v>
      </c>
    </row>
    <row r="89" spans="7:10">
      <c r="G89" s="34">
        <f t="shared" si="11"/>
        <v>252</v>
      </c>
      <c r="H89" s="137">
        <f t="shared" si="8"/>
        <v>295</v>
      </c>
      <c r="I89" s="34">
        <f t="shared" si="9"/>
        <v>234</v>
      </c>
      <c r="J89" s="138">
        <f t="shared" si="10"/>
        <v>68.549999999999969</v>
      </c>
    </row>
    <row r="90" spans="7:10">
      <c r="G90" s="34">
        <f t="shared" si="11"/>
        <v>251</v>
      </c>
      <c r="H90" s="137">
        <f t="shared" si="8"/>
        <v>295</v>
      </c>
      <c r="I90" s="34">
        <f t="shared" si="9"/>
        <v>234</v>
      </c>
      <c r="J90" s="138">
        <f t="shared" si="10"/>
        <v>69.699999999999974</v>
      </c>
    </row>
    <row r="91" spans="7:10">
      <c r="G91" s="34">
        <f t="shared" si="11"/>
        <v>250</v>
      </c>
      <c r="H91" s="137">
        <f t="shared" si="8"/>
        <v>295</v>
      </c>
      <c r="I91" s="34">
        <f t="shared" si="9"/>
        <v>234</v>
      </c>
      <c r="J91" s="138">
        <f t="shared" si="10"/>
        <v>70.84999999999998</v>
      </c>
    </row>
    <row r="92" spans="7:10">
      <c r="G92" s="34">
        <f t="shared" si="11"/>
        <v>249</v>
      </c>
      <c r="H92" s="137">
        <f t="shared" si="8"/>
        <v>295</v>
      </c>
      <c r="I92" s="34">
        <f t="shared" si="9"/>
        <v>234</v>
      </c>
      <c r="J92" s="138">
        <f t="shared" si="10"/>
        <v>71.999999999999986</v>
      </c>
    </row>
    <row r="93" spans="7:10">
      <c r="G93" s="34">
        <f t="shared" si="11"/>
        <v>248</v>
      </c>
      <c r="H93" s="137">
        <f t="shared" si="8"/>
        <v>295</v>
      </c>
      <c r="I93" s="34">
        <f t="shared" si="9"/>
        <v>234</v>
      </c>
      <c r="J93" s="138">
        <f t="shared" si="10"/>
        <v>73.149999999999991</v>
      </c>
    </row>
    <row r="94" spans="7:10">
      <c r="G94" s="34">
        <f t="shared" si="11"/>
        <v>247</v>
      </c>
      <c r="H94" s="137">
        <f t="shared" si="8"/>
        <v>295</v>
      </c>
      <c r="I94" s="34">
        <f t="shared" si="9"/>
        <v>234</v>
      </c>
      <c r="J94" s="138">
        <f t="shared" si="10"/>
        <v>74.3</v>
      </c>
    </row>
    <row r="95" spans="7:10">
      <c r="G95" s="34">
        <f t="shared" si="11"/>
        <v>246</v>
      </c>
      <c r="H95" s="137">
        <f t="shared" si="8"/>
        <v>295</v>
      </c>
      <c r="I95" s="34">
        <f t="shared" si="9"/>
        <v>234</v>
      </c>
      <c r="J95" s="138">
        <f t="shared" si="10"/>
        <v>75.45</v>
      </c>
    </row>
    <row r="96" spans="7:10">
      <c r="G96" s="34">
        <f t="shared" si="11"/>
        <v>245</v>
      </c>
      <c r="H96" s="137">
        <f t="shared" si="8"/>
        <v>295</v>
      </c>
      <c r="I96" s="34">
        <f t="shared" si="9"/>
        <v>234</v>
      </c>
      <c r="J96" s="138">
        <f t="shared" si="10"/>
        <v>76.600000000000009</v>
      </c>
    </row>
    <row r="97" spans="7:10">
      <c r="G97" s="34">
        <f t="shared" si="11"/>
        <v>244</v>
      </c>
      <c r="H97" s="137">
        <f t="shared" si="8"/>
        <v>295</v>
      </c>
      <c r="I97" s="34">
        <f t="shared" si="9"/>
        <v>234</v>
      </c>
      <c r="J97" s="138">
        <f t="shared" si="10"/>
        <v>77.750000000000014</v>
      </c>
    </row>
    <row r="98" spans="7:10">
      <c r="G98" s="34">
        <f t="shared" si="11"/>
        <v>243</v>
      </c>
      <c r="H98" s="137">
        <f t="shared" si="8"/>
        <v>295</v>
      </c>
      <c r="I98" s="34">
        <f t="shared" si="9"/>
        <v>234</v>
      </c>
      <c r="J98" s="138">
        <f t="shared" si="10"/>
        <v>78.90000000000002</v>
      </c>
    </row>
    <row r="99" spans="7:10">
      <c r="G99" s="34">
        <f t="shared" si="11"/>
        <v>242</v>
      </c>
      <c r="H99" s="137">
        <f t="shared" si="8"/>
        <v>295</v>
      </c>
      <c r="I99" s="34">
        <f t="shared" si="9"/>
        <v>234</v>
      </c>
      <c r="J99" s="138">
        <f t="shared" si="10"/>
        <v>80.050000000000026</v>
      </c>
    </row>
    <row r="100" spans="7:10">
      <c r="G100" s="34">
        <f t="shared" si="11"/>
        <v>241</v>
      </c>
      <c r="H100" s="137">
        <f t="shared" si="8"/>
        <v>295</v>
      </c>
      <c r="I100" s="34">
        <f t="shared" si="9"/>
        <v>234</v>
      </c>
      <c r="J100" s="138">
        <f t="shared" si="10"/>
        <v>81.200000000000031</v>
      </c>
    </row>
    <row r="101" spans="7:10">
      <c r="G101" s="34">
        <f t="shared" si="11"/>
        <v>240</v>
      </c>
      <c r="H101" s="137">
        <f t="shared" si="8"/>
        <v>295</v>
      </c>
      <c r="I101" s="34">
        <f t="shared" si="9"/>
        <v>234</v>
      </c>
      <c r="J101" s="138">
        <f t="shared" si="10"/>
        <v>82.350000000000037</v>
      </c>
    </row>
    <row r="102" spans="7:10">
      <c r="G102" s="34">
        <f t="shared" si="11"/>
        <v>239</v>
      </c>
      <c r="H102" s="137">
        <f t="shared" si="8"/>
        <v>295</v>
      </c>
      <c r="I102" s="34">
        <f t="shared" si="9"/>
        <v>234</v>
      </c>
      <c r="J102" s="138">
        <f t="shared" si="10"/>
        <v>83.500000000000043</v>
      </c>
    </row>
    <row r="103" spans="7:10">
      <c r="G103" s="34">
        <f t="shared" si="11"/>
        <v>238</v>
      </c>
      <c r="H103" s="137">
        <f t="shared" si="8"/>
        <v>295</v>
      </c>
      <c r="I103" s="34">
        <f t="shared" si="9"/>
        <v>234</v>
      </c>
      <c r="J103" s="138">
        <f t="shared" si="10"/>
        <v>84.650000000000048</v>
      </c>
    </row>
    <row r="104" spans="7:10">
      <c r="G104" s="34">
        <f t="shared" si="11"/>
        <v>237</v>
      </c>
      <c r="H104" s="137">
        <f t="shared" si="8"/>
        <v>295</v>
      </c>
      <c r="I104" s="34">
        <f t="shared" si="9"/>
        <v>234</v>
      </c>
      <c r="J104" s="138">
        <f t="shared" si="10"/>
        <v>85.800000000000054</v>
      </c>
    </row>
    <row r="105" spans="7:10">
      <c r="G105" s="34">
        <f t="shared" si="11"/>
        <v>236</v>
      </c>
      <c r="H105" s="137">
        <f t="shared" si="8"/>
        <v>295</v>
      </c>
      <c r="I105" s="34">
        <f t="shared" si="9"/>
        <v>234</v>
      </c>
      <c r="J105" s="138">
        <f t="shared" si="10"/>
        <v>86.95000000000006</v>
      </c>
    </row>
    <row r="106" spans="7:10">
      <c r="G106" s="34">
        <f t="shared" si="11"/>
        <v>235</v>
      </c>
      <c r="H106" s="137">
        <f t="shared" si="8"/>
        <v>295</v>
      </c>
      <c r="I106" s="34">
        <f t="shared" si="9"/>
        <v>234</v>
      </c>
      <c r="J106" s="138">
        <f t="shared" si="10"/>
        <v>88.100000000000065</v>
      </c>
    </row>
    <row r="107" spans="7:10">
      <c r="G107" s="34">
        <f t="shared" si="11"/>
        <v>234</v>
      </c>
      <c r="H107" s="137">
        <f>$A$15</f>
        <v>234</v>
      </c>
      <c r="I107" s="34">
        <f t="shared" si="9"/>
        <v>180</v>
      </c>
      <c r="J107" s="138">
        <f t="shared" si="10"/>
        <v>88.72000000000007</v>
      </c>
    </row>
    <row r="108" spans="7:10">
      <c r="G108" s="34">
        <f t="shared" si="11"/>
        <v>233</v>
      </c>
      <c r="H108" s="137">
        <f t="shared" ref="H108:H171" si="12">$A$15</f>
        <v>234</v>
      </c>
      <c r="I108" s="34">
        <f t="shared" si="9"/>
        <v>180</v>
      </c>
      <c r="J108" s="138">
        <f t="shared" si="10"/>
        <v>89.340000000000074</v>
      </c>
    </row>
    <row r="109" spans="7:10">
      <c r="G109" s="34">
        <f t="shared" si="11"/>
        <v>232</v>
      </c>
      <c r="H109" s="137">
        <f t="shared" si="12"/>
        <v>234</v>
      </c>
      <c r="I109" s="34">
        <f t="shared" si="9"/>
        <v>180</v>
      </c>
      <c r="J109" s="138">
        <f t="shared" si="10"/>
        <v>89.960000000000079</v>
      </c>
    </row>
    <row r="110" spans="7:10">
      <c r="G110" s="34">
        <f t="shared" si="11"/>
        <v>231</v>
      </c>
      <c r="H110" s="137">
        <f t="shared" si="12"/>
        <v>234</v>
      </c>
      <c r="I110" s="34">
        <f t="shared" si="9"/>
        <v>180</v>
      </c>
      <c r="J110" s="138">
        <f t="shared" si="10"/>
        <v>90.580000000000084</v>
      </c>
    </row>
    <row r="111" spans="7:10">
      <c r="G111" s="34">
        <f t="shared" si="11"/>
        <v>230</v>
      </c>
      <c r="H111" s="137">
        <f t="shared" si="12"/>
        <v>234</v>
      </c>
      <c r="I111" s="34">
        <f t="shared" si="9"/>
        <v>180</v>
      </c>
      <c r="J111" s="138">
        <f t="shared" si="10"/>
        <v>91.200000000000088</v>
      </c>
    </row>
    <row r="112" spans="7:10">
      <c r="G112" s="34">
        <f t="shared" si="11"/>
        <v>229</v>
      </c>
      <c r="H112" s="137">
        <f t="shared" si="12"/>
        <v>234</v>
      </c>
      <c r="I112" s="34">
        <f t="shared" si="9"/>
        <v>180</v>
      </c>
      <c r="J112" s="138">
        <f t="shared" si="10"/>
        <v>91.820000000000093</v>
      </c>
    </row>
    <row r="113" spans="7:10">
      <c r="G113" s="34">
        <f t="shared" si="11"/>
        <v>228</v>
      </c>
      <c r="H113" s="137">
        <f t="shared" si="12"/>
        <v>234</v>
      </c>
      <c r="I113" s="34">
        <f t="shared" si="9"/>
        <v>180</v>
      </c>
      <c r="J113" s="138">
        <f t="shared" si="10"/>
        <v>92.440000000000097</v>
      </c>
    </row>
    <row r="114" spans="7:10">
      <c r="G114" s="34">
        <f t="shared" si="11"/>
        <v>227</v>
      </c>
      <c r="H114" s="137">
        <f t="shared" si="12"/>
        <v>234</v>
      </c>
      <c r="I114" s="34">
        <f t="shared" si="9"/>
        <v>180</v>
      </c>
      <c r="J114" s="138">
        <f t="shared" si="10"/>
        <v>93.060000000000102</v>
      </c>
    </row>
    <row r="115" spans="7:10">
      <c r="G115" s="34">
        <f t="shared" si="11"/>
        <v>226</v>
      </c>
      <c r="H115" s="137">
        <f t="shared" si="12"/>
        <v>234</v>
      </c>
      <c r="I115" s="34">
        <f t="shared" si="9"/>
        <v>180</v>
      </c>
      <c r="J115" s="138">
        <f t="shared" si="10"/>
        <v>93.680000000000106</v>
      </c>
    </row>
    <row r="116" spans="7:10">
      <c r="G116" s="34">
        <f t="shared" si="11"/>
        <v>225</v>
      </c>
      <c r="H116" s="137">
        <f t="shared" si="12"/>
        <v>234</v>
      </c>
      <c r="I116" s="34">
        <f t="shared" si="9"/>
        <v>180</v>
      </c>
      <c r="J116" s="138">
        <f t="shared" si="10"/>
        <v>94.300000000000111</v>
      </c>
    </row>
    <row r="117" spans="7:10">
      <c r="G117" s="34">
        <f t="shared" si="11"/>
        <v>224</v>
      </c>
      <c r="H117" s="137">
        <f t="shared" si="12"/>
        <v>234</v>
      </c>
      <c r="I117" s="34">
        <f t="shared" si="9"/>
        <v>180</v>
      </c>
      <c r="J117" s="138">
        <f t="shared" si="10"/>
        <v>94.920000000000115</v>
      </c>
    </row>
    <row r="118" spans="7:10">
      <c r="G118" s="34">
        <f t="shared" si="11"/>
        <v>223</v>
      </c>
      <c r="H118" s="137">
        <f t="shared" si="12"/>
        <v>234</v>
      </c>
      <c r="I118" s="34">
        <f t="shared" si="9"/>
        <v>180</v>
      </c>
      <c r="J118" s="138">
        <f t="shared" si="10"/>
        <v>95.54000000000012</v>
      </c>
    </row>
    <row r="119" spans="7:10">
      <c r="G119" s="34">
        <f t="shared" si="11"/>
        <v>222</v>
      </c>
      <c r="H119" s="137">
        <f t="shared" si="12"/>
        <v>234</v>
      </c>
      <c r="I119" s="34">
        <f t="shared" si="9"/>
        <v>180</v>
      </c>
      <c r="J119" s="138">
        <f t="shared" si="10"/>
        <v>96.160000000000124</v>
      </c>
    </row>
    <row r="120" spans="7:10">
      <c r="G120" s="34">
        <f t="shared" si="11"/>
        <v>221</v>
      </c>
      <c r="H120" s="137">
        <f t="shared" si="12"/>
        <v>234</v>
      </c>
      <c r="I120" s="34">
        <f t="shared" si="9"/>
        <v>180</v>
      </c>
      <c r="J120" s="138">
        <f t="shared" si="10"/>
        <v>96.780000000000129</v>
      </c>
    </row>
    <row r="121" spans="7:10">
      <c r="G121" s="34">
        <f t="shared" si="11"/>
        <v>220</v>
      </c>
      <c r="H121" s="137">
        <f t="shared" si="12"/>
        <v>234</v>
      </c>
      <c r="I121" s="34">
        <f t="shared" si="9"/>
        <v>180</v>
      </c>
      <c r="J121" s="138">
        <f t="shared" si="10"/>
        <v>97.400000000000134</v>
      </c>
    </row>
    <row r="122" spans="7:10">
      <c r="G122" s="34">
        <f t="shared" si="11"/>
        <v>219</v>
      </c>
      <c r="H122" s="137">
        <f t="shared" si="12"/>
        <v>234</v>
      </c>
      <c r="I122" s="34">
        <f t="shared" si="9"/>
        <v>180</v>
      </c>
      <c r="J122" s="138">
        <f t="shared" si="10"/>
        <v>98.020000000000138</v>
      </c>
    </row>
    <row r="123" spans="7:10">
      <c r="G123" s="34">
        <f t="shared" si="11"/>
        <v>218</v>
      </c>
      <c r="H123" s="137">
        <f t="shared" si="12"/>
        <v>234</v>
      </c>
      <c r="I123" s="34">
        <f t="shared" si="9"/>
        <v>180</v>
      </c>
      <c r="J123" s="138">
        <f t="shared" si="10"/>
        <v>98.640000000000143</v>
      </c>
    </row>
    <row r="124" spans="7:10">
      <c r="G124" s="34">
        <f t="shared" si="11"/>
        <v>217</v>
      </c>
      <c r="H124" s="137">
        <f t="shared" si="12"/>
        <v>234</v>
      </c>
      <c r="I124" s="34">
        <f t="shared" si="9"/>
        <v>180</v>
      </c>
      <c r="J124" s="138">
        <f t="shared" si="10"/>
        <v>99.260000000000147</v>
      </c>
    </row>
    <row r="125" spans="7:10">
      <c r="G125" s="34">
        <f t="shared" si="11"/>
        <v>216</v>
      </c>
      <c r="H125" s="137">
        <f t="shared" si="12"/>
        <v>234</v>
      </c>
      <c r="I125" s="34">
        <f t="shared" si="9"/>
        <v>180</v>
      </c>
      <c r="J125" s="138">
        <f t="shared" si="10"/>
        <v>99.880000000000152</v>
      </c>
    </row>
    <row r="126" spans="7:10">
      <c r="G126" s="34">
        <f t="shared" si="11"/>
        <v>215</v>
      </c>
      <c r="H126" s="137">
        <f t="shared" si="12"/>
        <v>234</v>
      </c>
      <c r="I126" s="34">
        <f t="shared" si="9"/>
        <v>180</v>
      </c>
      <c r="J126" s="138">
        <f t="shared" si="10"/>
        <v>100.50000000000016</v>
      </c>
    </row>
    <row r="127" spans="7:10">
      <c r="G127" s="34">
        <f t="shared" si="11"/>
        <v>214</v>
      </c>
      <c r="H127" s="137">
        <f t="shared" si="12"/>
        <v>234</v>
      </c>
      <c r="I127" s="34">
        <f t="shared" si="9"/>
        <v>180</v>
      </c>
      <c r="J127" s="138">
        <f t="shared" si="10"/>
        <v>101.12000000000016</v>
      </c>
    </row>
    <row r="128" spans="7:10">
      <c r="G128" s="34">
        <f t="shared" si="11"/>
        <v>213</v>
      </c>
      <c r="H128" s="137">
        <f t="shared" si="12"/>
        <v>234</v>
      </c>
      <c r="I128" s="34">
        <f t="shared" si="9"/>
        <v>180</v>
      </c>
      <c r="J128" s="138">
        <f t="shared" si="10"/>
        <v>101.74000000000017</v>
      </c>
    </row>
    <row r="129" spans="7:10">
      <c r="G129" s="34">
        <f t="shared" si="11"/>
        <v>212</v>
      </c>
      <c r="H129" s="137">
        <f t="shared" si="12"/>
        <v>234</v>
      </c>
      <c r="I129" s="34">
        <f t="shared" si="9"/>
        <v>180</v>
      </c>
      <c r="J129" s="138">
        <f t="shared" si="10"/>
        <v>102.36000000000017</v>
      </c>
    </row>
    <row r="130" spans="7:10">
      <c r="G130" s="34">
        <f t="shared" si="11"/>
        <v>211</v>
      </c>
      <c r="H130" s="137">
        <f t="shared" si="12"/>
        <v>234</v>
      </c>
      <c r="I130" s="34">
        <f t="shared" si="9"/>
        <v>180</v>
      </c>
      <c r="J130" s="138">
        <f t="shared" si="10"/>
        <v>102.98000000000017</v>
      </c>
    </row>
    <row r="131" spans="7:10">
      <c r="G131" s="34">
        <f t="shared" si="11"/>
        <v>210</v>
      </c>
      <c r="H131" s="137">
        <f t="shared" si="12"/>
        <v>234</v>
      </c>
      <c r="I131" s="34">
        <f t="shared" si="9"/>
        <v>180</v>
      </c>
      <c r="J131" s="138">
        <f t="shared" si="10"/>
        <v>103.60000000000018</v>
      </c>
    </row>
    <row r="132" spans="7:10">
      <c r="G132" s="34">
        <f t="shared" si="11"/>
        <v>209</v>
      </c>
      <c r="H132" s="137">
        <f t="shared" si="12"/>
        <v>234</v>
      </c>
      <c r="I132" s="34">
        <f t="shared" si="9"/>
        <v>180</v>
      </c>
      <c r="J132" s="138">
        <f t="shared" si="10"/>
        <v>104.22000000000018</v>
      </c>
    </row>
    <row r="133" spans="7:10">
      <c r="G133" s="34">
        <f t="shared" si="11"/>
        <v>208</v>
      </c>
      <c r="H133" s="137">
        <f t="shared" si="12"/>
        <v>234</v>
      </c>
      <c r="I133" s="34">
        <f t="shared" si="9"/>
        <v>180</v>
      </c>
      <c r="J133" s="138">
        <f t="shared" si="10"/>
        <v>104.84000000000019</v>
      </c>
    </row>
    <row r="134" spans="7:10">
      <c r="G134" s="34">
        <f t="shared" si="11"/>
        <v>207</v>
      </c>
      <c r="H134" s="137">
        <f t="shared" si="12"/>
        <v>234</v>
      </c>
      <c r="I134" s="34">
        <f t="shared" si="9"/>
        <v>180</v>
      </c>
      <c r="J134" s="138">
        <f t="shared" si="10"/>
        <v>105.46000000000019</v>
      </c>
    </row>
    <row r="135" spans="7:10">
      <c r="G135" s="34">
        <f t="shared" si="11"/>
        <v>206</v>
      </c>
      <c r="H135" s="137">
        <f t="shared" si="12"/>
        <v>234</v>
      </c>
      <c r="I135" s="34">
        <f t="shared" si="9"/>
        <v>180</v>
      </c>
      <c r="J135" s="138">
        <f t="shared" si="10"/>
        <v>106.0800000000002</v>
      </c>
    </row>
    <row r="136" spans="7:10">
      <c r="G136" s="34">
        <f t="shared" si="11"/>
        <v>205</v>
      </c>
      <c r="H136" s="137">
        <f t="shared" si="12"/>
        <v>234</v>
      </c>
      <c r="I136" s="34">
        <f t="shared" si="9"/>
        <v>180</v>
      </c>
      <c r="J136" s="138">
        <f t="shared" si="10"/>
        <v>106.7000000000002</v>
      </c>
    </row>
    <row r="137" spans="7:10">
      <c r="G137" s="34">
        <f>G136-1</f>
        <v>204</v>
      </c>
      <c r="H137" s="137">
        <f t="shared" si="12"/>
        <v>234</v>
      </c>
      <c r="I137" s="34">
        <f t="shared" si="9"/>
        <v>180</v>
      </c>
      <c r="J137" s="138">
        <f t="shared" si="10"/>
        <v>107.32000000000021</v>
      </c>
    </row>
    <row r="138" spans="7:10">
      <c r="G138" s="34">
        <f t="shared" ref="G138:G166" si="13">G137-1</f>
        <v>203</v>
      </c>
      <c r="H138" s="137">
        <f t="shared" si="12"/>
        <v>234</v>
      </c>
      <c r="I138" s="34">
        <f t="shared" si="9"/>
        <v>180</v>
      </c>
      <c r="J138" s="138">
        <f t="shared" si="10"/>
        <v>107.94000000000021</v>
      </c>
    </row>
    <row r="139" spans="7:10">
      <c r="G139" s="34">
        <f t="shared" si="13"/>
        <v>202</v>
      </c>
      <c r="H139" s="137">
        <f t="shared" si="12"/>
        <v>234</v>
      </c>
      <c r="I139" s="34">
        <f t="shared" si="9"/>
        <v>180</v>
      </c>
      <c r="J139" s="138">
        <f t="shared" si="10"/>
        <v>108.56000000000022</v>
      </c>
    </row>
    <row r="140" spans="7:10">
      <c r="G140" s="34">
        <f t="shared" si="13"/>
        <v>201</v>
      </c>
      <c r="H140" s="137">
        <f t="shared" si="12"/>
        <v>234</v>
      </c>
      <c r="I140" s="34">
        <f t="shared" si="9"/>
        <v>180</v>
      </c>
      <c r="J140" s="138">
        <f t="shared" si="10"/>
        <v>109.18000000000022</v>
      </c>
    </row>
    <row r="141" spans="7:10">
      <c r="G141" s="34">
        <f t="shared" si="13"/>
        <v>200</v>
      </c>
      <c r="H141" s="137">
        <f t="shared" si="12"/>
        <v>234</v>
      </c>
      <c r="I141" s="34">
        <f t="shared" si="9"/>
        <v>180</v>
      </c>
      <c r="J141" s="138">
        <f t="shared" si="10"/>
        <v>109.80000000000022</v>
      </c>
    </row>
    <row r="142" spans="7:10">
      <c r="G142" s="34">
        <f t="shared" si="13"/>
        <v>199</v>
      </c>
      <c r="H142" s="137">
        <f t="shared" si="12"/>
        <v>234</v>
      </c>
      <c r="I142" s="34">
        <f t="shared" si="9"/>
        <v>180</v>
      </c>
      <c r="J142" s="138">
        <f t="shared" si="10"/>
        <v>110.42000000000023</v>
      </c>
    </row>
    <row r="143" spans="7:10">
      <c r="G143" s="34">
        <f t="shared" si="13"/>
        <v>198</v>
      </c>
      <c r="H143" s="137">
        <f t="shared" si="12"/>
        <v>234</v>
      </c>
      <c r="I143" s="34">
        <f t="shared" si="9"/>
        <v>180</v>
      </c>
      <c r="J143" s="138">
        <f t="shared" si="10"/>
        <v>111.04000000000023</v>
      </c>
    </row>
    <row r="144" spans="7:10">
      <c r="G144" s="34">
        <f t="shared" si="13"/>
        <v>197</v>
      </c>
      <c r="H144" s="137">
        <f t="shared" si="12"/>
        <v>234</v>
      </c>
      <c r="I144" s="34">
        <f t="shared" si="9"/>
        <v>180</v>
      </c>
      <c r="J144" s="138">
        <f t="shared" si="10"/>
        <v>111.66000000000024</v>
      </c>
    </row>
    <row r="145" spans="7:10">
      <c r="G145" s="34">
        <f t="shared" si="13"/>
        <v>196</v>
      </c>
      <c r="H145" s="137">
        <f t="shared" si="12"/>
        <v>234</v>
      </c>
      <c r="I145" s="34">
        <f t="shared" ref="I145:I160" si="14">VLOOKUP($H145,$A$12:$D$15,3,FALSE)</f>
        <v>180</v>
      </c>
      <c r="J145" s="138">
        <f t="shared" si="10"/>
        <v>112.28000000000024</v>
      </c>
    </row>
    <row r="146" spans="7:10">
      <c r="G146" s="34">
        <f t="shared" si="13"/>
        <v>195</v>
      </c>
      <c r="H146" s="137">
        <f t="shared" si="12"/>
        <v>234</v>
      </c>
      <c r="I146" s="34">
        <f t="shared" si="14"/>
        <v>180</v>
      </c>
      <c r="J146" s="138">
        <f t="shared" ref="J146:J200" si="15">J145+VLOOKUP($H146,$A$12:$E$15,5,FALSE)</f>
        <v>112.90000000000025</v>
      </c>
    </row>
    <row r="147" spans="7:10">
      <c r="G147" s="34">
        <f t="shared" si="13"/>
        <v>194</v>
      </c>
      <c r="H147" s="137">
        <f t="shared" si="12"/>
        <v>234</v>
      </c>
      <c r="I147" s="34">
        <f t="shared" si="14"/>
        <v>180</v>
      </c>
      <c r="J147" s="138">
        <f t="shared" si="15"/>
        <v>113.52000000000025</v>
      </c>
    </row>
    <row r="148" spans="7:10">
      <c r="G148" s="34">
        <f t="shared" si="13"/>
        <v>193</v>
      </c>
      <c r="H148" s="137">
        <f t="shared" si="12"/>
        <v>234</v>
      </c>
      <c r="I148" s="34">
        <f t="shared" si="14"/>
        <v>180</v>
      </c>
      <c r="J148" s="138">
        <f t="shared" si="15"/>
        <v>114.14000000000026</v>
      </c>
    </row>
    <row r="149" spans="7:10">
      <c r="G149" s="34">
        <f t="shared" si="13"/>
        <v>192</v>
      </c>
      <c r="H149" s="137">
        <f t="shared" si="12"/>
        <v>234</v>
      </c>
      <c r="I149" s="34">
        <f t="shared" si="14"/>
        <v>180</v>
      </c>
      <c r="J149" s="138">
        <f t="shared" si="15"/>
        <v>114.76000000000026</v>
      </c>
    </row>
    <row r="150" spans="7:10">
      <c r="G150" s="34">
        <f t="shared" si="13"/>
        <v>191</v>
      </c>
      <c r="H150" s="137">
        <f t="shared" si="12"/>
        <v>234</v>
      </c>
      <c r="I150" s="34">
        <f t="shared" si="14"/>
        <v>180</v>
      </c>
      <c r="J150" s="138">
        <f t="shared" si="15"/>
        <v>115.38000000000027</v>
      </c>
    </row>
    <row r="151" spans="7:10">
      <c r="G151" s="34">
        <f t="shared" si="13"/>
        <v>190</v>
      </c>
      <c r="H151" s="137">
        <f t="shared" si="12"/>
        <v>234</v>
      </c>
      <c r="I151" s="34">
        <f t="shared" si="14"/>
        <v>180</v>
      </c>
      <c r="J151" s="138">
        <f t="shared" si="15"/>
        <v>116.00000000000027</v>
      </c>
    </row>
    <row r="152" spans="7:10">
      <c r="G152" s="34">
        <f t="shared" si="13"/>
        <v>189</v>
      </c>
      <c r="H152" s="137">
        <f t="shared" si="12"/>
        <v>234</v>
      </c>
      <c r="I152" s="34">
        <f t="shared" si="14"/>
        <v>180</v>
      </c>
      <c r="J152" s="138">
        <f t="shared" si="15"/>
        <v>116.62000000000027</v>
      </c>
    </row>
    <row r="153" spans="7:10">
      <c r="G153" s="34">
        <f t="shared" si="13"/>
        <v>188</v>
      </c>
      <c r="H153" s="137">
        <f t="shared" si="12"/>
        <v>234</v>
      </c>
      <c r="I153" s="34">
        <f t="shared" si="14"/>
        <v>180</v>
      </c>
      <c r="J153" s="138">
        <f t="shared" si="15"/>
        <v>117.24000000000028</v>
      </c>
    </row>
    <row r="154" spans="7:10">
      <c r="G154" s="34">
        <f t="shared" si="13"/>
        <v>187</v>
      </c>
      <c r="H154" s="137">
        <f t="shared" si="12"/>
        <v>234</v>
      </c>
      <c r="I154" s="34">
        <f t="shared" si="14"/>
        <v>180</v>
      </c>
      <c r="J154" s="138">
        <f t="shared" si="15"/>
        <v>117.86000000000028</v>
      </c>
    </row>
    <row r="155" spans="7:10">
      <c r="G155" s="34">
        <f t="shared" si="13"/>
        <v>186</v>
      </c>
      <c r="H155" s="137">
        <f t="shared" si="12"/>
        <v>234</v>
      </c>
      <c r="I155" s="34">
        <f t="shared" si="14"/>
        <v>180</v>
      </c>
      <c r="J155" s="138">
        <f t="shared" si="15"/>
        <v>118.48000000000029</v>
      </c>
    </row>
    <row r="156" spans="7:10">
      <c r="G156" s="34">
        <f t="shared" si="13"/>
        <v>185</v>
      </c>
      <c r="H156" s="137">
        <f t="shared" si="12"/>
        <v>234</v>
      </c>
      <c r="I156" s="34">
        <f t="shared" si="14"/>
        <v>180</v>
      </c>
      <c r="J156" s="138">
        <f t="shared" si="15"/>
        <v>119.10000000000029</v>
      </c>
    </row>
    <row r="157" spans="7:10">
      <c r="G157" s="34">
        <f t="shared" si="13"/>
        <v>184</v>
      </c>
      <c r="H157" s="137">
        <f t="shared" si="12"/>
        <v>234</v>
      </c>
      <c r="I157" s="34">
        <f t="shared" si="14"/>
        <v>180</v>
      </c>
      <c r="J157" s="138">
        <f t="shared" si="15"/>
        <v>119.7200000000003</v>
      </c>
    </row>
    <row r="158" spans="7:10">
      <c r="G158" s="34">
        <f t="shared" si="13"/>
        <v>183</v>
      </c>
      <c r="H158" s="137">
        <f t="shared" si="12"/>
        <v>234</v>
      </c>
      <c r="I158" s="34">
        <f t="shared" si="14"/>
        <v>180</v>
      </c>
      <c r="J158" s="138">
        <f t="shared" si="15"/>
        <v>120.3400000000003</v>
      </c>
    </row>
    <row r="159" spans="7:10">
      <c r="G159" s="34">
        <f t="shared" si="13"/>
        <v>182</v>
      </c>
      <c r="H159" s="137">
        <f t="shared" si="12"/>
        <v>234</v>
      </c>
      <c r="I159" s="34">
        <f t="shared" si="14"/>
        <v>180</v>
      </c>
      <c r="J159" s="138">
        <f t="shared" si="15"/>
        <v>120.96000000000031</v>
      </c>
    </row>
    <row r="160" spans="7:10">
      <c r="G160" s="34">
        <f t="shared" si="13"/>
        <v>181</v>
      </c>
      <c r="H160" s="137">
        <f t="shared" si="12"/>
        <v>234</v>
      </c>
      <c r="I160" s="34">
        <f t="shared" si="14"/>
        <v>180</v>
      </c>
      <c r="J160" s="138">
        <f t="shared" si="15"/>
        <v>121.58000000000031</v>
      </c>
    </row>
    <row r="161" spans="7:11">
      <c r="G161" s="34">
        <f t="shared" si="13"/>
        <v>180</v>
      </c>
      <c r="H161" s="137">
        <f t="shared" si="12"/>
        <v>234</v>
      </c>
      <c r="I161" s="34">
        <f t="shared" ref="I161:I200" si="16">$G$200</f>
        <v>141</v>
      </c>
      <c r="J161" s="138">
        <f t="shared" si="15"/>
        <v>122.20000000000032</v>
      </c>
    </row>
    <row r="162" spans="7:11">
      <c r="G162" s="34">
        <f t="shared" si="13"/>
        <v>179</v>
      </c>
      <c r="H162" s="137">
        <f t="shared" si="12"/>
        <v>234</v>
      </c>
      <c r="I162" s="34">
        <f t="shared" si="16"/>
        <v>141</v>
      </c>
      <c r="J162" s="138">
        <f t="shared" si="15"/>
        <v>122.82000000000032</v>
      </c>
      <c r="K162" s="88" t="s">
        <v>239</v>
      </c>
    </row>
    <row r="163" spans="7:11">
      <c r="G163" s="34">
        <f t="shared" si="13"/>
        <v>178</v>
      </c>
      <c r="H163" s="137">
        <f t="shared" si="12"/>
        <v>234</v>
      </c>
      <c r="I163" s="34">
        <f t="shared" si="16"/>
        <v>141</v>
      </c>
      <c r="J163" s="138">
        <f t="shared" si="15"/>
        <v>123.44000000000032</v>
      </c>
      <c r="K163" s="88" t="s">
        <v>239</v>
      </c>
    </row>
    <row r="164" spans="7:11">
      <c r="G164" s="34">
        <f t="shared" si="13"/>
        <v>177</v>
      </c>
      <c r="H164" s="137">
        <f t="shared" si="12"/>
        <v>234</v>
      </c>
      <c r="I164" s="34">
        <f t="shared" si="16"/>
        <v>141</v>
      </c>
      <c r="J164" s="138">
        <f t="shared" si="15"/>
        <v>124.06000000000033</v>
      </c>
      <c r="K164" s="88" t="s">
        <v>239</v>
      </c>
    </row>
    <row r="165" spans="7:11">
      <c r="G165" s="34">
        <f t="shared" si="13"/>
        <v>176</v>
      </c>
      <c r="H165" s="137">
        <f t="shared" si="12"/>
        <v>234</v>
      </c>
      <c r="I165" s="34">
        <f t="shared" si="16"/>
        <v>141</v>
      </c>
      <c r="J165" s="138">
        <f t="shared" si="15"/>
        <v>124.68000000000033</v>
      </c>
      <c r="K165" s="88" t="s">
        <v>239</v>
      </c>
    </row>
    <row r="166" spans="7:11">
      <c r="G166" s="34">
        <f t="shared" si="13"/>
        <v>175</v>
      </c>
      <c r="H166" s="137">
        <f t="shared" si="12"/>
        <v>234</v>
      </c>
      <c r="I166" s="34">
        <f t="shared" si="16"/>
        <v>141</v>
      </c>
      <c r="J166" s="138">
        <f t="shared" si="15"/>
        <v>125.30000000000034</v>
      </c>
      <c r="K166" s="88" t="s">
        <v>239</v>
      </c>
    </row>
    <row r="167" spans="7:11">
      <c r="G167" s="34">
        <f>G166-1</f>
        <v>174</v>
      </c>
      <c r="H167" s="137">
        <f t="shared" si="12"/>
        <v>234</v>
      </c>
      <c r="I167" s="34">
        <f t="shared" si="16"/>
        <v>141</v>
      </c>
      <c r="J167" s="138">
        <f t="shared" si="15"/>
        <v>125.92000000000034</v>
      </c>
      <c r="K167" s="88" t="s">
        <v>239</v>
      </c>
    </row>
    <row r="168" spans="7:11">
      <c r="G168" s="34">
        <f t="shared" ref="G168:G175" si="17">G167-1</f>
        <v>173</v>
      </c>
      <c r="H168" s="137">
        <f t="shared" si="12"/>
        <v>234</v>
      </c>
      <c r="I168" s="34">
        <f t="shared" si="16"/>
        <v>141</v>
      </c>
      <c r="J168" s="138">
        <f t="shared" si="15"/>
        <v>126.54000000000035</v>
      </c>
      <c r="K168" s="88" t="s">
        <v>239</v>
      </c>
    </row>
    <row r="169" spans="7:11">
      <c r="G169" s="34">
        <f t="shared" si="17"/>
        <v>172</v>
      </c>
      <c r="H169" s="137">
        <f t="shared" si="12"/>
        <v>234</v>
      </c>
      <c r="I169" s="34">
        <f t="shared" si="16"/>
        <v>141</v>
      </c>
      <c r="J169" s="138">
        <f t="shared" si="15"/>
        <v>127.16000000000035</v>
      </c>
      <c r="K169" s="88" t="s">
        <v>239</v>
      </c>
    </row>
    <row r="170" spans="7:11">
      <c r="G170" s="34">
        <f t="shared" si="17"/>
        <v>171</v>
      </c>
      <c r="H170" s="137">
        <f t="shared" si="12"/>
        <v>234</v>
      </c>
      <c r="I170" s="34">
        <f t="shared" si="16"/>
        <v>141</v>
      </c>
      <c r="J170" s="138">
        <f t="shared" si="15"/>
        <v>127.78000000000036</v>
      </c>
      <c r="K170" s="88" t="s">
        <v>239</v>
      </c>
    </row>
    <row r="171" spans="7:11">
      <c r="G171" s="34">
        <f t="shared" si="17"/>
        <v>170</v>
      </c>
      <c r="H171" s="137">
        <f t="shared" si="12"/>
        <v>234</v>
      </c>
      <c r="I171" s="34">
        <f t="shared" si="16"/>
        <v>141</v>
      </c>
      <c r="J171" s="138">
        <f t="shared" si="15"/>
        <v>128.40000000000035</v>
      </c>
      <c r="K171" s="88" t="s">
        <v>239</v>
      </c>
    </row>
    <row r="172" spans="7:11">
      <c r="G172" s="34">
        <f t="shared" si="17"/>
        <v>169</v>
      </c>
      <c r="H172" s="137">
        <f t="shared" ref="H172:H200" si="18">$A$15</f>
        <v>234</v>
      </c>
      <c r="I172" s="34">
        <f t="shared" si="16"/>
        <v>141</v>
      </c>
      <c r="J172" s="138">
        <f t="shared" si="15"/>
        <v>129.02000000000035</v>
      </c>
      <c r="K172" s="88" t="s">
        <v>239</v>
      </c>
    </row>
    <row r="173" spans="7:11">
      <c r="G173" s="34">
        <f t="shared" si="17"/>
        <v>168</v>
      </c>
      <c r="H173" s="137">
        <f t="shared" si="18"/>
        <v>234</v>
      </c>
      <c r="I173" s="34">
        <f t="shared" si="16"/>
        <v>141</v>
      </c>
      <c r="J173" s="138">
        <f t="shared" si="15"/>
        <v>129.64000000000036</v>
      </c>
      <c r="K173" s="88" t="s">
        <v>239</v>
      </c>
    </row>
    <row r="174" spans="7:11">
      <c r="G174" s="34">
        <f t="shared" si="17"/>
        <v>167</v>
      </c>
      <c r="H174" s="137">
        <f t="shared" si="18"/>
        <v>234</v>
      </c>
      <c r="I174" s="34">
        <f t="shared" si="16"/>
        <v>141</v>
      </c>
      <c r="J174" s="138">
        <f t="shared" si="15"/>
        <v>130.26000000000036</v>
      </c>
      <c r="K174" s="88" t="s">
        <v>239</v>
      </c>
    </row>
    <row r="175" spans="7:11">
      <c r="G175" s="34">
        <f t="shared" si="17"/>
        <v>166</v>
      </c>
      <c r="H175" s="137">
        <f t="shared" si="18"/>
        <v>234</v>
      </c>
      <c r="I175" s="34">
        <f t="shared" si="16"/>
        <v>141</v>
      </c>
      <c r="J175" s="138">
        <f t="shared" si="15"/>
        <v>130.88000000000036</v>
      </c>
      <c r="K175" s="88" t="s">
        <v>239</v>
      </c>
    </row>
    <row r="176" spans="7:11">
      <c r="G176" s="34">
        <f>G175-1</f>
        <v>165</v>
      </c>
      <c r="H176" s="137">
        <f t="shared" si="18"/>
        <v>234</v>
      </c>
      <c r="I176" s="34">
        <f t="shared" si="16"/>
        <v>141</v>
      </c>
      <c r="J176" s="138">
        <f t="shared" si="15"/>
        <v>131.50000000000037</v>
      </c>
      <c r="K176" s="88" t="s">
        <v>239</v>
      </c>
    </row>
    <row r="177" spans="7:11">
      <c r="G177" s="34">
        <f t="shared" ref="G177:G183" si="19">G176-1</f>
        <v>164</v>
      </c>
      <c r="H177" s="137">
        <f t="shared" si="18"/>
        <v>234</v>
      </c>
      <c r="I177" s="34">
        <f t="shared" si="16"/>
        <v>141</v>
      </c>
      <c r="J177" s="138">
        <f t="shared" si="15"/>
        <v>132.12000000000037</v>
      </c>
      <c r="K177" s="88" t="s">
        <v>239</v>
      </c>
    </row>
    <row r="178" spans="7:11">
      <c r="G178" s="34">
        <f t="shared" si="19"/>
        <v>163</v>
      </c>
      <c r="H178" s="137">
        <f t="shared" si="18"/>
        <v>234</v>
      </c>
      <c r="I178" s="34">
        <f t="shared" si="16"/>
        <v>141</v>
      </c>
      <c r="J178" s="138">
        <f t="shared" si="15"/>
        <v>132.74000000000038</v>
      </c>
      <c r="K178" s="88" t="s">
        <v>239</v>
      </c>
    </row>
    <row r="179" spans="7:11">
      <c r="G179" s="34">
        <f t="shared" si="19"/>
        <v>162</v>
      </c>
      <c r="H179" s="137">
        <f t="shared" si="18"/>
        <v>234</v>
      </c>
      <c r="I179" s="34">
        <f t="shared" si="16"/>
        <v>141</v>
      </c>
      <c r="J179" s="138">
        <f t="shared" si="15"/>
        <v>133.36000000000038</v>
      </c>
      <c r="K179" s="88" t="s">
        <v>239</v>
      </c>
    </row>
    <row r="180" spans="7:11">
      <c r="G180" s="34">
        <f t="shared" si="19"/>
        <v>161</v>
      </c>
      <c r="H180" s="137">
        <f t="shared" si="18"/>
        <v>234</v>
      </c>
      <c r="I180" s="34">
        <f t="shared" si="16"/>
        <v>141</v>
      </c>
      <c r="J180" s="138">
        <f t="shared" si="15"/>
        <v>133.98000000000039</v>
      </c>
      <c r="K180" s="88" t="s">
        <v>239</v>
      </c>
    </row>
    <row r="181" spans="7:11">
      <c r="G181" s="34">
        <f t="shared" si="19"/>
        <v>160</v>
      </c>
      <c r="H181" s="137">
        <f t="shared" si="18"/>
        <v>234</v>
      </c>
      <c r="I181" s="34">
        <f t="shared" si="16"/>
        <v>141</v>
      </c>
      <c r="J181" s="138">
        <f t="shared" si="15"/>
        <v>134.60000000000039</v>
      </c>
      <c r="K181" s="88" t="s">
        <v>239</v>
      </c>
    </row>
    <row r="182" spans="7:11">
      <c r="G182" s="34">
        <f t="shared" si="19"/>
        <v>159</v>
      </c>
      <c r="H182" s="137">
        <f t="shared" si="18"/>
        <v>234</v>
      </c>
      <c r="I182" s="34">
        <f t="shared" si="16"/>
        <v>141</v>
      </c>
      <c r="J182" s="138">
        <f t="shared" si="15"/>
        <v>135.2200000000004</v>
      </c>
      <c r="K182" s="88" t="s">
        <v>239</v>
      </c>
    </row>
    <row r="183" spans="7:11">
      <c r="G183" s="34">
        <f t="shared" si="19"/>
        <v>158</v>
      </c>
      <c r="H183" s="137">
        <f t="shared" si="18"/>
        <v>234</v>
      </c>
      <c r="I183" s="34">
        <f t="shared" si="16"/>
        <v>141</v>
      </c>
      <c r="J183" s="138">
        <f t="shared" si="15"/>
        <v>135.8400000000004</v>
      </c>
      <c r="K183" s="88" t="s">
        <v>239</v>
      </c>
    </row>
    <row r="184" spans="7:11">
      <c r="G184" s="34">
        <f>G183-1</f>
        <v>157</v>
      </c>
      <c r="H184" s="137">
        <f t="shared" si="18"/>
        <v>234</v>
      </c>
      <c r="I184" s="34">
        <f t="shared" si="16"/>
        <v>141</v>
      </c>
      <c r="J184" s="138">
        <f t="shared" si="15"/>
        <v>136.46000000000041</v>
      </c>
      <c r="K184" s="88" t="s">
        <v>239</v>
      </c>
    </row>
    <row r="185" spans="7:11">
      <c r="G185" s="34">
        <f t="shared" ref="G185:G191" si="20">G184-1</f>
        <v>156</v>
      </c>
      <c r="H185" s="137">
        <f t="shared" si="18"/>
        <v>234</v>
      </c>
      <c r="I185" s="34">
        <f t="shared" si="16"/>
        <v>141</v>
      </c>
      <c r="J185" s="138">
        <f t="shared" si="15"/>
        <v>137.08000000000041</v>
      </c>
      <c r="K185" s="88" t="s">
        <v>239</v>
      </c>
    </row>
    <row r="186" spans="7:11">
      <c r="G186" s="34">
        <f t="shared" si="20"/>
        <v>155</v>
      </c>
      <c r="H186" s="137">
        <f t="shared" si="18"/>
        <v>234</v>
      </c>
      <c r="I186" s="34">
        <f t="shared" si="16"/>
        <v>141</v>
      </c>
      <c r="J186" s="138">
        <f t="shared" si="15"/>
        <v>137.70000000000041</v>
      </c>
      <c r="K186" s="88" t="s">
        <v>239</v>
      </c>
    </row>
    <row r="187" spans="7:11">
      <c r="G187" s="34">
        <f t="shared" si="20"/>
        <v>154</v>
      </c>
      <c r="H187" s="137">
        <f t="shared" si="18"/>
        <v>234</v>
      </c>
      <c r="I187" s="34">
        <f t="shared" si="16"/>
        <v>141</v>
      </c>
      <c r="J187" s="138">
        <f t="shared" si="15"/>
        <v>138.32000000000042</v>
      </c>
      <c r="K187" s="88" t="s">
        <v>239</v>
      </c>
    </row>
    <row r="188" spans="7:11">
      <c r="G188" s="34">
        <f t="shared" si="20"/>
        <v>153</v>
      </c>
      <c r="H188" s="137">
        <f t="shared" si="18"/>
        <v>234</v>
      </c>
      <c r="I188" s="34">
        <f t="shared" si="16"/>
        <v>141</v>
      </c>
      <c r="J188" s="138">
        <f t="shared" si="15"/>
        <v>138.94000000000042</v>
      </c>
      <c r="K188" s="88" t="s">
        <v>239</v>
      </c>
    </row>
    <row r="189" spans="7:11">
      <c r="G189" s="34">
        <f t="shared" si="20"/>
        <v>152</v>
      </c>
      <c r="H189" s="137">
        <f t="shared" si="18"/>
        <v>234</v>
      </c>
      <c r="I189" s="34">
        <f t="shared" si="16"/>
        <v>141</v>
      </c>
      <c r="J189" s="138">
        <f t="shared" si="15"/>
        <v>139.56000000000043</v>
      </c>
      <c r="K189" s="88" t="s">
        <v>239</v>
      </c>
    </row>
    <row r="190" spans="7:11">
      <c r="G190" s="34">
        <f t="shared" si="20"/>
        <v>151</v>
      </c>
      <c r="H190" s="137">
        <f t="shared" si="18"/>
        <v>234</v>
      </c>
      <c r="I190" s="34">
        <f t="shared" si="16"/>
        <v>141</v>
      </c>
      <c r="J190" s="138">
        <f t="shared" si="15"/>
        <v>140.18000000000043</v>
      </c>
      <c r="K190" s="88" t="s">
        <v>239</v>
      </c>
    </row>
    <row r="191" spans="7:11">
      <c r="G191" s="34">
        <f t="shared" si="20"/>
        <v>150</v>
      </c>
      <c r="H191" s="137">
        <f t="shared" si="18"/>
        <v>234</v>
      </c>
      <c r="I191" s="34">
        <f t="shared" si="16"/>
        <v>141</v>
      </c>
      <c r="J191" s="138">
        <f t="shared" si="15"/>
        <v>140.80000000000044</v>
      </c>
      <c r="K191" s="88" t="s">
        <v>239</v>
      </c>
    </row>
    <row r="192" spans="7:11">
      <c r="G192" s="34">
        <f>G191-1</f>
        <v>149</v>
      </c>
      <c r="H192" s="137">
        <f t="shared" si="18"/>
        <v>234</v>
      </c>
      <c r="I192" s="34">
        <f t="shared" si="16"/>
        <v>141</v>
      </c>
      <c r="J192" s="138">
        <f t="shared" si="15"/>
        <v>141.42000000000044</v>
      </c>
      <c r="K192" s="88" t="s">
        <v>239</v>
      </c>
    </row>
    <row r="193" spans="7:11">
      <c r="G193" s="34">
        <f t="shared" ref="G193:G200" si="21">G192-1</f>
        <v>148</v>
      </c>
      <c r="H193" s="137">
        <f t="shared" si="18"/>
        <v>234</v>
      </c>
      <c r="I193" s="34">
        <f t="shared" si="16"/>
        <v>141</v>
      </c>
      <c r="J193" s="138">
        <f t="shared" si="15"/>
        <v>142.04000000000045</v>
      </c>
      <c r="K193" s="88" t="s">
        <v>239</v>
      </c>
    </row>
    <row r="194" spans="7:11">
      <c r="G194" s="34">
        <f t="shared" si="21"/>
        <v>147</v>
      </c>
      <c r="H194" s="137">
        <f t="shared" si="18"/>
        <v>234</v>
      </c>
      <c r="I194" s="34">
        <f t="shared" si="16"/>
        <v>141</v>
      </c>
      <c r="J194" s="138">
        <f t="shared" si="15"/>
        <v>142.66000000000045</v>
      </c>
      <c r="K194" s="88" t="s">
        <v>239</v>
      </c>
    </row>
    <row r="195" spans="7:11">
      <c r="G195" s="34">
        <f t="shared" si="21"/>
        <v>146</v>
      </c>
      <c r="H195" s="137">
        <f t="shared" si="18"/>
        <v>234</v>
      </c>
      <c r="I195" s="34">
        <f t="shared" si="16"/>
        <v>141</v>
      </c>
      <c r="J195" s="138">
        <f t="shared" si="15"/>
        <v>143.28000000000046</v>
      </c>
      <c r="K195" s="88" t="s">
        <v>239</v>
      </c>
    </row>
    <row r="196" spans="7:11">
      <c r="G196" s="34">
        <f t="shared" si="21"/>
        <v>145</v>
      </c>
      <c r="H196" s="137">
        <f t="shared" si="18"/>
        <v>234</v>
      </c>
      <c r="I196" s="34">
        <f t="shared" si="16"/>
        <v>141</v>
      </c>
      <c r="J196" s="138">
        <f t="shared" si="15"/>
        <v>143.90000000000046</v>
      </c>
      <c r="K196" s="88" t="s">
        <v>239</v>
      </c>
    </row>
    <row r="197" spans="7:11">
      <c r="G197" s="34">
        <f t="shared" si="21"/>
        <v>144</v>
      </c>
      <c r="H197" s="137">
        <f t="shared" si="18"/>
        <v>234</v>
      </c>
      <c r="I197" s="34">
        <f t="shared" si="16"/>
        <v>141</v>
      </c>
      <c r="J197" s="138">
        <f t="shared" si="15"/>
        <v>144.52000000000046</v>
      </c>
      <c r="K197" s="88" t="s">
        <v>239</v>
      </c>
    </row>
    <row r="198" spans="7:11">
      <c r="G198" s="34">
        <f t="shared" si="21"/>
        <v>143</v>
      </c>
      <c r="H198" s="137">
        <f t="shared" si="18"/>
        <v>234</v>
      </c>
      <c r="I198" s="34">
        <f t="shared" si="16"/>
        <v>141</v>
      </c>
      <c r="J198" s="138">
        <f t="shared" si="15"/>
        <v>145.14000000000047</v>
      </c>
      <c r="K198" s="88" t="s">
        <v>239</v>
      </c>
    </row>
    <row r="199" spans="7:11">
      <c r="G199" s="34">
        <f t="shared" si="21"/>
        <v>142</v>
      </c>
      <c r="H199" s="137">
        <f t="shared" si="18"/>
        <v>234</v>
      </c>
      <c r="I199" s="34">
        <f t="shared" si="16"/>
        <v>141</v>
      </c>
      <c r="J199" s="138">
        <f t="shared" si="15"/>
        <v>145.76000000000047</v>
      </c>
      <c r="K199" s="88" t="s">
        <v>239</v>
      </c>
    </row>
    <row r="200" spans="7:11">
      <c r="G200" s="34">
        <f t="shared" si="21"/>
        <v>141</v>
      </c>
      <c r="H200" s="137">
        <f t="shared" si="18"/>
        <v>234</v>
      </c>
      <c r="I200" s="34">
        <f t="shared" si="16"/>
        <v>141</v>
      </c>
      <c r="J200" s="138">
        <f t="shared" si="15"/>
        <v>146.38000000000048</v>
      </c>
      <c r="K200" s="88" t="s">
        <v>239</v>
      </c>
    </row>
  </sheetData>
  <mergeCells count="2">
    <mergeCell ref="A9:B9"/>
    <mergeCell ref="G9:J9"/>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sheetPr codeName="Sheet11"/>
  <dimension ref="A1:J21"/>
  <sheetViews>
    <sheetView workbookViewId="0">
      <selection activeCell="D32" sqref="D32"/>
    </sheetView>
  </sheetViews>
  <sheetFormatPr defaultRowHeight="12.75"/>
  <cols>
    <col min="1" max="1" width="9.140625" style="34"/>
    <col min="2" max="2" width="24.85546875" style="34" customWidth="1"/>
    <col min="3" max="3" width="24.7109375" style="34" customWidth="1"/>
    <col min="4" max="4" width="26.28515625" style="34" customWidth="1"/>
    <col min="5" max="5" width="26.7109375" style="34" customWidth="1"/>
    <col min="6" max="6" width="16.28515625" style="34" customWidth="1"/>
    <col min="7" max="7" width="26.140625" style="34" customWidth="1"/>
    <col min="8" max="8" width="27.28515625" style="34" customWidth="1"/>
    <col min="9" max="9" width="21.42578125" style="34" customWidth="1"/>
    <col min="10" max="10" width="20.42578125" style="34" customWidth="1"/>
    <col min="11" max="16384" width="9.140625" style="34"/>
  </cols>
  <sheetData>
    <row r="1" spans="1:10">
      <c r="A1" s="88" t="s">
        <v>182</v>
      </c>
      <c r="G1" s="88" t="s">
        <v>183</v>
      </c>
    </row>
    <row r="2" spans="1:10" ht="60">
      <c r="B2" s="89"/>
      <c r="C2" s="90" t="str">
        <f>'CEC Data'!R6</f>
        <v xml:space="preserve">180 to 355  kWh/year - All - Baseline (meets Fed. criteria for January 2010). </v>
      </c>
      <c r="D2" s="90" t="str">
        <f>'CEC Data'!T6</f>
        <v>180 to 295  kWh/year - Energy Star as of January 20, 2012</v>
      </c>
      <c r="E2" s="90" t="str">
        <f>'CEC Data'!U6</f>
        <v>180 to 295  kWh/year - CEE Tier 1 as of January 20, 2012;  min EF= 0.75</v>
      </c>
      <c r="F2" s="91"/>
      <c r="G2" s="91"/>
      <c r="H2" s="90" t="str">
        <f>'CEC Data'!S6</f>
        <v>180 to 307 kWh/year- All- Baseline (effective May 2013)</v>
      </c>
      <c r="I2" s="90" t="str">
        <f>D2</f>
        <v>180 to 295  kWh/year - Energy Star as of January 20, 2012</v>
      </c>
      <c r="J2" s="90" t="str">
        <f>E2</f>
        <v>180 to 295  kWh/year - CEE Tier 1 as of January 20, 2012;  min EF= 0.75</v>
      </c>
    </row>
    <row r="3" spans="1:10" ht="15.75" thickBot="1">
      <c r="B3" s="92" t="s">
        <v>184</v>
      </c>
      <c r="C3" s="92"/>
      <c r="D3" s="93"/>
      <c r="E3" s="93"/>
      <c r="F3" s="93"/>
      <c r="G3" s="92" t="s">
        <v>184</v>
      </c>
      <c r="H3" s="93"/>
      <c r="I3" s="93"/>
    </row>
    <row r="4" spans="1:10" ht="16.5" thickTop="1" thickBot="1">
      <c r="B4" s="94" t="s">
        <v>16</v>
      </c>
      <c r="C4" s="95">
        <f>'CEC Data'!R10</f>
        <v>0.87853994490357945</v>
      </c>
      <c r="D4" s="95">
        <f>'CEC Data'!T10</f>
        <v>1.19</v>
      </c>
      <c r="E4" s="95">
        <f>'CEC Data'!U10</f>
        <v>1.19</v>
      </c>
      <c r="F4" s="93"/>
      <c r="G4" s="94" t="s">
        <v>16</v>
      </c>
      <c r="H4" s="95">
        <f>'CEC Data'!S10</f>
        <v>0.87853994490357945</v>
      </c>
      <c r="I4" s="95">
        <f>D4</f>
        <v>1.19</v>
      </c>
      <c r="J4" s="95">
        <f>E4</f>
        <v>1.19</v>
      </c>
    </row>
    <row r="5" spans="1:10" ht="16.5" thickTop="1" thickBot="1">
      <c r="B5" s="94" t="s">
        <v>17</v>
      </c>
      <c r="C5" s="95">
        <f>'CEC Data'!R11</f>
        <v>0</v>
      </c>
      <c r="D5" s="95">
        <f>'CEC Data'!T11</f>
        <v>0</v>
      </c>
      <c r="E5" s="95">
        <f>'CEC Data'!U11</f>
        <v>0.75</v>
      </c>
      <c r="F5" s="93"/>
      <c r="G5" s="94" t="s">
        <v>17</v>
      </c>
      <c r="H5" s="96">
        <f>'CEC Data'!S11</f>
        <v>0</v>
      </c>
      <c r="I5" s="95">
        <f t="shared" ref="I5:J12" si="0">D5</f>
        <v>0</v>
      </c>
      <c r="J5" s="95">
        <f t="shared" si="0"/>
        <v>0.75</v>
      </c>
    </row>
    <row r="6" spans="1:10" ht="16.5" thickTop="1" thickBot="1">
      <c r="B6" s="94" t="s">
        <v>14</v>
      </c>
      <c r="C6" s="97">
        <f>'CEC Data'!R7</f>
        <v>180</v>
      </c>
      <c r="D6" s="98">
        <f>'CEC Data'!T7</f>
        <v>180</v>
      </c>
      <c r="E6" s="98">
        <f>'CEC Data'!U7</f>
        <v>180</v>
      </c>
      <c r="F6" s="93"/>
      <c r="G6" s="94" t="s">
        <v>14</v>
      </c>
      <c r="H6" s="97">
        <f>'CEC Data'!S7</f>
        <v>180</v>
      </c>
      <c r="I6" s="97">
        <f t="shared" si="0"/>
        <v>180</v>
      </c>
      <c r="J6" s="98">
        <f t="shared" si="0"/>
        <v>180</v>
      </c>
    </row>
    <row r="7" spans="1:10" ht="16.5" thickTop="1" thickBot="1">
      <c r="B7" s="94" t="s">
        <v>15</v>
      </c>
      <c r="C7" s="97">
        <f>'CEC Data'!R8</f>
        <v>355</v>
      </c>
      <c r="D7" s="98">
        <f>'CEC Data'!T8</f>
        <v>295</v>
      </c>
      <c r="E7" s="98">
        <f>'CEC Data'!U8</f>
        <v>295</v>
      </c>
      <c r="F7" s="93"/>
      <c r="G7" s="94" t="s">
        <v>15</v>
      </c>
      <c r="H7" s="97">
        <f>'CEC Data'!S8</f>
        <v>307</v>
      </c>
      <c r="I7" s="97">
        <f t="shared" si="0"/>
        <v>295</v>
      </c>
      <c r="J7" s="98">
        <f t="shared" si="0"/>
        <v>295</v>
      </c>
    </row>
    <row r="8" spans="1:10" ht="16.5" thickTop="1" thickBot="1">
      <c r="B8" s="94" t="s">
        <v>185</v>
      </c>
      <c r="C8" s="97">
        <f>'CEC Data'!R12</f>
        <v>363</v>
      </c>
      <c r="D8" s="98">
        <f>'CEC Data'!T12</f>
        <v>243</v>
      </c>
      <c r="E8" s="98">
        <f>'CEC Data'!U12</f>
        <v>233</v>
      </c>
      <c r="F8" s="93"/>
      <c r="G8" s="94" t="s">
        <v>185</v>
      </c>
      <c r="H8" s="97">
        <f>'CEC Data'!S12</f>
        <v>311</v>
      </c>
      <c r="I8" s="97">
        <f t="shared" si="0"/>
        <v>243</v>
      </c>
      <c r="J8" s="98">
        <f t="shared" si="0"/>
        <v>233</v>
      </c>
    </row>
    <row r="9" spans="1:10" ht="16.5" thickTop="1" thickBot="1">
      <c r="B9" s="94" t="s">
        <v>31</v>
      </c>
      <c r="C9" s="96">
        <f>'CEC Data'!R13</f>
        <v>0.77853994490357947</v>
      </c>
      <c r="D9" s="95">
        <f>'CEC Data'!T13</f>
        <v>0.80860082304526615</v>
      </c>
      <c r="E9" s="95">
        <f>'CEC Data'!U13</f>
        <v>0.81248927038626506</v>
      </c>
      <c r="F9" s="93"/>
      <c r="G9" s="94" t="s">
        <v>31</v>
      </c>
      <c r="H9" s="96">
        <f>'CEC Data'!S13</f>
        <v>0.79282958199356746</v>
      </c>
      <c r="I9" s="96">
        <f t="shared" si="0"/>
        <v>0.80860082304526615</v>
      </c>
      <c r="J9" s="95">
        <f t="shared" si="0"/>
        <v>0.81248927038626506</v>
      </c>
    </row>
    <row r="10" spans="1:10" ht="16.5" thickTop="1" thickBot="1">
      <c r="B10" s="94" t="s">
        <v>186</v>
      </c>
      <c r="C10" s="97">
        <f>'CEC Data'!R15</f>
        <v>282.49862258953169</v>
      </c>
      <c r="D10" s="98">
        <f>'CEC Data'!T15</f>
        <v>271.34567901234567</v>
      </c>
      <c r="E10" s="98">
        <f>'CEC Data'!U15</f>
        <v>270.45493562231758</v>
      </c>
      <c r="F10" s="93"/>
      <c r="G10" s="94" t="s">
        <v>186</v>
      </c>
      <c r="H10" s="97">
        <f>'CEC Data'!S15</f>
        <v>276.72990353697747</v>
      </c>
      <c r="I10" s="97">
        <f t="shared" si="0"/>
        <v>271.34567901234567</v>
      </c>
      <c r="J10" s="98">
        <f t="shared" si="0"/>
        <v>270.45493562231758</v>
      </c>
    </row>
    <row r="11" spans="1:10" ht="16.5" thickTop="1" thickBot="1">
      <c r="B11" s="94" t="s">
        <v>187</v>
      </c>
      <c r="C11" s="99">
        <f>'CEC Data'!R16</f>
        <v>11.680440771349863</v>
      </c>
      <c r="D11" s="100">
        <f>'CEC Data'!T16</f>
        <v>12.230452674897119</v>
      </c>
      <c r="E11" s="100">
        <f>'CEC Data'!U16</f>
        <v>12.231759656652361</v>
      </c>
      <c r="F11" s="93"/>
      <c r="G11" s="94" t="s">
        <v>187</v>
      </c>
      <c r="H11" s="99">
        <f>'CEC Data'!S16</f>
        <v>11.967845659163988</v>
      </c>
      <c r="I11" s="99">
        <f t="shared" si="0"/>
        <v>12.230452674897119</v>
      </c>
      <c r="J11" s="100">
        <f t="shared" si="0"/>
        <v>12.231759656652361</v>
      </c>
    </row>
    <row r="12" spans="1:10" ht="16.5" thickTop="1" thickBot="1">
      <c r="B12" s="94" t="s">
        <v>188</v>
      </c>
      <c r="C12" s="101">
        <f>'CEC Data'!R14</f>
        <v>3.9801652892562007</v>
      </c>
      <c r="D12" s="95">
        <f>'CEC Data'!T14</f>
        <v>3.5621399176954798</v>
      </c>
      <c r="E12" s="95">
        <f>'CEC Data'!U14</f>
        <v>3.5527896995708219</v>
      </c>
      <c r="F12" s="93"/>
      <c r="G12" s="94" t="s">
        <v>188</v>
      </c>
      <c r="H12" s="101">
        <f>'CEC Data'!S14</f>
        <v>3.8237942122186555</v>
      </c>
      <c r="I12" s="101">
        <f t="shared" si="0"/>
        <v>3.5621399176954798</v>
      </c>
      <c r="J12" s="95">
        <f t="shared" si="0"/>
        <v>3.5527896995708219</v>
      </c>
    </row>
    <row r="13" spans="1:10" ht="16.5" thickTop="1" thickBot="1">
      <c r="B13" s="94" t="s">
        <v>1096</v>
      </c>
      <c r="C13" s="102">
        <v>0</v>
      </c>
      <c r="D13" s="102">
        <f>('CEC Data'!T17-'CEC Data'!R17)*'SF Assumptions'!D64</f>
        <v>9.5704431514151089</v>
      </c>
      <c r="E13" s="102">
        <f>('CEC Data'!U17-'CEC Data'!R17)*'SF Assumptions'!D64</f>
        <v>10.490360308199934</v>
      </c>
      <c r="F13" s="93"/>
      <c r="G13" s="94" t="s">
        <v>189</v>
      </c>
      <c r="H13" s="102">
        <v>0</v>
      </c>
      <c r="I13" s="102">
        <f>('CEC Data'!T17-'CEC Data'!S17)*'SF Assumptions'!D64</f>
        <v>5.2795660553372441</v>
      </c>
      <c r="J13" s="102">
        <f>('CEC Data'!U17-'CEC Data'!S17)*'SF Assumptions'!D64</f>
        <v>6.1994832121220673</v>
      </c>
    </row>
    <row r="14" spans="1:10" ht="16.5" thickTop="1" thickBot="1">
      <c r="B14" s="103" t="s">
        <v>190</v>
      </c>
      <c r="C14" s="104"/>
      <c r="D14" s="104"/>
      <c r="E14" s="104"/>
      <c r="F14" s="93"/>
      <c r="G14" s="103" t="s">
        <v>190</v>
      </c>
      <c r="H14" s="104"/>
      <c r="I14" s="104"/>
      <c r="J14" s="104"/>
    </row>
    <row r="15" spans="1:10" ht="16.5" thickTop="1" thickBot="1">
      <c r="B15" s="94" t="s">
        <v>191</v>
      </c>
      <c r="C15" s="105">
        <f>'SF Assumptions'!$D$25</f>
        <v>137.28</v>
      </c>
      <c r="D15" s="105">
        <f>'SF Assumptions'!$D$25</f>
        <v>137.28</v>
      </c>
      <c r="E15" s="105">
        <f>'SF Assumptions'!$D$25</f>
        <v>137.28</v>
      </c>
      <c r="F15" s="93"/>
      <c r="G15" s="94" t="s">
        <v>191</v>
      </c>
      <c r="H15" s="105">
        <f>'SF Assumptions'!$D$25</f>
        <v>137.28</v>
      </c>
      <c r="I15" s="105">
        <f>'SF Assumptions'!$D$25</f>
        <v>137.28</v>
      </c>
      <c r="J15" s="105">
        <f>'SF Assumptions'!$D$25</f>
        <v>137.28</v>
      </c>
    </row>
    <row r="16" spans="1:10" ht="16.5" thickTop="1" thickBot="1">
      <c r="B16" s="94" t="s">
        <v>192</v>
      </c>
      <c r="C16" s="105">
        <f>C10*C15/'SF Assumptions'!$D$29</f>
        <v>180.37865539112053</v>
      </c>
      <c r="D16" s="105">
        <f>D10*D15/'SF Assumptions'!$D$29</f>
        <v>173.25737123169682</v>
      </c>
      <c r="E16" s="105">
        <f>E10*E15/'SF Assumptions'!$D$29</f>
        <v>172.68862121968257</v>
      </c>
      <c r="F16" s="93"/>
      <c r="G16" s="94" t="s">
        <v>192</v>
      </c>
      <c r="H16" s="105">
        <f>H10*H15/'SF Assumptions'!$D$29</f>
        <v>176.69526119793613</v>
      </c>
      <c r="I16" s="105">
        <f>I10*I15/'SF Assumptions'!$D$29</f>
        <v>173.25737123169682</v>
      </c>
      <c r="J16" s="105">
        <f>J10*J15/'SF Assumptions'!$D$29</f>
        <v>172.68862121968257</v>
      </c>
    </row>
    <row r="17" spans="2:10" ht="16.5" thickTop="1" thickBot="1">
      <c r="B17" s="94" t="s">
        <v>193</v>
      </c>
      <c r="C17" s="12">
        <f>C15*C12</f>
        <v>546.39709090909128</v>
      </c>
      <c r="D17" s="12">
        <f>D15*D12</f>
        <v>489.01056790123545</v>
      </c>
      <c r="E17" s="12">
        <f>E15*E12</f>
        <v>487.72696995708242</v>
      </c>
      <c r="G17" s="94" t="s">
        <v>193</v>
      </c>
      <c r="H17" s="12">
        <f>H15*H12</f>
        <v>524.93046945337699</v>
      </c>
      <c r="I17" s="12">
        <f>I15*I12</f>
        <v>489.01056790123545</v>
      </c>
      <c r="J17" s="12">
        <f>J15*J12</f>
        <v>487.72696995708242</v>
      </c>
    </row>
    <row r="18" spans="2:10" ht="16.5" thickTop="1" thickBot="1">
      <c r="B18" s="94" t="s">
        <v>194</v>
      </c>
      <c r="C18" s="105">
        <f>C17*'SF Assumptions'!$D$51*'SF Assumptions'!$D$52</f>
        <v>91.794711272727312</v>
      </c>
      <c r="D18" s="105">
        <f>D17*'SF Assumptions'!$D$51*'SF Assumptions'!$D$52</f>
        <v>82.153775407407551</v>
      </c>
      <c r="E18" s="105">
        <f>E17*'SF Assumptions'!$D$51*'SF Assumptions'!$D$52</f>
        <v>81.938130952789834</v>
      </c>
      <c r="G18" s="94" t="s">
        <v>194</v>
      </c>
      <c r="H18" s="105">
        <f>H17*'SF Assumptions'!$D$51*'SF Assumptions'!$D$52</f>
        <v>88.188318868167329</v>
      </c>
      <c r="I18" s="105">
        <f>I17*'SF Assumptions'!$D$51*'SF Assumptions'!$D$52</f>
        <v>82.153775407407551</v>
      </c>
      <c r="J18" s="105">
        <f>J17*'SF Assumptions'!$D$51*'SF Assumptions'!$D$52</f>
        <v>81.938130952789834</v>
      </c>
    </row>
    <row r="19" spans="2:10" ht="16.5" thickTop="1" thickBot="1">
      <c r="B19" s="94" t="s">
        <v>195</v>
      </c>
      <c r="C19" s="106">
        <f>C18*('SF Assumptions'!$D$48/'SF Assumptions'!$D$49)*'SF Assumptions'!$D$54</f>
        <v>4.1772174747536308</v>
      </c>
      <c r="D19" s="106">
        <f>D18*('SF Assumptions'!$D$48/'SF Assumptions'!$D$49)*'SF Assumptions'!$D$54</f>
        <v>3.7384962759915208</v>
      </c>
      <c r="E19" s="106">
        <f>E18*('SF Assumptions'!$D$48/'SF Assumptions'!$D$49)*'SF Assumptions'!$D$54</f>
        <v>3.7286831421881308</v>
      </c>
      <c r="G19" s="94" t="s">
        <v>195</v>
      </c>
      <c r="H19" s="106">
        <f>H18*('SF Assumptions'!$D$48/'SF Assumptions'!$D$49)*'SF Assumptions'!$D$54</f>
        <v>4.0131046934803321</v>
      </c>
      <c r="I19" s="106">
        <f>I18*('SF Assumptions'!$D$48/'SF Assumptions'!$D$49)*'SF Assumptions'!$D$54</f>
        <v>3.7384962759915208</v>
      </c>
      <c r="J19" s="106">
        <f>J18*('SF Assumptions'!$D$48/'SF Assumptions'!$D$49)*'SF Assumptions'!$D$54</f>
        <v>3.7286831421881308</v>
      </c>
    </row>
    <row r="20" spans="2:10" ht="16.5" thickTop="1" thickBot="1">
      <c r="B20" s="94" t="s">
        <v>196</v>
      </c>
      <c r="C20" s="105">
        <f>C16-C18</f>
        <v>88.583944118393219</v>
      </c>
      <c r="D20" s="105">
        <f>D16-D18</f>
        <v>91.103595824289272</v>
      </c>
      <c r="E20" s="105">
        <f>E16-E18</f>
        <v>90.75049026689274</v>
      </c>
      <c r="G20" s="94" t="s">
        <v>196</v>
      </c>
      <c r="H20" s="105">
        <f>H16-H18</f>
        <v>88.506942329768805</v>
      </c>
      <c r="I20" s="105">
        <f>I16-I18</f>
        <v>91.103595824289272</v>
      </c>
      <c r="J20" s="105">
        <f>J16-J18</f>
        <v>90.75049026689274</v>
      </c>
    </row>
    <row r="21" spans="2:10" ht="13.5" thickTop="1">
      <c r="B21" s="93"/>
      <c r="C21" s="93"/>
      <c r="D21" s="93"/>
    </row>
  </sheetData>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sheetPr codeName="Sheet12"/>
  <dimension ref="A1:AA178"/>
  <sheetViews>
    <sheetView topLeftCell="A13" workbookViewId="0">
      <selection activeCell="D40" sqref="D40:F40"/>
    </sheetView>
  </sheetViews>
  <sheetFormatPr defaultRowHeight="12.75"/>
  <cols>
    <col min="1" max="2" width="9.140625" style="2"/>
    <col min="3" max="3" width="71" style="34" customWidth="1"/>
    <col min="4" max="4" width="33.7109375" style="34" customWidth="1"/>
    <col min="5" max="5" width="67.140625" style="34" customWidth="1"/>
    <col min="6" max="6" width="26.42578125" style="34" customWidth="1"/>
    <col min="7" max="7" width="20.140625" style="34" customWidth="1"/>
    <col min="8" max="9" width="9.140625" style="34"/>
    <col min="10" max="27" width="9.140625" style="2"/>
    <col min="28" max="16384" width="9.140625" style="34"/>
  </cols>
  <sheetData>
    <row r="1" spans="3:26" s="2" customFormat="1" ht="13.5" thickBot="1">
      <c r="C1" s="1"/>
      <c r="D1" s="1"/>
      <c r="E1" s="1"/>
      <c r="F1" s="1"/>
      <c r="G1" s="1"/>
      <c r="H1" s="1"/>
      <c r="I1" s="1"/>
      <c r="J1" s="1"/>
      <c r="K1" s="1"/>
      <c r="L1" s="1"/>
      <c r="M1" s="1"/>
      <c r="N1" s="1"/>
      <c r="O1" s="1"/>
      <c r="P1" s="1"/>
      <c r="Q1" s="1"/>
    </row>
    <row r="2" spans="3:26" ht="15.75" thickBot="1">
      <c r="C2" s="3"/>
      <c r="D2" s="4" t="s">
        <v>0</v>
      </c>
      <c r="E2" s="4" t="s">
        <v>1</v>
      </c>
      <c r="F2" s="5" t="s">
        <v>2</v>
      </c>
      <c r="G2" s="5" t="s">
        <v>3</v>
      </c>
      <c r="H2" s="5" t="s">
        <v>4</v>
      </c>
      <c r="I2" s="5" t="s">
        <v>5</v>
      </c>
      <c r="J2" s="6"/>
      <c r="K2" s="6"/>
      <c r="L2" s="1"/>
      <c r="M2" s="1"/>
      <c r="N2" s="1"/>
      <c r="O2" s="1"/>
      <c r="P2" s="1"/>
      <c r="Q2" s="1"/>
    </row>
    <row r="3" spans="3:26" ht="16.5" thickTop="1" thickBot="1">
      <c r="C3" s="7" t="s">
        <v>6</v>
      </c>
      <c r="D3" s="8"/>
      <c r="E3" s="8"/>
      <c r="F3" s="9"/>
      <c r="G3" s="9"/>
      <c r="H3" s="9"/>
      <c r="I3" s="9"/>
      <c r="J3" s="6"/>
      <c r="K3" s="6"/>
      <c r="L3" s="1"/>
      <c r="M3" s="1"/>
      <c r="N3" s="1"/>
      <c r="O3" s="1"/>
      <c r="P3" s="1"/>
      <c r="Q3" s="1"/>
    </row>
    <row r="4" spans="3:26" ht="16.5" thickTop="1" thickBot="1">
      <c r="C4" s="10" t="s">
        <v>7</v>
      </c>
      <c r="D4" s="11">
        <v>0</v>
      </c>
      <c r="E4" s="12">
        <v>355</v>
      </c>
      <c r="F4" s="13">
        <v>6.5</v>
      </c>
      <c r="G4" s="14" t="s">
        <v>8</v>
      </c>
      <c r="H4" s="14" t="s">
        <v>9</v>
      </c>
      <c r="I4" s="15" t="s">
        <v>10</v>
      </c>
      <c r="J4" s="16"/>
      <c r="K4" s="16"/>
      <c r="L4" s="17"/>
      <c r="M4" s="17"/>
      <c r="N4" s="17"/>
      <c r="O4" s="17"/>
      <c r="P4" s="17"/>
      <c r="Q4" s="17"/>
    </row>
    <row r="5" spans="3:26" ht="16.5" thickTop="1" thickBot="1">
      <c r="C5" s="7"/>
      <c r="D5" s="8"/>
      <c r="E5" s="8"/>
      <c r="F5" s="9"/>
      <c r="G5" s="18"/>
      <c r="H5" s="18"/>
      <c r="I5" s="18"/>
      <c r="J5" s="6"/>
      <c r="K5" s="6"/>
      <c r="L5" s="1"/>
      <c r="M5" s="1"/>
      <c r="N5" s="1"/>
      <c r="O5" s="1"/>
      <c r="P5" s="1"/>
      <c r="Q5" s="1"/>
    </row>
    <row r="6" spans="3:26" ht="16.5" thickTop="1" thickBot="1">
      <c r="C6" s="10" t="s">
        <v>11</v>
      </c>
      <c r="D6" s="11">
        <v>0</v>
      </c>
      <c r="E6" s="12">
        <v>295</v>
      </c>
      <c r="F6" s="13">
        <v>4.5</v>
      </c>
      <c r="G6" s="14" t="s">
        <v>8</v>
      </c>
      <c r="H6" s="14" t="s">
        <v>9</v>
      </c>
      <c r="I6" s="15" t="s">
        <v>10</v>
      </c>
      <c r="J6" s="6"/>
      <c r="K6" s="6"/>
      <c r="L6" s="1"/>
      <c r="M6" s="1"/>
      <c r="N6" s="1"/>
      <c r="O6" s="1"/>
      <c r="P6" s="1"/>
      <c r="Q6" s="1"/>
    </row>
    <row r="7" spans="3:26" ht="16.5" thickTop="1" thickBot="1">
      <c r="C7" s="7"/>
      <c r="D7" s="8"/>
      <c r="E7" s="8"/>
      <c r="F7" s="9"/>
      <c r="G7" s="18"/>
      <c r="H7" s="18"/>
      <c r="I7" s="18"/>
      <c r="J7" s="6"/>
      <c r="K7" s="6"/>
      <c r="L7" s="1"/>
      <c r="M7" s="1"/>
      <c r="N7" s="1"/>
      <c r="O7" s="1"/>
      <c r="P7" s="1"/>
      <c r="Q7" s="1"/>
    </row>
    <row r="8" spans="3:26" ht="16.5" thickTop="1" thickBot="1">
      <c r="C8" s="10" t="s">
        <v>12</v>
      </c>
      <c r="D8" s="19">
        <v>0.75</v>
      </c>
      <c r="E8" s="12">
        <v>295</v>
      </c>
      <c r="F8" s="13">
        <v>4.5</v>
      </c>
      <c r="G8" s="14"/>
      <c r="H8" s="14" t="s">
        <v>9</v>
      </c>
      <c r="I8" s="15" t="s">
        <v>10</v>
      </c>
      <c r="J8" s="1"/>
      <c r="K8" s="1"/>
      <c r="L8" s="1"/>
      <c r="M8" s="1"/>
      <c r="N8" s="1"/>
      <c r="O8" s="1"/>
      <c r="P8" s="1"/>
      <c r="Q8" s="1"/>
    </row>
    <row r="9" spans="3:26" ht="17.25" thickTop="1" thickBot="1">
      <c r="C9" s="678"/>
      <c r="D9" s="679"/>
      <c r="E9" s="679"/>
      <c r="F9" s="680"/>
      <c r="G9" s="20"/>
      <c r="H9" s="20"/>
      <c r="I9" s="20"/>
      <c r="J9" s="1"/>
      <c r="K9" s="21"/>
      <c r="L9" s="21"/>
      <c r="M9" s="21"/>
      <c r="N9" s="21"/>
      <c r="O9" s="21"/>
      <c r="P9" s="21"/>
      <c r="Q9" s="21"/>
    </row>
    <row r="10" spans="3:26" s="2" customFormat="1"/>
    <row r="11" spans="3:26" ht="15">
      <c r="C11" s="22" t="s">
        <v>13</v>
      </c>
      <c r="D11" s="23"/>
      <c r="E11" s="23"/>
      <c r="F11" s="23"/>
      <c r="G11" s="23"/>
      <c r="H11" s="23"/>
      <c r="I11" s="23"/>
      <c r="J11" s="24"/>
      <c r="K11" s="24"/>
      <c r="L11" s="24"/>
      <c r="M11" s="24"/>
      <c r="N11" s="24"/>
      <c r="O11" s="24"/>
      <c r="P11" s="24"/>
      <c r="Q11" s="24"/>
      <c r="R11" s="24"/>
      <c r="S11" s="24"/>
      <c r="T11" s="24"/>
      <c r="U11" s="24"/>
      <c r="V11" s="24"/>
      <c r="W11" s="24"/>
      <c r="X11" s="24"/>
      <c r="Y11" s="24"/>
      <c r="Z11" s="24"/>
    </row>
    <row r="12" spans="3:26" s="2" customFormat="1" ht="15">
      <c r="C12" s="25"/>
      <c r="D12" s="26" t="s">
        <v>14</v>
      </c>
      <c r="E12" s="26" t="s">
        <v>15</v>
      </c>
      <c r="F12" s="26" t="s">
        <v>16</v>
      </c>
      <c r="G12" s="26" t="s">
        <v>17</v>
      </c>
      <c r="H12" s="27" t="s">
        <v>18</v>
      </c>
      <c r="I12" s="24"/>
      <c r="J12" s="24"/>
      <c r="K12" s="24"/>
      <c r="L12" s="24"/>
      <c r="M12" s="24"/>
      <c r="N12" s="24"/>
      <c r="O12" s="24"/>
      <c r="P12" s="24"/>
      <c r="Q12" s="24"/>
      <c r="R12" s="24"/>
      <c r="S12" s="24"/>
      <c r="T12" s="24"/>
      <c r="U12" s="24"/>
      <c r="V12" s="24"/>
      <c r="W12" s="24"/>
      <c r="X12" s="24"/>
      <c r="Y12" s="24"/>
      <c r="Z12" s="24"/>
    </row>
    <row r="13" spans="3:26" ht="15">
      <c r="C13" s="28" t="s">
        <v>19</v>
      </c>
      <c r="D13" s="29"/>
      <c r="E13" s="29"/>
      <c r="F13" s="29"/>
      <c r="G13" s="29"/>
      <c r="H13" s="29"/>
      <c r="I13" s="29"/>
      <c r="J13" s="30"/>
      <c r="K13" s="30"/>
      <c r="L13" s="30"/>
      <c r="M13" s="30"/>
      <c r="N13" s="30"/>
      <c r="O13" s="30"/>
      <c r="P13" s="30"/>
      <c r="Q13" s="30"/>
      <c r="R13" s="30"/>
      <c r="S13" s="30"/>
      <c r="T13" s="30"/>
      <c r="U13" s="30"/>
      <c r="V13" s="30"/>
      <c r="W13" s="30"/>
      <c r="X13" s="30"/>
      <c r="Y13" s="30"/>
      <c r="Z13" s="30"/>
    </row>
    <row r="14" spans="3:26" s="2" customFormat="1" ht="15">
      <c r="C14" s="31" t="s">
        <v>20</v>
      </c>
      <c r="D14" s="32">
        <f>MIN('CEC Data'!K21:K383)</f>
        <v>180</v>
      </c>
      <c r="E14" s="32">
        <v>355</v>
      </c>
      <c r="F14" s="33">
        <f>ROUND($D$29/(D14),2)</f>
        <v>1.19</v>
      </c>
      <c r="G14" s="33">
        <v>0</v>
      </c>
      <c r="H14" s="31" t="str">
        <f>C14</f>
        <v>180 to 355  kWh/year - All - Baseline (meets Fed. criteria till May 2013)</v>
      </c>
      <c r="I14" s="31"/>
      <c r="J14" s="30"/>
      <c r="K14" s="31" t="s">
        <v>21</v>
      </c>
      <c r="L14" s="30"/>
      <c r="M14" s="30"/>
      <c r="N14" s="30"/>
      <c r="O14" s="30"/>
      <c r="P14" s="30"/>
      <c r="Q14" s="30"/>
      <c r="R14" s="30"/>
      <c r="S14" s="30"/>
      <c r="T14" s="30"/>
      <c r="U14" s="30"/>
      <c r="V14" s="30"/>
      <c r="W14" s="30"/>
      <c r="X14" s="30"/>
      <c r="Y14" s="30"/>
      <c r="Z14" s="30"/>
    </row>
    <row r="15" spans="3:26" s="2" customFormat="1" ht="15">
      <c r="C15" s="31" t="s">
        <v>22</v>
      </c>
      <c r="D15" s="32">
        <f>D14</f>
        <v>180</v>
      </c>
      <c r="E15" s="32">
        <v>295</v>
      </c>
      <c r="F15" s="33">
        <f>ROUND($D$29/(D15),2)</f>
        <v>1.19</v>
      </c>
      <c r="G15" s="33">
        <v>0</v>
      </c>
      <c r="H15" s="31" t="str">
        <f>C15</f>
        <v>180 to 295  kWh/year - Energy Star as of January 20, 2012</v>
      </c>
      <c r="I15" s="31"/>
      <c r="J15" s="30"/>
      <c r="K15" s="31"/>
      <c r="L15" s="30"/>
      <c r="M15" s="30"/>
      <c r="N15" s="30"/>
      <c r="O15" s="30"/>
      <c r="P15" s="30"/>
      <c r="Q15" s="30"/>
      <c r="R15" s="30"/>
      <c r="S15" s="30"/>
      <c r="T15" s="30"/>
      <c r="U15" s="30"/>
      <c r="V15" s="30"/>
      <c r="W15" s="30"/>
      <c r="X15" s="30"/>
      <c r="Y15" s="30"/>
      <c r="Z15" s="30"/>
    </row>
    <row r="16" spans="3:26" s="2" customFormat="1" ht="15">
      <c r="C16" s="31" t="s">
        <v>23</v>
      </c>
      <c r="D16" s="32">
        <f>D14</f>
        <v>180</v>
      </c>
      <c r="E16" s="32">
        <v>295</v>
      </c>
      <c r="F16" s="33">
        <f>ROUND($D$29/(D16),2)</f>
        <v>1.19</v>
      </c>
      <c r="G16" s="33">
        <v>0.75</v>
      </c>
      <c r="H16" s="31" t="str">
        <f>C16</f>
        <v>180 to 295  kWh/year - CEE Tier 1 as of January 20, 2012;  min EF= 0.75</v>
      </c>
      <c r="I16" s="31"/>
      <c r="J16" s="30"/>
      <c r="K16" s="31" t="s">
        <v>24</v>
      </c>
      <c r="L16" s="30"/>
      <c r="M16" s="30"/>
      <c r="N16" s="30"/>
      <c r="O16" s="30"/>
      <c r="P16" s="30"/>
      <c r="Q16" s="30"/>
      <c r="R16" s="30"/>
      <c r="S16" s="30"/>
      <c r="T16" s="30"/>
      <c r="U16" s="30"/>
      <c r="V16" s="30"/>
      <c r="W16" s="30"/>
      <c r="X16" s="30"/>
      <c r="Y16" s="30"/>
      <c r="Z16" s="30"/>
    </row>
    <row r="17" spans="3:27" s="2" customFormat="1" ht="15">
      <c r="C17" s="30"/>
      <c r="D17" s="26" t="s">
        <v>14</v>
      </c>
      <c r="E17" s="26" t="s">
        <v>15</v>
      </c>
      <c r="F17" s="26" t="s">
        <v>16</v>
      </c>
      <c r="G17" s="26" t="s">
        <v>17</v>
      </c>
      <c r="H17" s="26" t="s">
        <v>18</v>
      </c>
      <c r="I17" s="30"/>
      <c r="J17" s="30"/>
      <c r="K17" s="30"/>
      <c r="L17" s="27"/>
      <c r="M17" s="30"/>
      <c r="N17" s="30"/>
      <c r="O17" s="30"/>
      <c r="P17" s="30"/>
      <c r="Q17" s="30"/>
      <c r="R17" s="30"/>
      <c r="S17" s="30"/>
      <c r="T17" s="30"/>
      <c r="U17" s="30"/>
      <c r="V17" s="30"/>
      <c r="W17" s="30"/>
      <c r="X17" s="30"/>
      <c r="Y17" s="30"/>
      <c r="Z17" s="30"/>
      <c r="AA17" s="30"/>
    </row>
    <row r="18" spans="3:27" ht="15">
      <c r="C18" s="28" t="s">
        <v>25</v>
      </c>
      <c r="D18" s="29"/>
      <c r="E18" s="29"/>
      <c r="F18" s="29"/>
      <c r="G18" s="29"/>
      <c r="H18" s="29"/>
      <c r="I18" s="29"/>
      <c r="J18" s="30"/>
      <c r="K18" s="30"/>
      <c r="L18" s="30"/>
      <c r="M18" s="30"/>
      <c r="N18" s="30"/>
      <c r="O18" s="30"/>
      <c r="P18" s="30"/>
      <c r="Q18" s="30"/>
      <c r="R18" s="30"/>
      <c r="S18" s="30"/>
      <c r="T18" s="30"/>
      <c r="U18" s="30"/>
      <c r="V18" s="30"/>
      <c r="W18" s="30"/>
      <c r="X18" s="30"/>
      <c r="Y18" s="30"/>
      <c r="Z18" s="30"/>
      <c r="AA18" s="30"/>
    </row>
    <row r="19" spans="3:27" s="2" customFormat="1" ht="15">
      <c r="C19" s="31" t="s">
        <v>26</v>
      </c>
      <c r="D19" s="32">
        <v>180</v>
      </c>
      <c r="E19" s="32">
        <v>355</v>
      </c>
      <c r="F19" s="33">
        <f>D23+$D$24</f>
        <v>0.87853994490357945</v>
      </c>
      <c r="G19" s="33">
        <f>D23-D24</f>
        <v>0.67853994490357949</v>
      </c>
      <c r="H19" s="31" t="str">
        <f>C19</f>
        <v xml:space="preserve">180 to 355  kWh/year - All - Baseline (meets Fed. criteria for January 2010). </v>
      </c>
      <c r="I19" s="30"/>
      <c r="J19" s="30"/>
      <c r="K19" s="30"/>
      <c r="L19" s="33"/>
      <c r="M19" s="30"/>
      <c r="N19" s="30"/>
      <c r="O19" s="30"/>
      <c r="P19" s="30"/>
      <c r="Q19" s="30"/>
      <c r="R19" s="30"/>
      <c r="S19" s="30"/>
      <c r="T19" s="30"/>
      <c r="U19" s="30"/>
      <c r="V19" s="30"/>
      <c r="W19" s="30"/>
      <c r="X19" s="30"/>
      <c r="Y19" s="30"/>
      <c r="Z19" s="30"/>
      <c r="AA19" s="30"/>
    </row>
    <row r="20" spans="3:27" s="2" customFormat="1" ht="15">
      <c r="C20" s="35" t="s">
        <v>27</v>
      </c>
      <c r="D20" s="32">
        <v>180</v>
      </c>
      <c r="E20" s="32">
        <v>307</v>
      </c>
      <c r="F20" s="33">
        <f>D23+$D$24</f>
        <v>0.87853994490357945</v>
      </c>
      <c r="G20" s="33">
        <f>D23-D24</f>
        <v>0.67853994490357949</v>
      </c>
      <c r="H20" s="31" t="str">
        <f>C20</f>
        <v>180 to 307 kWh/year- All- Baseline (effective May 2013)</v>
      </c>
      <c r="I20" s="30"/>
      <c r="J20" s="30"/>
      <c r="K20" s="30"/>
      <c r="L20" s="33"/>
      <c r="M20" s="30"/>
      <c r="N20" s="30"/>
      <c r="O20" s="30"/>
      <c r="P20" s="30"/>
      <c r="Q20" s="30"/>
      <c r="R20" s="30"/>
      <c r="S20" s="30"/>
      <c r="T20" s="30"/>
      <c r="U20" s="30"/>
      <c r="V20" s="30"/>
      <c r="W20" s="30"/>
      <c r="X20" s="30"/>
      <c r="Y20" s="30"/>
      <c r="Z20" s="30"/>
      <c r="AA20" s="30"/>
    </row>
    <row r="21" spans="3:27" s="2" customFormat="1" ht="15">
      <c r="C21" s="30"/>
      <c r="D21" s="32"/>
      <c r="E21" s="32"/>
      <c r="F21" s="33"/>
      <c r="G21" s="33"/>
      <c r="H21" s="31"/>
      <c r="I21" s="30"/>
      <c r="J21" s="30"/>
      <c r="K21" s="30"/>
      <c r="L21" s="33"/>
      <c r="M21" s="30"/>
      <c r="N21" s="30"/>
      <c r="O21" s="30"/>
      <c r="P21" s="30"/>
      <c r="Q21" s="30"/>
      <c r="R21" s="30"/>
      <c r="S21" s="30"/>
      <c r="T21" s="30"/>
      <c r="U21" s="30"/>
      <c r="V21" s="30"/>
      <c r="W21" s="30"/>
      <c r="X21" s="30"/>
      <c r="Y21" s="30"/>
      <c r="Z21" s="30"/>
      <c r="AA21" s="30"/>
    </row>
    <row r="22" spans="3:27" s="2" customFormat="1" ht="15">
      <c r="C22" s="36" t="s">
        <v>28</v>
      </c>
      <c r="D22" s="37" t="s">
        <v>29</v>
      </c>
      <c r="E22" s="37" t="s">
        <v>30</v>
      </c>
      <c r="F22" s="33"/>
      <c r="G22" s="33"/>
      <c r="H22" s="30"/>
      <c r="I22" s="30"/>
      <c r="J22" s="30"/>
      <c r="K22" s="30"/>
      <c r="L22" s="33"/>
      <c r="M22" s="30"/>
      <c r="N22" s="30"/>
      <c r="O22" s="30"/>
      <c r="P22" s="30"/>
      <c r="Q22" s="30"/>
      <c r="R22" s="30"/>
      <c r="S22" s="30"/>
      <c r="T22" s="30"/>
      <c r="U22" s="30"/>
      <c r="V22" s="30"/>
      <c r="W22" s="30"/>
      <c r="X22" s="30"/>
      <c r="Y22" s="30"/>
      <c r="Z22" s="30"/>
      <c r="AA22" s="30"/>
    </row>
    <row r="23" spans="3:27" s="2" customFormat="1" ht="22.5" customHeight="1">
      <c r="C23" s="38" t="s">
        <v>31</v>
      </c>
      <c r="D23" s="39">
        <f>'CEC Data'!R13</f>
        <v>0.77853994490357947</v>
      </c>
      <c r="E23" s="40" t="s">
        <v>32</v>
      </c>
      <c r="F23" s="33"/>
      <c r="G23" s="33"/>
      <c r="H23" s="30"/>
      <c r="I23" s="30"/>
      <c r="J23" s="30"/>
      <c r="K23" s="30"/>
      <c r="L23" s="33"/>
      <c r="M23" s="30"/>
      <c r="N23" s="30"/>
      <c r="O23" s="30"/>
      <c r="P23" s="30"/>
      <c r="Q23" s="30"/>
      <c r="R23" s="30"/>
      <c r="S23" s="30"/>
      <c r="T23" s="30"/>
      <c r="U23" s="30"/>
      <c r="V23" s="30"/>
      <c r="W23" s="30"/>
      <c r="X23" s="30"/>
      <c r="Y23" s="30"/>
      <c r="Z23" s="30"/>
      <c r="AA23" s="30"/>
    </row>
    <row r="24" spans="3:27" s="2" customFormat="1" ht="24.75" customHeight="1">
      <c r="C24" s="41" t="s">
        <v>33</v>
      </c>
      <c r="D24" s="42">
        <v>0.1</v>
      </c>
      <c r="E24" s="43" t="s">
        <v>34</v>
      </c>
    </row>
    <row r="25" spans="3:27" s="2" customFormat="1" ht="15" customHeight="1">
      <c r="C25" s="44" t="s">
        <v>35</v>
      </c>
      <c r="D25" s="42">
        <f>2.64*52</f>
        <v>137.28</v>
      </c>
      <c r="E25" s="45" t="s">
        <v>924</v>
      </c>
      <c r="F25" s="46"/>
      <c r="G25" s="47"/>
      <c r="H25" s="1"/>
      <c r="I25" s="1"/>
      <c r="J25" s="1"/>
      <c r="K25" s="1"/>
      <c r="L25" s="1"/>
      <c r="M25" s="1"/>
      <c r="N25" s="1"/>
      <c r="O25" s="1"/>
      <c r="P25" s="1"/>
    </row>
    <row r="26" spans="3:27" s="2" customFormat="1" ht="15">
      <c r="C26" s="30"/>
      <c r="D26" s="48"/>
      <c r="E26" s="31"/>
      <c r="F26" s="30"/>
      <c r="G26" s="30"/>
      <c r="H26" s="49"/>
      <c r="I26" s="30"/>
      <c r="J26" s="30"/>
      <c r="K26" s="30"/>
      <c r="L26" s="30"/>
      <c r="M26" s="30"/>
      <c r="N26" s="30"/>
      <c r="O26" s="30"/>
      <c r="P26" s="30"/>
      <c r="Q26" s="30"/>
      <c r="R26" s="30"/>
      <c r="S26" s="30"/>
      <c r="T26" s="30"/>
      <c r="U26" s="30"/>
      <c r="V26" s="30"/>
      <c r="W26" s="30"/>
      <c r="X26" s="30"/>
      <c r="Y26" s="30"/>
      <c r="Z26" s="50"/>
      <c r="AA26" s="51"/>
    </row>
    <row r="27" spans="3:27" s="2" customFormat="1" ht="15">
      <c r="C27" s="52" t="s">
        <v>36</v>
      </c>
      <c r="D27" s="24"/>
      <c r="E27" s="24"/>
      <c r="F27" s="24"/>
      <c r="G27" s="24"/>
      <c r="H27" s="24"/>
      <c r="I27" s="24"/>
      <c r="J27" s="24"/>
      <c r="K27" s="24"/>
      <c r="L27" s="24"/>
      <c r="M27" s="24"/>
      <c r="N27" s="24"/>
      <c r="O27" s="24"/>
      <c r="P27" s="24"/>
      <c r="Q27" s="24"/>
      <c r="R27" s="24"/>
      <c r="S27" s="24"/>
      <c r="T27" s="24"/>
      <c r="U27" s="24"/>
      <c r="V27" s="24"/>
      <c r="W27" s="24"/>
      <c r="X27" s="24"/>
      <c r="Y27" s="24"/>
      <c r="Z27" s="24"/>
      <c r="AA27" s="24"/>
    </row>
    <row r="28" spans="3:27" s="2" customFormat="1" ht="15">
      <c r="C28" s="52"/>
      <c r="D28" s="52" t="s">
        <v>37</v>
      </c>
      <c r="E28" s="24"/>
      <c r="F28" s="24"/>
      <c r="G28" s="24"/>
      <c r="H28" s="24"/>
      <c r="I28" s="24"/>
      <c r="J28" s="24"/>
      <c r="K28" s="24"/>
      <c r="L28" s="24"/>
      <c r="M28" s="24"/>
      <c r="N28" s="24"/>
      <c r="O28" s="24"/>
      <c r="P28" s="24"/>
      <c r="Q28" s="24"/>
      <c r="R28" s="24"/>
      <c r="S28" s="24"/>
      <c r="T28" s="24"/>
      <c r="U28" s="24"/>
      <c r="V28" s="24"/>
      <c r="W28" s="24"/>
      <c r="X28" s="24"/>
      <c r="Y28" s="24"/>
      <c r="Z28" s="24"/>
      <c r="AA28" s="24"/>
    </row>
    <row r="29" spans="3:27" s="2" customFormat="1" ht="15">
      <c r="C29" s="52"/>
      <c r="D29" s="24">
        <v>215</v>
      </c>
      <c r="E29" s="53" t="s">
        <v>38</v>
      </c>
      <c r="F29" s="24"/>
      <c r="G29" s="24"/>
      <c r="H29" s="24"/>
      <c r="I29" s="24"/>
      <c r="J29" s="24"/>
      <c r="K29" s="24"/>
      <c r="L29" s="24"/>
      <c r="M29" s="24"/>
      <c r="N29" s="24"/>
      <c r="O29" s="24"/>
      <c r="P29" s="24"/>
      <c r="Q29" s="24"/>
      <c r="R29" s="24"/>
      <c r="S29" s="24"/>
      <c r="T29" s="24"/>
      <c r="U29" s="24"/>
      <c r="V29" s="24"/>
      <c r="W29" s="24"/>
      <c r="X29" s="24"/>
      <c r="Y29" s="24"/>
      <c r="Z29" s="24"/>
      <c r="AA29" s="24"/>
    </row>
    <row r="30" spans="3:27" s="2" customFormat="1" ht="15">
      <c r="C30" s="30"/>
      <c r="D30" s="27" t="s">
        <v>39</v>
      </c>
      <c r="E30" s="30"/>
      <c r="F30" s="30"/>
      <c r="G30" s="30"/>
      <c r="H30" s="30"/>
      <c r="I30" s="30"/>
      <c r="J30" s="30"/>
      <c r="K30" s="30"/>
      <c r="L30" s="30"/>
      <c r="M30" s="30"/>
      <c r="N30" s="30"/>
      <c r="O30" s="30"/>
      <c r="P30" s="30"/>
      <c r="Q30" s="30"/>
      <c r="R30" s="30"/>
      <c r="S30" s="30"/>
      <c r="T30" s="30"/>
      <c r="U30" s="30"/>
      <c r="V30" s="30"/>
      <c r="W30" s="30"/>
      <c r="X30" s="30"/>
      <c r="Y30" s="30"/>
      <c r="Z30" s="50"/>
      <c r="AA30" s="51"/>
    </row>
    <row r="31" spans="3:27" s="2" customFormat="1" ht="15">
      <c r="C31" s="30"/>
      <c r="D31" s="31">
        <v>15.4</v>
      </c>
      <c r="E31" s="31" t="s">
        <v>40</v>
      </c>
      <c r="F31" s="30"/>
      <c r="G31" s="30"/>
      <c r="H31" s="30"/>
      <c r="I31" s="30"/>
      <c r="J31" s="30"/>
      <c r="K31" s="30"/>
      <c r="L31" s="30"/>
      <c r="M31" s="30"/>
      <c r="N31" s="30"/>
      <c r="O31" s="30"/>
      <c r="P31" s="30"/>
      <c r="Q31" s="30"/>
      <c r="R31" s="30"/>
      <c r="S31" s="30"/>
      <c r="T31" s="30"/>
      <c r="U31" s="30"/>
      <c r="V31" s="30"/>
      <c r="W31" s="30"/>
      <c r="X31" s="30"/>
      <c r="Y31" s="30"/>
      <c r="Z31" s="50"/>
      <c r="AA31" s="51"/>
    </row>
    <row r="32" spans="3:27" s="2" customFormat="1" ht="15">
      <c r="C32" s="30"/>
      <c r="D32" s="54" t="s">
        <v>41</v>
      </c>
      <c r="E32" s="55"/>
      <c r="F32" s="55"/>
      <c r="G32" s="30"/>
      <c r="H32" s="30"/>
      <c r="I32" s="30"/>
      <c r="J32" s="30"/>
      <c r="K32" s="30"/>
      <c r="L32" s="30"/>
      <c r="M32" s="30"/>
      <c r="N32" s="30"/>
      <c r="O32" s="30"/>
      <c r="P32" s="30"/>
      <c r="Q32" s="30"/>
      <c r="R32" s="30"/>
      <c r="S32" s="30"/>
      <c r="T32" s="30"/>
      <c r="U32" s="30"/>
      <c r="V32" s="30"/>
      <c r="W32" s="30"/>
      <c r="X32" s="30"/>
      <c r="Y32" s="30"/>
      <c r="Z32" s="50"/>
      <c r="AA32" s="51"/>
    </row>
    <row r="33" spans="4:25" s="2" customFormat="1" ht="15">
      <c r="D33" s="56">
        <v>10.029999999999999</v>
      </c>
      <c r="E33" s="57" t="s">
        <v>42</v>
      </c>
      <c r="F33" s="57" t="s">
        <v>43</v>
      </c>
      <c r="G33" s="30"/>
      <c r="H33" s="30"/>
      <c r="I33" s="30"/>
      <c r="J33" s="30"/>
      <c r="K33" s="30"/>
      <c r="L33" s="30"/>
      <c r="M33" s="30"/>
      <c r="N33" s="30"/>
      <c r="O33" s="30"/>
      <c r="P33" s="30"/>
      <c r="Q33" s="30"/>
      <c r="R33" s="30"/>
      <c r="S33" s="30"/>
      <c r="T33" s="30"/>
      <c r="U33" s="30"/>
      <c r="V33" s="30"/>
      <c r="W33" s="30"/>
      <c r="X33" s="30"/>
      <c r="Y33" s="30"/>
    </row>
    <row r="34" spans="4:25" s="2" customFormat="1" ht="15">
      <c r="D34" s="48">
        <v>5.29</v>
      </c>
      <c r="E34" s="57" t="s">
        <v>44</v>
      </c>
      <c r="F34" s="57" t="s">
        <v>43</v>
      </c>
      <c r="G34" s="30"/>
      <c r="H34" s="30"/>
      <c r="I34" s="30"/>
      <c r="J34" s="30"/>
      <c r="K34" s="30"/>
      <c r="L34" s="30"/>
      <c r="M34" s="30"/>
      <c r="N34" s="30"/>
      <c r="O34" s="30"/>
      <c r="P34" s="30"/>
      <c r="Q34" s="30"/>
      <c r="R34" s="30"/>
      <c r="S34" s="30"/>
      <c r="T34" s="30"/>
      <c r="U34" s="30"/>
      <c r="V34" s="30"/>
      <c r="W34" s="30"/>
      <c r="X34" s="30"/>
      <c r="Y34" s="30"/>
    </row>
    <row r="35" spans="4:25" s="2" customFormat="1" ht="15">
      <c r="D35" s="56">
        <v>0.15</v>
      </c>
      <c r="E35" s="57" t="s">
        <v>45</v>
      </c>
      <c r="F35" s="57" t="s">
        <v>46</v>
      </c>
      <c r="G35" s="30"/>
      <c r="H35" s="30"/>
      <c r="I35" s="30"/>
      <c r="J35" s="30"/>
      <c r="K35" s="30"/>
      <c r="L35" s="30"/>
      <c r="M35" s="30"/>
      <c r="N35" s="30"/>
      <c r="O35" s="30"/>
      <c r="P35" s="30"/>
      <c r="Q35" s="30"/>
      <c r="R35" s="30"/>
      <c r="S35" s="30"/>
      <c r="T35" s="30"/>
      <c r="U35" s="30"/>
      <c r="V35" s="30"/>
      <c r="W35" s="30"/>
      <c r="X35" s="30"/>
      <c r="Y35" s="30"/>
    </row>
    <row r="36" spans="4:25" s="2" customFormat="1" ht="15">
      <c r="D36" s="56">
        <v>9.2364999999999995</v>
      </c>
      <c r="E36" s="57" t="s">
        <v>42</v>
      </c>
      <c r="F36" s="57" t="s">
        <v>47</v>
      </c>
      <c r="G36" s="30"/>
      <c r="H36" s="30"/>
      <c r="I36" s="30"/>
      <c r="J36" s="30"/>
      <c r="K36" s="30"/>
      <c r="L36" s="30"/>
      <c r="M36" s="30"/>
      <c r="N36" s="30"/>
      <c r="O36" s="30"/>
      <c r="P36" s="30"/>
      <c r="Q36" s="30"/>
      <c r="R36" s="30"/>
      <c r="S36" s="30"/>
      <c r="T36" s="30"/>
      <c r="U36" s="30"/>
      <c r="V36" s="30"/>
      <c r="W36" s="30"/>
      <c r="X36" s="30"/>
      <c r="Y36" s="30"/>
    </row>
    <row r="37" spans="4:25" s="2" customFormat="1" ht="15">
      <c r="D37" s="58">
        <v>9.2364999999999999E-3</v>
      </c>
      <c r="E37" s="57" t="s">
        <v>48</v>
      </c>
      <c r="F37" s="57" t="s">
        <v>49</v>
      </c>
      <c r="G37" s="30"/>
      <c r="H37" s="30"/>
      <c r="I37" s="30"/>
      <c r="J37" s="30"/>
      <c r="K37" s="30"/>
      <c r="L37" s="30"/>
      <c r="M37" s="30"/>
      <c r="N37" s="30"/>
      <c r="O37" s="30"/>
      <c r="P37" s="30"/>
      <c r="Q37" s="30"/>
      <c r="R37" s="30"/>
      <c r="S37" s="30"/>
      <c r="T37" s="30"/>
      <c r="U37" s="30"/>
      <c r="V37" s="30"/>
      <c r="W37" s="30"/>
      <c r="X37" s="30"/>
      <c r="Y37" s="30"/>
    </row>
    <row r="39" spans="4:25" ht="15">
      <c r="D39" s="59" t="s">
        <v>50</v>
      </c>
      <c r="E39" s="60"/>
      <c r="F39" s="60"/>
      <c r="G39" s="60"/>
      <c r="H39" s="60"/>
      <c r="I39" s="60"/>
      <c r="J39" s="30"/>
      <c r="K39" s="30"/>
      <c r="L39" s="30"/>
      <c r="M39" s="30"/>
      <c r="N39" s="30"/>
      <c r="O39" s="30"/>
      <c r="P39" s="30"/>
      <c r="Q39" s="30"/>
      <c r="R39" s="30"/>
      <c r="S39" s="30"/>
      <c r="T39" s="30"/>
      <c r="U39" s="30"/>
      <c r="V39" s="30"/>
      <c r="W39" s="30"/>
      <c r="X39" s="30"/>
      <c r="Y39" s="30"/>
    </row>
    <row r="40" spans="4:25" ht="15">
      <c r="D40" s="61" t="s">
        <v>1094</v>
      </c>
      <c r="E40" s="62">
        <v>1.038</v>
      </c>
      <c r="F40" s="53" t="s">
        <v>1095</v>
      </c>
      <c r="G40" s="60"/>
      <c r="H40" s="60"/>
      <c r="I40" s="60"/>
      <c r="J40" s="30"/>
      <c r="K40" s="30"/>
      <c r="L40" s="30"/>
      <c r="M40" s="30"/>
      <c r="N40" s="30"/>
      <c r="O40" s="30"/>
      <c r="P40" s="30"/>
      <c r="Q40" s="30"/>
      <c r="R40" s="30"/>
      <c r="S40" s="30"/>
      <c r="T40" s="30"/>
      <c r="U40" s="30"/>
      <c r="V40" s="30"/>
      <c r="W40" s="30"/>
      <c r="X40" s="30"/>
      <c r="Y40" s="30"/>
    </row>
    <row r="42" spans="4:25" ht="15">
      <c r="D42" s="63" t="s">
        <v>925</v>
      </c>
      <c r="E42" s="64"/>
      <c r="F42" s="60"/>
      <c r="G42" s="60"/>
      <c r="H42" s="60"/>
      <c r="I42" s="60"/>
      <c r="J42" s="30"/>
      <c r="K42" s="30"/>
      <c r="L42" s="681" t="s">
        <v>51</v>
      </c>
      <c r="M42" s="682"/>
      <c r="N42" s="682"/>
      <c r="O42" s="682"/>
      <c r="P42" s="682"/>
      <c r="Q42" s="683"/>
      <c r="R42" s="30"/>
      <c r="S42" s="30"/>
      <c r="T42" s="30"/>
      <c r="U42" s="30"/>
      <c r="V42" s="30"/>
      <c r="W42" s="30"/>
      <c r="X42" s="30"/>
      <c r="Y42" s="30"/>
    </row>
    <row r="43" spans="4:25" ht="15">
      <c r="D43" s="65">
        <f>[2]SATS!$C$47</f>
        <v>0.55200000000000005</v>
      </c>
      <c r="E43" s="66" t="s">
        <v>926</v>
      </c>
      <c r="F43" s="60"/>
      <c r="G43" s="60"/>
      <c r="H43" s="60"/>
      <c r="I43" s="60"/>
      <c r="J43" s="30"/>
      <c r="K43" s="30"/>
      <c r="L43" s="684"/>
      <c r="M43" s="685"/>
      <c r="N43" s="685"/>
      <c r="O43" s="685"/>
      <c r="P43" s="685"/>
      <c r="Q43" s="686"/>
      <c r="R43" s="30"/>
      <c r="S43" s="30"/>
      <c r="T43" s="30"/>
      <c r="U43" s="30"/>
      <c r="V43" s="30"/>
      <c r="W43" s="30"/>
      <c r="X43" s="30"/>
      <c r="Y43" s="30"/>
    </row>
    <row r="44" spans="4:25" ht="15">
      <c r="D44" s="65">
        <f>1-D43</f>
        <v>0.44799999999999995</v>
      </c>
      <c r="E44" s="66" t="s">
        <v>927</v>
      </c>
      <c r="F44" s="60"/>
      <c r="G44" s="60"/>
      <c r="H44" s="60"/>
      <c r="I44" s="60"/>
      <c r="J44" s="30"/>
      <c r="K44" s="30"/>
      <c r="L44" s="684"/>
      <c r="M44" s="685"/>
      <c r="N44" s="685"/>
      <c r="O44" s="685"/>
      <c r="P44" s="685"/>
      <c r="Q44" s="686"/>
      <c r="R44" s="30"/>
      <c r="S44" s="30"/>
      <c r="T44" s="30"/>
      <c r="U44" s="30"/>
      <c r="V44" s="30"/>
      <c r="W44" s="30"/>
      <c r="X44" s="30"/>
      <c r="Y44" s="30"/>
    </row>
    <row r="45" spans="4:25" ht="15">
      <c r="D45" s="67"/>
      <c r="E45" s="67"/>
      <c r="F45" s="60"/>
      <c r="G45" s="60"/>
      <c r="H45" s="60"/>
      <c r="I45" s="60"/>
      <c r="J45" s="30"/>
      <c r="K45" s="30"/>
      <c r="L45" s="687"/>
      <c r="M45" s="688"/>
      <c r="N45" s="688"/>
      <c r="O45" s="688"/>
      <c r="P45" s="688"/>
      <c r="Q45" s="689"/>
      <c r="R45" s="30"/>
      <c r="S45" s="30"/>
      <c r="T45" s="30"/>
      <c r="U45" s="30"/>
      <c r="V45" s="30"/>
      <c r="W45" s="30"/>
      <c r="X45" s="30"/>
      <c r="Y45" s="30"/>
    </row>
    <row r="46" spans="4:25" ht="15">
      <c r="D46" s="68"/>
      <c r="E46" s="67"/>
      <c r="F46" s="67"/>
      <c r="G46" s="60"/>
      <c r="H46" s="60"/>
      <c r="I46" s="60"/>
      <c r="J46" s="30"/>
      <c r="K46" s="30"/>
      <c r="L46" s="30"/>
      <c r="M46" s="30"/>
      <c r="N46" s="30"/>
      <c r="O46" s="30"/>
      <c r="P46" s="30"/>
      <c r="Q46" s="30"/>
      <c r="R46" s="30"/>
      <c r="S46" s="30"/>
      <c r="T46" s="69"/>
      <c r="U46" s="69"/>
      <c r="V46" s="69"/>
      <c r="W46" s="69"/>
      <c r="X46" s="69"/>
      <c r="Y46" s="69"/>
    </row>
    <row r="47" spans="4:25" ht="15">
      <c r="D47" s="70" t="s">
        <v>52</v>
      </c>
      <c r="E47" s="70"/>
      <c r="F47" s="70"/>
      <c r="G47" s="60"/>
      <c r="H47" s="60"/>
      <c r="I47" s="60"/>
      <c r="J47" s="30"/>
      <c r="K47" s="30"/>
      <c r="L47" s="30"/>
      <c r="M47" s="30"/>
      <c r="N47" s="30"/>
      <c r="O47" s="30"/>
      <c r="P47" s="30"/>
      <c r="Q47" s="30"/>
      <c r="R47" s="30"/>
      <c r="S47" s="30"/>
      <c r="T47" s="69"/>
      <c r="U47" s="69"/>
      <c r="V47" s="69"/>
      <c r="W47" s="69"/>
      <c r="X47" s="69"/>
      <c r="Y47" s="69"/>
    </row>
    <row r="48" spans="4:25" ht="15">
      <c r="D48" s="71">
        <v>1</v>
      </c>
      <c r="E48" s="72" t="s">
        <v>53</v>
      </c>
      <c r="F48" s="72"/>
      <c r="G48" s="60"/>
      <c r="H48" s="60"/>
      <c r="I48" s="60"/>
      <c r="J48" s="30"/>
      <c r="K48" s="30"/>
      <c r="L48" s="30"/>
      <c r="M48" s="30"/>
      <c r="N48" s="30"/>
      <c r="O48" s="30"/>
      <c r="P48" s="30"/>
      <c r="Q48" s="30"/>
      <c r="R48" s="30"/>
      <c r="S48" s="30"/>
      <c r="T48" s="69"/>
      <c r="U48" s="69"/>
      <c r="V48" s="69"/>
      <c r="W48" s="69"/>
      <c r="X48" s="69"/>
      <c r="Y48" s="69"/>
    </row>
    <row r="49" spans="3:25" ht="15">
      <c r="C49" s="60"/>
      <c r="D49" s="71">
        <v>0.75</v>
      </c>
      <c r="E49" s="72" t="s">
        <v>54</v>
      </c>
      <c r="F49" s="72"/>
      <c r="G49" s="60"/>
      <c r="H49" s="60"/>
      <c r="I49" s="60"/>
      <c r="J49" s="30"/>
      <c r="K49" s="30"/>
      <c r="L49" s="30"/>
      <c r="M49" s="30"/>
      <c r="N49" s="30"/>
      <c r="O49" s="30"/>
      <c r="P49" s="30"/>
      <c r="Q49" s="30"/>
      <c r="R49" s="30"/>
      <c r="S49" s="30"/>
      <c r="T49" s="69"/>
      <c r="U49" s="69"/>
      <c r="V49" s="69"/>
      <c r="W49" s="69"/>
      <c r="X49" s="69"/>
      <c r="Y49" s="69"/>
    </row>
    <row r="50" spans="3:25" ht="15">
      <c r="C50" s="60"/>
      <c r="D50" s="71">
        <v>0.81</v>
      </c>
      <c r="E50" s="72" t="s">
        <v>55</v>
      </c>
      <c r="F50" s="72"/>
      <c r="G50" s="60"/>
      <c r="H50" s="60"/>
      <c r="I50" s="60"/>
      <c r="J50" s="30"/>
      <c r="K50" s="30"/>
      <c r="L50" s="30"/>
      <c r="M50" s="30"/>
      <c r="N50" s="30"/>
      <c r="O50" s="30"/>
      <c r="P50" s="30"/>
      <c r="Q50" s="30"/>
      <c r="R50" s="30"/>
      <c r="S50" s="30"/>
      <c r="T50" s="30"/>
      <c r="U50" s="30"/>
      <c r="V50" s="30"/>
      <c r="W50" s="30"/>
      <c r="X50" s="30"/>
      <c r="Y50" s="30"/>
    </row>
    <row r="51" spans="3:25" ht="15">
      <c r="C51" s="60"/>
      <c r="D51" s="73">
        <v>70</v>
      </c>
      <c r="E51" s="72" t="s">
        <v>56</v>
      </c>
      <c r="F51" s="72"/>
      <c r="G51" s="60"/>
      <c r="H51" s="60"/>
      <c r="I51" s="60"/>
      <c r="J51" s="30"/>
      <c r="K51" s="30"/>
      <c r="L51" s="30"/>
      <c r="M51" s="30"/>
      <c r="N51" s="30"/>
      <c r="O51" s="30"/>
      <c r="P51" s="30"/>
      <c r="Q51" s="30"/>
      <c r="R51" s="30"/>
      <c r="S51" s="30"/>
      <c r="T51" s="30"/>
      <c r="U51" s="30"/>
      <c r="V51" s="30"/>
      <c r="W51" s="30"/>
      <c r="X51" s="30"/>
      <c r="Y51" s="30"/>
    </row>
    <row r="52" spans="3:25" ht="15">
      <c r="C52" s="60"/>
      <c r="D52" s="73">
        <v>2.3999999999999998E-3</v>
      </c>
      <c r="E52" s="72" t="s">
        <v>57</v>
      </c>
      <c r="F52" s="72"/>
      <c r="G52" s="60"/>
      <c r="H52" s="60"/>
      <c r="I52" s="60"/>
      <c r="J52" s="30"/>
      <c r="K52" s="30"/>
      <c r="L52" s="30"/>
      <c r="M52" s="30"/>
      <c r="N52" s="30"/>
      <c r="O52" s="30"/>
      <c r="P52" s="30"/>
      <c r="Q52" s="30"/>
      <c r="R52" s="30"/>
      <c r="S52" s="30"/>
      <c r="T52" s="30"/>
      <c r="U52" s="30"/>
      <c r="V52" s="30"/>
      <c r="W52" s="30"/>
      <c r="X52" s="30"/>
      <c r="Y52" s="30"/>
    </row>
    <row r="53" spans="3:25" ht="15">
      <c r="C53" s="60"/>
      <c r="D53" s="73">
        <v>8.1999999999999993</v>
      </c>
      <c r="E53" s="72" t="s">
        <v>58</v>
      </c>
      <c r="F53" s="72"/>
      <c r="G53" s="60"/>
      <c r="H53" s="60"/>
      <c r="I53" s="60"/>
      <c r="J53" s="30"/>
      <c r="K53" s="30"/>
      <c r="L53" s="30"/>
      <c r="M53" s="30"/>
      <c r="N53" s="30"/>
      <c r="O53" s="30"/>
      <c r="P53" s="30"/>
      <c r="Q53" s="30"/>
      <c r="R53" s="30"/>
      <c r="S53" s="30"/>
      <c r="T53" s="30"/>
      <c r="U53" s="30"/>
      <c r="V53" s="30"/>
      <c r="W53" s="30"/>
      <c r="X53" s="30"/>
      <c r="Y53" s="30"/>
    </row>
    <row r="54" spans="3:25" ht="15">
      <c r="C54" s="60"/>
      <c r="D54" s="53">
        <v>3.4129560000000003E-2</v>
      </c>
      <c r="E54" s="53" t="s">
        <v>59</v>
      </c>
      <c r="F54" s="60"/>
      <c r="G54" s="60"/>
      <c r="H54" s="60"/>
      <c r="I54" s="60"/>
      <c r="J54" s="30"/>
      <c r="K54" s="30"/>
      <c r="L54" s="30"/>
      <c r="M54" s="30"/>
      <c r="N54" s="30"/>
      <c r="O54" s="30"/>
      <c r="P54" s="30"/>
      <c r="Q54" s="30"/>
      <c r="R54" s="30"/>
      <c r="S54" s="30"/>
      <c r="T54" s="30"/>
      <c r="U54" s="30"/>
      <c r="V54" s="30"/>
      <c r="W54" s="30"/>
      <c r="X54" s="30"/>
      <c r="Y54" s="30"/>
    </row>
    <row r="55" spans="3:25" ht="15">
      <c r="C55" s="60"/>
      <c r="D55" s="59" t="s">
        <v>60</v>
      </c>
      <c r="E55" s="60"/>
      <c r="F55" s="60"/>
      <c r="G55" s="60"/>
      <c r="H55" s="60"/>
      <c r="I55" s="60"/>
      <c r="J55" s="30"/>
      <c r="K55" s="30"/>
      <c r="L55" s="30"/>
      <c r="M55" s="30"/>
      <c r="N55" s="30"/>
      <c r="O55" s="30"/>
      <c r="P55" s="30"/>
      <c r="Q55" s="30"/>
      <c r="R55" s="30"/>
      <c r="S55" s="30"/>
      <c r="T55" s="30"/>
      <c r="U55" s="30"/>
      <c r="V55" s="30"/>
      <c r="W55" s="30"/>
      <c r="X55" s="30"/>
      <c r="Y55" s="30"/>
    </row>
    <row r="56" spans="3:25" ht="15">
      <c r="C56" s="60"/>
      <c r="D56" s="74">
        <v>37893</v>
      </c>
      <c r="E56" s="53" t="s">
        <v>61</v>
      </c>
      <c r="F56" s="60"/>
      <c r="G56" s="60"/>
      <c r="H56" s="60"/>
      <c r="I56" s="60"/>
      <c r="J56" s="30"/>
      <c r="K56" s="30"/>
      <c r="L56" s="30"/>
      <c r="M56" s="30"/>
      <c r="N56" s="30"/>
      <c r="O56" s="30"/>
      <c r="P56" s="30"/>
      <c r="Q56" s="30"/>
      <c r="R56" s="30"/>
      <c r="S56" s="30"/>
      <c r="T56" s="30"/>
      <c r="U56" s="30"/>
      <c r="V56" s="30"/>
      <c r="W56" s="30"/>
      <c r="X56" s="30"/>
      <c r="Y56" s="30"/>
    </row>
    <row r="57" spans="3:25" ht="15">
      <c r="C57" s="60"/>
      <c r="D57" s="60"/>
      <c r="E57" s="53" t="s">
        <v>62</v>
      </c>
      <c r="F57" s="60"/>
      <c r="G57" s="60"/>
      <c r="H57" s="60"/>
      <c r="I57" s="60"/>
      <c r="J57" s="30"/>
      <c r="K57" s="30"/>
      <c r="L57" s="30"/>
      <c r="M57" s="30"/>
      <c r="N57" s="30"/>
      <c r="O57" s="30"/>
      <c r="P57" s="30"/>
      <c r="Q57" s="30"/>
      <c r="R57" s="30"/>
      <c r="S57" s="30"/>
      <c r="T57" s="30"/>
      <c r="U57" s="30"/>
      <c r="V57" s="30"/>
      <c r="W57" s="30"/>
      <c r="X57" s="30"/>
      <c r="Y57" s="30"/>
    </row>
    <row r="58" spans="3:25" ht="15">
      <c r="C58" s="60"/>
      <c r="D58" s="59" t="s">
        <v>63</v>
      </c>
      <c r="E58" s="60"/>
      <c r="F58" s="60"/>
      <c r="G58" s="60"/>
      <c r="H58" s="60"/>
      <c r="I58" s="60"/>
      <c r="J58" s="30"/>
      <c r="K58" s="30"/>
      <c r="L58" s="30"/>
      <c r="M58" s="30"/>
      <c r="N58" s="30"/>
      <c r="O58" s="30"/>
      <c r="P58" s="30"/>
      <c r="Q58" s="30"/>
      <c r="R58" s="30"/>
      <c r="S58" s="30"/>
      <c r="T58" s="30"/>
      <c r="U58" s="30"/>
      <c r="V58" s="30"/>
      <c r="W58" s="30"/>
      <c r="X58" s="30"/>
      <c r="Y58" s="30"/>
    </row>
    <row r="59" spans="3:25" ht="15">
      <c r="C59" s="60"/>
      <c r="D59" s="75">
        <v>0.68</v>
      </c>
      <c r="E59" s="76" t="s">
        <v>64</v>
      </c>
      <c r="F59" s="60"/>
      <c r="G59" s="60"/>
      <c r="H59" s="60"/>
      <c r="I59" s="60"/>
      <c r="J59" s="30"/>
      <c r="K59" s="30"/>
      <c r="L59" s="30"/>
      <c r="M59" s="30"/>
      <c r="N59" s="30"/>
      <c r="O59" s="30"/>
      <c r="P59" s="30"/>
      <c r="Q59" s="30"/>
      <c r="R59" s="30"/>
      <c r="S59" s="30"/>
      <c r="T59" s="30"/>
      <c r="U59" s="30"/>
      <c r="V59" s="30"/>
      <c r="W59" s="30"/>
      <c r="X59" s="30"/>
      <c r="Y59" s="30"/>
    </row>
    <row r="60" spans="3:25" ht="15">
      <c r="C60" s="60"/>
      <c r="D60" s="75">
        <v>0.70066666666666322</v>
      </c>
      <c r="E60" s="76" t="s">
        <v>65</v>
      </c>
      <c r="F60" s="60"/>
      <c r="G60" s="60"/>
      <c r="H60" s="60"/>
      <c r="I60" s="60"/>
      <c r="J60" s="30"/>
      <c r="K60" s="30"/>
      <c r="L60" s="30"/>
      <c r="M60" s="30"/>
      <c r="N60" s="30"/>
      <c r="O60" s="30"/>
      <c r="P60" s="30"/>
      <c r="Q60" s="30"/>
      <c r="R60" s="30"/>
      <c r="S60" s="30"/>
      <c r="T60" s="30"/>
      <c r="U60" s="30"/>
      <c r="V60" s="30"/>
      <c r="W60" s="30"/>
      <c r="X60" s="30"/>
      <c r="Y60" s="30"/>
    </row>
    <row r="62" spans="3:25" ht="15">
      <c r="C62" s="77" t="s">
        <v>66</v>
      </c>
      <c r="D62" s="78"/>
      <c r="E62" s="78"/>
      <c r="F62" s="78"/>
      <c r="G62" s="78"/>
      <c r="H62" s="78"/>
      <c r="I62" s="60"/>
      <c r="J62" s="30"/>
      <c r="K62" s="30"/>
      <c r="L62" s="30"/>
      <c r="M62" s="30"/>
      <c r="N62" s="30"/>
      <c r="O62" s="30"/>
      <c r="P62" s="30"/>
      <c r="Q62" s="30"/>
      <c r="R62" s="30"/>
      <c r="S62" s="30"/>
      <c r="T62" s="30"/>
      <c r="U62" s="30"/>
      <c r="V62" s="30"/>
      <c r="W62" s="30"/>
      <c r="X62" s="30"/>
      <c r="Y62" s="30"/>
    </row>
    <row r="63" spans="3:25" ht="15">
      <c r="C63" s="79" t="s">
        <v>67</v>
      </c>
      <c r="D63" s="80"/>
      <c r="E63" s="60"/>
      <c r="F63" s="60"/>
      <c r="G63" s="60"/>
      <c r="H63" s="60"/>
      <c r="I63" s="60"/>
      <c r="J63" s="30"/>
      <c r="K63" s="30"/>
      <c r="L63" s="30"/>
      <c r="M63" s="30"/>
      <c r="N63" s="30"/>
      <c r="O63" s="30"/>
      <c r="P63" s="30"/>
      <c r="Q63" s="30"/>
      <c r="R63" s="30"/>
      <c r="S63" s="30"/>
      <c r="T63" s="30"/>
      <c r="U63" s="30"/>
      <c r="V63" s="30"/>
      <c r="W63" s="30"/>
      <c r="X63" s="30"/>
      <c r="Y63" s="30"/>
    </row>
    <row r="64" spans="3:25" ht="15">
      <c r="C64" s="81" t="s">
        <v>68</v>
      </c>
      <c r="D64" s="82">
        <v>0.93</v>
      </c>
      <c r="E64" s="60"/>
      <c r="F64" s="60"/>
      <c r="G64" s="60"/>
      <c r="H64" s="60"/>
      <c r="I64" s="60"/>
      <c r="J64" s="30"/>
      <c r="K64" s="30"/>
      <c r="L64" s="30"/>
      <c r="M64" s="30"/>
      <c r="N64" s="30"/>
      <c r="O64" s="30"/>
      <c r="P64" s="30"/>
      <c r="Q64" s="30"/>
      <c r="R64" s="30"/>
      <c r="S64" s="30"/>
      <c r="T64" s="30"/>
      <c r="U64" s="30"/>
      <c r="V64" s="30"/>
      <c r="W64" s="30"/>
      <c r="X64" s="30"/>
      <c r="Y64" s="30"/>
    </row>
    <row r="65" spans="3:26" ht="15">
      <c r="C65" s="81" t="s">
        <v>69</v>
      </c>
      <c r="D65" s="82">
        <v>0.94</v>
      </c>
      <c r="E65" s="60"/>
      <c r="F65" s="60"/>
      <c r="G65" s="60"/>
      <c r="H65" s="60"/>
      <c r="I65" s="60"/>
      <c r="J65" s="30"/>
      <c r="K65" s="30"/>
      <c r="L65" s="30"/>
      <c r="M65" s="30"/>
      <c r="N65" s="30"/>
      <c r="O65" s="30"/>
      <c r="P65" s="30"/>
      <c r="Q65" s="30"/>
      <c r="R65" s="30"/>
      <c r="S65" s="30"/>
      <c r="T65" s="30"/>
      <c r="U65" s="30"/>
      <c r="V65" s="30"/>
      <c r="W65" s="30"/>
      <c r="X65" s="30"/>
      <c r="Y65" s="30"/>
    </row>
    <row r="66" spans="3:26" ht="15">
      <c r="C66" s="81" t="s">
        <v>70</v>
      </c>
      <c r="D66" s="82">
        <v>0.95199999999999996</v>
      </c>
      <c r="E66" s="60"/>
      <c r="F66" s="60"/>
      <c r="G66" s="60"/>
      <c r="H66" s="60"/>
      <c r="I66" s="60"/>
      <c r="J66" s="30"/>
      <c r="K66" s="30"/>
      <c r="L66" s="30"/>
      <c r="M66" s="30"/>
      <c r="N66" s="30"/>
      <c r="O66" s="30"/>
      <c r="P66" s="30"/>
      <c r="Q66" s="30"/>
      <c r="R66" s="30"/>
      <c r="S66" s="30"/>
      <c r="T66" s="30"/>
      <c r="U66" s="30"/>
      <c r="V66" s="30"/>
      <c r="W66" s="30"/>
      <c r="X66" s="30"/>
      <c r="Y66" s="30"/>
    </row>
    <row r="67" spans="3:26" ht="15">
      <c r="C67" s="81" t="s">
        <v>71</v>
      </c>
      <c r="D67" s="82">
        <v>0.9741192004278646</v>
      </c>
      <c r="E67" s="60"/>
      <c r="F67" s="60"/>
      <c r="G67" s="60"/>
      <c r="H67" s="60"/>
      <c r="I67" s="60"/>
      <c r="J67" s="30"/>
      <c r="K67" s="30"/>
      <c r="L67" s="30"/>
      <c r="M67" s="30"/>
      <c r="N67" s="30"/>
      <c r="O67" s="30"/>
      <c r="P67" s="30"/>
      <c r="Q67" s="30"/>
      <c r="R67" s="30"/>
      <c r="S67" s="30"/>
      <c r="T67" s="30"/>
      <c r="U67" s="30"/>
      <c r="V67" s="30"/>
      <c r="W67" s="30"/>
      <c r="X67" s="30"/>
      <c r="Y67" s="30"/>
      <c r="Z67" s="30"/>
    </row>
    <row r="68" spans="3:26" ht="15">
      <c r="C68" s="81" t="s">
        <v>72</v>
      </c>
      <c r="D68" s="82">
        <v>1.0315663716814159</v>
      </c>
      <c r="E68" s="60"/>
      <c r="F68" s="60"/>
      <c r="G68" s="60"/>
      <c r="H68" s="60"/>
      <c r="I68" s="60"/>
      <c r="J68" s="30"/>
      <c r="K68" s="30"/>
      <c r="L68" s="30"/>
      <c r="M68" s="30"/>
      <c r="N68" s="30"/>
      <c r="O68" s="30"/>
      <c r="P68" s="30"/>
      <c r="Q68" s="30"/>
      <c r="R68" s="30"/>
      <c r="S68" s="30"/>
      <c r="T68" s="30"/>
      <c r="U68" s="30"/>
      <c r="V68" s="30"/>
      <c r="W68" s="30"/>
      <c r="X68" s="30"/>
      <c r="Y68" s="30"/>
      <c r="Z68" s="30"/>
    </row>
    <row r="69" spans="3:26" ht="15">
      <c r="C69" s="81" t="s">
        <v>73</v>
      </c>
      <c r="D69" s="82">
        <v>1.0649083700279549</v>
      </c>
      <c r="E69" s="60"/>
      <c r="F69" s="60"/>
      <c r="G69" s="60"/>
      <c r="H69" s="60"/>
      <c r="I69" s="60"/>
      <c r="J69" s="30"/>
      <c r="K69" s="30"/>
      <c r="L69" s="30"/>
      <c r="M69" s="30"/>
      <c r="N69" s="30"/>
      <c r="O69" s="30"/>
      <c r="P69" s="30"/>
      <c r="Q69" s="30"/>
      <c r="R69" s="30"/>
      <c r="S69" s="30"/>
      <c r="T69" s="30"/>
      <c r="U69" s="30"/>
      <c r="V69" s="30"/>
      <c r="W69" s="30"/>
      <c r="X69" s="30"/>
      <c r="Y69" s="30"/>
      <c r="Z69" s="30"/>
    </row>
    <row r="73" spans="3:26" ht="15">
      <c r="C73" s="83" t="s">
        <v>74</v>
      </c>
      <c r="D73" s="84"/>
      <c r="E73" s="60"/>
      <c r="F73" s="60"/>
      <c r="G73" s="60"/>
      <c r="H73" s="60"/>
      <c r="I73" s="60"/>
      <c r="J73" s="30"/>
      <c r="K73" s="30"/>
      <c r="L73" s="30"/>
      <c r="M73" s="30"/>
      <c r="N73" s="30"/>
      <c r="O73" s="30"/>
      <c r="P73" s="30"/>
      <c r="Q73" s="30"/>
      <c r="R73" s="30"/>
      <c r="S73" s="30"/>
      <c r="T73" s="30"/>
      <c r="U73" s="30"/>
      <c r="V73" s="30"/>
      <c r="W73" s="30"/>
      <c r="X73" s="30"/>
      <c r="Y73" s="30"/>
      <c r="Z73" s="30"/>
    </row>
    <row r="74" spans="3:26" ht="15">
      <c r="C74" s="85" t="s">
        <v>75</v>
      </c>
      <c r="D74" s="85" t="s">
        <v>76</v>
      </c>
      <c r="E74" s="60"/>
      <c r="F74" s="60"/>
      <c r="G74" s="60"/>
      <c r="H74" s="60"/>
      <c r="I74" s="60"/>
      <c r="J74" s="30"/>
      <c r="K74" s="30"/>
      <c r="L74" s="30"/>
      <c r="M74" s="30"/>
      <c r="N74" s="30"/>
      <c r="O74" s="30"/>
      <c r="P74" s="30"/>
      <c r="Q74" s="30"/>
      <c r="R74" s="30"/>
      <c r="S74" s="30"/>
      <c r="T74" s="30"/>
      <c r="U74" s="30"/>
      <c r="V74" s="30"/>
      <c r="W74" s="30"/>
      <c r="X74" s="30"/>
      <c r="Y74" s="30"/>
      <c r="Z74" s="30"/>
    </row>
    <row r="75" spans="3:26" ht="15">
      <c r="C75" s="86">
        <v>1</v>
      </c>
      <c r="D75" s="86" t="s">
        <v>77</v>
      </c>
      <c r="E75" s="60"/>
      <c r="F75" s="60"/>
      <c r="G75" s="60"/>
      <c r="H75" s="60"/>
      <c r="I75" s="60"/>
      <c r="J75" s="30"/>
      <c r="K75" s="30"/>
      <c r="L75" s="681" t="s">
        <v>78</v>
      </c>
      <c r="M75" s="682"/>
      <c r="N75" s="682"/>
      <c r="O75" s="682"/>
      <c r="P75" s="682"/>
      <c r="Q75" s="683"/>
      <c r="R75" s="30"/>
      <c r="S75" s="30"/>
      <c r="T75" s="30"/>
      <c r="U75" s="30"/>
      <c r="V75" s="30"/>
      <c r="W75" s="30"/>
      <c r="X75" s="30"/>
      <c r="Y75" s="30"/>
      <c r="Z75" s="30"/>
    </row>
    <row r="76" spans="3:26" ht="15">
      <c r="C76" s="86">
        <v>2</v>
      </c>
      <c r="D76" s="86" t="s">
        <v>79</v>
      </c>
      <c r="E76" s="60"/>
      <c r="F76" s="60"/>
      <c r="G76" s="60"/>
      <c r="H76" s="60"/>
      <c r="I76" s="60"/>
      <c r="J76" s="30"/>
      <c r="K76" s="30"/>
      <c r="L76" s="684"/>
      <c r="M76" s="685"/>
      <c r="N76" s="685"/>
      <c r="O76" s="685"/>
      <c r="P76" s="685"/>
      <c r="Q76" s="686"/>
      <c r="R76" s="30"/>
      <c r="S76" s="30"/>
      <c r="T76" s="30"/>
      <c r="U76" s="30"/>
      <c r="V76" s="30"/>
      <c r="W76" s="30"/>
      <c r="X76" s="30"/>
      <c r="Y76" s="30"/>
      <c r="Z76" s="30"/>
    </row>
    <row r="77" spans="3:26" ht="15">
      <c r="C77" s="86">
        <v>3</v>
      </c>
      <c r="D77" s="86" t="s">
        <v>80</v>
      </c>
      <c r="E77" s="60"/>
      <c r="F77" s="60"/>
      <c r="G77" s="60"/>
      <c r="H77" s="60"/>
      <c r="I77" s="60"/>
      <c r="J77" s="30"/>
      <c r="K77" s="30"/>
      <c r="L77" s="684"/>
      <c r="M77" s="685"/>
      <c r="N77" s="685"/>
      <c r="O77" s="685"/>
      <c r="P77" s="685"/>
      <c r="Q77" s="686"/>
      <c r="R77" s="30"/>
      <c r="S77" s="30"/>
      <c r="T77" s="30"/>
      <c r="U77" s="30"/>
      <c r="V77" s="30"/>
      <c r="W77" s="30"/>
      <c r="X77" s="30"/>
      <c r="Y77" s="30"/>
      <c r="Z77" s="30"/>
    </row>
    <row r="78" spans="3:26" ht="15">
      <c r="C78" s="86">
        <v>4</v>
      </c>
      <c r="D78" s="86" t="s">
        <v>81</v>
      </c>
      <c r="E78" s="60"/>
      <c r="F78" s="60"/>
      <c r="G78" s="60"/>
      <c r="H78" s="60"/>
      <c r="I78" s="60"/>
      <c r="J78" s="30"/>
      <c r="K78" s="30"/>
      <c r="L78" s="684"/>
      <c r="M78" s="685"/>
      <c r="N78" s="685"/>
      <c r="O78" s="685"/>
      <c r="P78" s="685"/>
      <c r="Q78" s="686"/>
      <c r="R78" s="30"/>
      <c r="S78" s="30"/>
      <c r="T78" s="30"/>
      <c r="U78" s="30"/>
      <c r="V78" s="30"/>
      <c r="W78" s="30"/>
      <c r="X78" s="30"/>
      <c r="Y78" s="30"/>
      <c r="Z78" s="30"/>
    </row>
    <row r="79" spans="3:26" ht="15">
      <c r="C79" s="86">
        <v>5</v>
      </c>
      <c r="D79" s="86" t="s">
        <v>82</v>
      </c>
      <c r="E79" s="60"/>
      <c r="F79" s="60"/>
      <c r="G79" s="60"/>
      <c r="H79" s="60"/>
      <c r="I79" s="60"/>
      <c r="J79" s="30"/>
      <c r="K79" s="30"/>
      <c r="L79" s="687"/>
      <c r="M79" s="688"/>
      <c r="N79" s="688"/>
      <c r="O79" s="688"/>
      <c r="P79" s="688"/>
      <c r="Q79" s="689"/>
      <c r="R79" s="30"/>
      <c r="S79" s="30"/>
      <c r="T79" s="30"/>
      <c r="U79" s="30"/>
      <c r="V79" s="30"/>
      <c r="W79" s="30"/>
      <c r="X79" s="30"/>
      <c r="Y79" s="30"/>
      <c r="Z79" s="30"/>
    </row>
    <row r="80" spans="3:26" ht="15">
      <c r="C80" s="86">
        <v>6</v>
      </c>
      <c r="D80" s="86" t="s">
        <v>83</v>
      </c>
      <c r="E80" s="60"/>
      <c r="F80" s="60"/>
      <c r="G80" s="60"/>
      <c r="H80" s="60"/>
      <c r="I80" s="60"/>
      <c r="J80" s="30"/>
      <c r="K80" s="30"/>
      <c r="L80" s="30"/>
      <c r="M80" s="30"/>
      <c r="N80" s="30"/>
      <c r="O80" s="30"/>
      <c r="P80" s="30"/>
      <c r="Q80" s="30"/>
      <c r="R80" s="30"/>
      <c r="S80" s="30"/>
      <c r="T80" s="87"/>
      <c r="U80" s="87"/>
      <c r="V80" s="87"/>
      <c r="W80" s="87"/>
      <c r="X80" s="87"/>
      <c r="Y80" s="87"/>
      <c r="Z80" s="87"/>
    </row>
    <row r="81" spans="3:26" ht="15">
      <c r="C81" s="86">
        <v>7</v>
      </c>
      <c r="D81" s="86" t="s">
        <v>84</v>
      </c>
      <c r="E81" s="60"/>
      <c r="F81" s="60"/>
      <c r="G81" s="60"/>
      <c r="H81" s="60"/>
      <c r="I81" s="60"/>
      <c r="J81" s="30"/>
      <c r="K81" s="30"/>
      <c r="L81" s="30"/>
      <c r="M81" s="30"/>
      <c r="N81" s="30"/>
      <c r="O81" s="30"/>
      <c r="P81" s="30"/>
      <c r="Q81" s="30"/>
      <c r="R81" s="30"/>
      <c r="S81" s="30"/>
      <c r="T81" s="87"/>
      <c r="U81" s="87"/>
      <c r="V81" s="87"/>
      <c r="W81" s="87"/>
      <c r="X81" s="87"/>
      <c r="Y81" s="87"/>
      <c r="Z81" s="87"/>
    </row>
    <row r="82" spans="3:26" ht="15">
      <c r="C82" s="86">
        <v>8</v>
      </c>
      <c r="D82" s="86" t="s">
        <v>85</v>
      </c>
      <c r="E82" s="60"/>
      <c r="F82" s="60"/>
      <c r="G82" s="60"/>
      <c r="H82" s="60"/>
      <c r="I82" s="60"/>
      <c r="J82" s="30"/>
      <c r="K82" s="30"/>
      <c r="L82" s="30"/>
      <c r="M82" s="30"/>
      <c r="N82" s="30"/>
      <c r="O82" s="30"/>
      <c r="P82" s="30"/>
      <c r="Q82" s="30"/>
      <c r="R82" s="30"/>
      <c r="S82" s="30"/>
      <c r="T82" s="87"/>
      <c r="U82" s="87"/>
      <c r="V82" s="87"/>
      <c r="W82" s="87"/>
      <c r="X82" s="87"/>
      <c r="Y82" s="87"/>
      <c r="Z82" s="87"/>
    </row>
    <row r="83" spans="3:26" ht="15">
      <c r="C83" s="86">
        <v>9</v>
      </c>
      <c r="D83" s="86" t="s">
        <v>86</v>
      </c>
      <c r="E83" s="60"/>
      <c r="F83" s="60"/>
      <c r="G83" s="60"/>
      <c r="H83" s="60"/>
      <c r="I83" s="60"/>
      <c r="J83" s="30"/>
      <c r="K83" s="30"/>
      <c r="L83" s="30"/>
      <c r="M83" s="30"/>
      <c r="N83" s="30"/>
      <c r="O83" s="30"/>
      <c r="P83" s="30"/>
      <c r="Q83" s="30"/>
      <c r="R83" s="30"/>
      <c r="S83" s="30"/>
      <c r="T83" s="87"/>
      <c r="U83" s="87"/>
      <c r="V83" s="87"/>
      <c r="W83" s="87"/>
      <c r="X83" s="87"/>
      <c r="Y83" s="87"/>
      <c r="Z83" s="87"/>
    </row>
    <row r="84" spans="3:26" ht="15">
      <c r="C84" s="86">
        <v>10</v>
      </c>
      <c r="D84" s="86" t="s">
        <v>87</v>
      </c>
      <c r="E84" s="60"/>
      <c r="F84" s="60"/>
      <c r="G84" s="60"/>
      <c r="H84" s="60"/>
      <c r="I84" s="60"/>
      <c r="J84" s="30"/>
      <c r="K84" s="30"/>
      <c r="L84" s="30"/>
      <c r="M84" s="30"/>
      <c r="N84" s="30"/>
      <c r="O84" s="30"/>
      <c r="P84" s="30"/>
      <c r="Q84" s="30"/>
      <c r="R84" s="30"/>
      <c r="S84" s="30"/>
      <c r="T84" s="87"/>
      <c r="U84" s="87"/>
      <c r="V84" s="87"/>
      <c r="W84" s="87"/>
      <c r="X84" s="87"/>
      <c r="Y84" s="87"/>
      <c r="Z84" s="87"/>
    </row>
    <row r="85" spans="3:26" ht="15">
      <c r="C85" s="86">
        <v>11</v>
      </c>
      <c r="D85" s="86" t="s">
        <v>88</v>
      </c>
      <c r="E85" s="60"/>
      <c r="F85" s="60"/>
      <c r="G85" s="60"/>
      <c r="H85" s="60"/>
      <c r="I85" s="60"/>
      <c r="J85" s="30"/>
      <c r="K85" s="30"/>
      <c r="L85" s="30"/>
      <c r="M85" s="30"/>
      <c r="N85" s="30"/>
      <c r="O85" s="30"/>
      <c r="P85" s="30"/>
      <c r="Q85" s="30"/>
      <c r="R85" s="30"/>
      <c r="S85" s="30"/>
      <c r="T85" s="30"/>
      <c r="U85" s="30"/>
      <c r="V85" s="30"/>
      <c r="W85" s="30"/>
      <c r="X85" s="30"/>
      <c r="Y85" s="30"/>
      <c r="Z85" s="30"/>
    </row>
    <row r="86" spans="3:26" ht="15">
      <c r="C86" s="86">
        <v>12</v>
      </c>
      <c r="D86" s="86" t="s">
        <v>89</v>
      </c>
      <c r="E86" s="60"/>
      <c r="F86" s="60"/>
      <c r="G86" s="60"/>
      <c r="H86" s="60"/>
      <c r="I86" s="60"/>
      <c r="J86" s="30"/>
      <c r="K86" s="30"/>
      <c r="L86" s="30"/>
      <c r="M86" s="30"/>
      <c r="N86" s="30"/>
      <c r="O86" s="30"/>
      <c r="P86" s="30"/>
      <c r="Q86" s="30"/>
      <c r="R86" s="30"/>
      <c r="S86" s="30"/>
      <c r="T86" s="30"/>
      <c r="U86" s="30"/>
      <c r="V86" s="30"/>
      <c r="W86" s="30"/>
      <c r="X86" s="30"/>
      <c r="Y86" s="30"/>
      <c r="Z86" s="30"/>
    </row>
    <row r="87" spans="3:26" ht="15">
      <c r="C87" s="86">
        <v>13</v>
      </c>
      <c r="D87" s="86" t="s">
        <v>90</v>
      </c>
      <c r="E87" s="60"/>
      <c r="F87" s="60"/>
      <c r="G87" s="60"/>
      <c r="H87" s="60"/>
      <c r="I87" s="60"/>
      <c r="J87" s="30"/>
      <c r="K87" s="30"/>
      <c r="L87" s="30"/>
      <c r="M87" s="30"/>
      <c r="N87" s="30"/>
      <c r="O87" s="30"/>
      <c r="P87" s="30"/>
      <c r="Q87" s="30"/>
      <c r="R87" s="30"/>
      <c r="S87" s="30"/>
      <c r="T87" s="30"/>
      <c r="U87" s="30"/>
      <c r="V87" s="30"/>
      <c r="W87" s="30"/>
      <c r="X87" s="30"/>
      <c r="Y87" s="30"/>
      <c r="Z87" s="30"/>
    </row>
    <row r="88" spans="3:26" ht="15">
      <c r="C88" s="86">
        <v>14</v>
      </c>
      <c r="D88" s="86" t="s">
        <v>91</v>
      </c>
      <c r="E88" s="60"/>
      <c r="F88" s="60"/>
      <c r="G88" s="60"/>
      <c r="H88" s="60"/>
      <c r="I88" s="60"/>
      <c r="J88" s="30"/>
      <c r="K88" s="30"/>
      <c r="L88" s="30"/>
      <c r="M88" s="30"/>
      <c r="N88" s="30"/>
      <c r="O88" s="30"/>
      <c r="P88" s="30"/>
      <c r="Q88" s="30"/>
      <c r="R88" s="30"/>
      <c r="S88" s="30"/>
      <c r="T88" s="30"/>
      <c r="U88" s="30"/>
      <c r="V88" s="30"/>
      <c r="W88" s="30"/>
      <c r="X88" s="30"/>
      <c r="Y88" s="30"/>
      <c r="Z88" s="30"/>
    </row>
    <row r="89" spans="3:26" ht="15">
      <c r="C89" s="86">
        <v>15</v>
      </c>
      <c r="D89" s="86" t="s">
        <v>92</v>
      </c>
      <c r="E89" s="60"/>
      <c r="F89" s="60"/>
      <c r="G89" s="60"/>
      <c r="H89" s="60"/>
      <c r="I89" s="60"/>
      <c r="J89" s="30"/>
      <c r="K89" s="30"/>
      <c r="L89" s="30"/>
      <c r="M89" s="30"/>
      <c r="N89" s="30"/>
      <c r="O89" s="30"/>
      <c r="P89" s="30"/>
      <c r="Q89" s="30"/>
      <c r="R89" s="30"/>
      <c r="S89" s="30"/>
      <c r="T89" s="30"/>
      <c r="U89" s="30"/>
      <c r="V89" s="30"/>
      <c r="W89" s="30"/>
      <c r="X89" s="30"/>
      <c r="Y89" s="30"/>
      <c r="Z89" s="30"/>
    </row>
    <row r="90" spans="3:26" ht="15">
      <c r="C90" s="86">
        <v>16</v>
      </c>
      <c r="D90" s="86" t="s">
        <v>93</v>
      </c>
      <c r="E90" s="60"/>
      <c r="F90" s="60"/>
      <c r="G90" s="60"/>
      <c r="H90" s="60"/>
      <c r="I90" s="60"/>
      <c r="J90" s="30"/>
      <c r="K90" s="30"/>
      <c r="L90" s="30"/>
      <c r="M90" s="30"/>
      <c r="N90" s="30"/>
      <c r="O90" s="30"/>
      <c r="P90" s="30"/>
      <c r="Q90" s="30"/>
      <c r="R90" s="30"/>
      <c r="S90" s="30"/>
      <c r="T90" s="30"/>
      <c r="U90" s="30"/>
      <c r="V90" s="30"/>
      <c r="W90" s="30"/>
      <c r="X90" s="30"/>
      <c r="Y90" s="30"/>
      <c r="Z90" s="30"/>
    </row>
    <row r="91" spans="3:26" ht="15">
      <c r="C91" s="86">
        <v>17</v>
      </c>
      <c r="D91" s="86" t="s">
        <v>94</v>
      </c>
      <c r="E91" s="60"/>
      <c r="F91" s="60"/>
      <c r="G91" s="60"/>
      <c r="H91" s="60"/>
      <c r="I91" s="60"/>
      <c r="J91" s="30"/>
      <c r="K91" s="30"/>
      <c r="L91" s="30"/>
      <c r="M91" s="30"/>
      <c r="N91" s="30"/>
      <c r="O91" s="30"/>
      <c r="P91" s="30"/>
      <c r="Q91" s="30"/>
      <c r="R91" s="30"/>
      <c r="S91" s="30"/>
      <c r="T91" s="30"/>
      <c r="U91" s="30"/>
      <c r="V91" s="30"/>
      <c r="W91" s="30"/>
      <c r="X91" s="30"/>
      <c r="Y91" s="30"/>
      <c r="Z91" s="30"/>
    </row>
    <row r="92" spans="3:26" ht="15">
      <c r="C92" s="86">
        <v>18</v>
      </c>
      <c r="D92" s="86" t="s">
        <v>95</v>
      </c>
      <c r="E92" s="60"/>
      <c r="F92" s="60"/>
      <c r="G92" s="60"/>
      <c r="H92" s="60"/>
      <c r="I92" s="60"/>
      <c r="J92" s="30"/>
      <c r="K92" s="30"/>
      <c r="L92" s="30"/>
      <c r="M92" s="30"/>
      <c r="N92" s="30"/>
      <c r="O92" s="30"/>
      <c r="P92" s="30"/>
      <c r="Q92" s="30"/>
      <c r="R92" s="30"/>
      <c r="S92" s="30"/>
      <c r="T92" s="30"/>
      <c r="U92" s="30"/>
      <c r="V92" s="30"/>
      <c r="W92" s="30"/>
      <c r="X92" s="30"/>
      <c r="Y92" s="30"/>
      <c r="Z92" s="30"/>
    </row>
    <row r="93" spans="3:26" ht="15">
      <c r="C93" s="86">
        <v>19</v>
      </c>
      <c r="D93" s="86" t="s">
        <v>96</v>
      </c>
      <c r="E93" s="60"/>
      <c r="F93" s="60"/>
      <c r="G93" s="60"/>
      <c r="H93" s="60"/>
      <c r="I93" s="60"/>
      <c r="J93" s="30"/>
      <c r="K93" s="30"/>
      <c r="L93" s="30"/>
      <c r="M93" s="30"/>
      <c r="N93" s="30"/>
      <c r="O93" s="30"/>
      <c r="P93" s="30"/>
      <c r="Q93" s="30"/>
      <c r="R93" s="30"/>
      <c r="S93" s="30"/>
      <c r="T93" s="30"/>
      <c r="U93" s="30"/>
      <c r="V93" s="30"/>
      <c r="W93" s="30"/>
      <c r="X93" s="30"/>
      <c r="Y93" s="30"/>
      <c r="Z93" s="30"/>
    </row>
    <row r="94" spans="3:26" ht="15">
      <c r="C94" s="86">
        <v>20</v>
      </c>
      <c r="D94" s="86" t="s">
        <v>97</v>
      </c>
      <c r="E94" s="60"/>
      <c r="F94" s="60"/>
      <c r="G94" s="60"/>
      <c r="H94" s="60"/>
      <c r="I94" s="60"/>
      <c r="J94" s="30"/>
      <c r="K94" s="30"/>
      <c r="L94" s="30"/>
      <c r="M94" s="30"/>
      <c r="N94" s="30"/>
      <c r="O94" s="30"/>
      <c r="P94" s="30"/>
      <c r="Q94" s="30"/>
      <c r="R94" s="30"/>
      <c r="S94" s="30"/>
      <c r="T94" s="30"/>
      <c r="U94" s="30"/>
      <c r="V94" s="30"/>
      <c r="W94" s="30"/>
      <c r="X94" s="30"/>
      <c r="Y94" s="30"/>
      <c r="Z94" s="30"/>
    </row>
    <row r="95" spans="3:26" ht="15">
      <c r="C95" s="86">
        <v>21</v>
      </c>
      <c r="D95" s="86" t="s">
        <v>98</v>
      </c>
      <c r="E95" s="60"/>
      <c r="F95" s="60"/>
      <c r="G95" s="60"/>
      <c r="H95" s="60"/>
      <c r="I95" s="60"/>
      <c r="J95" s="30"/>
      <c r="K95" s="30"/>
      <c r="L95" s="30"/>
      <c r="M95" s="30"/>
      <c r="N95" s="30"/>
      <c r="O95" s="30"/>
      <c r="P95" s="30"/>
      <c r="Q95" s="30"/>
      <c r="R95" s="30"/>
      <c r="S95" s="30"/>
      <c r="T95" s="30"/>
      <c r="U95" s="30"/>
      <c r="V95" s="30"/>
      <c r="W95" s="30"/>
      <c r="X95" s="30"/>
      <c r="Y95" s="30"/>
      <c r="Z95" s="30"/>
    </row>
    <row r="96" spans="3:26" ht="15">
      <c r="C96" s="86">
        <v>22</v>
      </c>
      <c r="D96" s="86" t="s">
        <v>99</v>
      </c>
      <c r="E96" s="60"/>
      <c r="F96" s="60"/>
      <c r="G96" s="60"/>
      <c r="H96" s="60"/>
      <c r="I96" s="60"/>
      <c r="J96" s="30"/>
      <c r="K96" s="30"/>
      <c r="L96" s="30"/>
      <c r="M96" s="30"/>
      <c r="N96" s="30"/>
      <c r="O96" s="30"/>
      <c r="P96" s="30"/>
      <c r="Q96" s="30"/>
      <c r="R96" s="30"/>
      <c r="S96" s="30"/>
      <c r="T96" s="30"/>
      <c r="U96" s="30"/>
      <c r="V96" s="30"/>
      <c r="W96" s="30"/>
      <c r="X96" s="30"/>
      <c r="Y96" s="30"/>
      <c r="Z96" s="30"/>
    </row>
    <row r="97" spans="3:26" ht="15">
      <c r="C97" s="86">
        <v>23</v>
      </c>
      <c r="D97" s="86" t="s">
        <v>100</v>
      </c>
      <c r="E97" s="60"/>
      <c r="F97" s="60"/>
      <c r="G97" s="60"/>
      <c r="H97" s="60"/>
      <c r="I97" s="60"/>
      <c r="J97" s="30"/>
      <c r="K97" s="30"/>
      <c r="L97" s="30"/>
      <c r="M97" s="30"/>
      <c r="N97" s="30"/>
      <c r="O97" s="30"/>
      <c r="P97" s="30"/>
      <c r="Q97" s="30"/>
      <c r="R97" s="30"/>
      <c r="S97" s="30"/>
      <c r="T97" s="30"/>
      <c r="U97" s="30"/>
      <c r="V97" s="30"/>
      <c r="W97" s="30"/>
      <c r="X97" s="30"/>
      <c r="Y97" s="30"/>
      <c r="Z97" s="30"/>
    </row>
    <row r="98" spans="3:26" ht="15">
      <c r="C98" s="86">
        <v>24</v>
      </c>
      <c r="D98" s="86" t="s">
        <v>101</v>
      </c>
      <c r="E98" s="60"/>
      <c r="F98" s="60"/>
      <c r="G98" s="60"/>
      <c r="H98" s="60"/>
      <c r="I98" s="60"/>
      <c r="J98" s="30"/>
      <c r="K98" s="30"/>
      <c r="L98" s="30"/>
      <c r="M98" s="30"/>
      <c r="N98" s="30"/>
      <c r="O98" s="30"/>
      <c r="P98" s="30"/>
      <c r="Q98" s="30"/>
      <c r="R98" s="30"/>
      <c r="S98" s="30"/>
      <c r="T98" s="30"/>
      <c r="U98" s="30"/>
      <c r="V98" s="30"/>
      <c r="W98" s="30"/>
      <c r="X98" s="30"/>
      <c r="Y98" s="30"/>
      <c r="Z98" s="30"/>
    </row>
    <row r="99" spans="3:26" ht="15">
      <c r="C99" s="86">
        <v>25</v>
      </c>
      <c r="D99" s="86" t="s">
        <v>102</v>
      </c>
    </row>
    <row r="100" spans="3:26" ht="15">
      <c r="C100" s="86">
        <v>26</v>
      </c>
      <c r="D100" s="86" t="s">
        <v>103</v>
      </c>
    </row>
    <row r="101" spans="3:26" ht="15">
      <c r="C101" s="86">
        <v>27</v>
      </c>
      <c r="D101" s="86" t="s">
        <v>104</v>
      </c>
    </row>
    <row r="102" spans="3:26" ht="15">
      <c r="C102" s="86">
        <v>28</v>
      </c>
      <c r="D102" s="86" t="s">
        <v>105</v>
      </c>
    </row>
    <row r="103" spans="3:26" ht="15">
      <c r="C103" s="86">
        <v>29</v>
      </c>
      <c r="D103" s="86" t="s">
        <v>106</v>
      </c>
    </row>
    <row r="104" spans="3:26" ht="15">
      <c r="C104" s="86">
        <v>30</v>
      </c>
      <c r="D104" s="86" t="s">
        <v>107</v>
      </c>
    </row>
    <row r="105" spans="3:26" ht="15">
      <c r="C105" s="86">
        <v>31</v>
      </c>
      <c r="D105" s="86" t="s">
        <v>108</v>
      </c>
    </row>
    <row r="106" spans="3:26" ht="15">
      <c r="C106" s="86">
        <v>32</v>
      </c>
      <c r="D106" s="86" t="s">
        <v>109</v>
      </c>
    </row>
    <row r="107" spans="3:26" ht="15">
      <c r="C107" s="86">
        <v>33</v>
      </c>
      <c r="D107" s="86" t="s">
        <v>110</v>
      </c>
    </row>
    <row r="108" spans="3:26" ht="15">
      <c r="C108" s="86">
        <v>34</v>
      </c>
      <c r="D108" s="86" t="s">
        <v>111</v>
      </c>
    </row>
    <row r="109" spans="3:26" ht="15">
      <c r="C109" s="86">
        <v>35</v>
      </c>
      <c r="D109" s="86" t="s">
        <v>112</v>
      </c>
    </row>
    <row r="110" spans="3:26" ht="15">
      <c r="C110" s="86">
        <v>36</v>
      </c>
      <c r="D110" s="86" t="s">
        <v>113</v>
      </c>
    </row>
    <row r="111" spans="3:26" ht="15">
      <c r="C111" s="86">
        <v>37</v>
      </c>
      <c r="D111" s="86" t="s">
        <v>114</v>
      </c>
    </row>
    <row r="112" spans="3:26" ht="15">
      <c r="C112" s="86">
        <v>38</v>
      </c>
      <c r="D112" s="86" t="s">
        <v>115</v>
      </c>
    </row>
    <row r="113" spans="3:4" ht="15">
      <c r="C113" s="86">
        <v>39</v>
      </c>
      <c r="D113" s="86" t="s">
        <v>116</v>
      </c>
    </row>
    <row r="114" spans="3:4" ht="15">
      <c r="C114" s="86">
        <v>40</v>
      </c>
      <c r="D114" s="86" t="s">
        <v>117</v>
      </c>
    </row>
    <row r="115" spans="3:4" ht="15">
      <c r="C115" s="86">
        <v>41</v>
      </c>
      <c r="D115" s="86" t="s">
        <v>118</v>
      </c>
    </row>
    <row r="116" spans="3:4" ht="15">
      <c r="C116" s="86">
        <v>42</v>
      </c>
      <c r="D116" s="86" t="s">
        <v>119</v>
      </c>
    </row>
    <row r="117" spans="3:4" ht="15">
      <c r="C117" s="86">
        <v>43</v>
      </c>
      <c r="D117" s="86" t="s">
        <v>120</v>
      </c>
    </row>
    <row r="118" spans="3:4" ht="15">
      <c r="C118" s="86">
        <v>44</v>
      </c>
      <c r="D118" s="86" t="s">
        <v>121</v>
      </c>
    </row>
    <row r="119" spans="3:4" ht="15">
      <c r="C119" s="86">
        <v>45</v>
      </c>
      <c r="D119" s="86" t="s">
        <v>122</v>
      </c>
    </row>
    <row r="120" spans="3:4" ht="15">
      <c r="C120" s="86">
        <v>46</v>
      </c>
      <c r="D120" s="86" t="s">
        <v>123</v>
      </c>
    </row>
    <row r="121" spans="3:4" ht="15">
      <c r="C121" s="86">
        <v>47</v>
      </c>
      <c r="D121" s="86" t="s">
        <v>124</v>
      </c>
    </row>
    <row r="122" spans="3:4" ht="15">
      <c r="C122" s="86">
        <v>48</v>
      </c>
      <c r="D122" s="86" t="s">
        <v>125</v>
      </c>
    </row>
    <row r="123" spans="3:4" ht="15">
      <c r="C123" s="86">
        <v>49</v>
      </c>
      <c r="D123" s="86" t="s">
        <v>126</v>
      </c>
    </row>
    <row r="124" spans="3:4" ht="15">
      <c r="C124" s="86">
        <v>50</v>
      </c>
      <c r="D124" s="86" t="s">
        <v>127</v>
      </c>
    </row>
    <row r="125" spans="3:4" ht="15">
      <c r="C125" s="86">
        <v>51</v>
      </c>
      <c r="D125" s="86" t="s">
        <v>128</v>
      </c>
    </row>
    <row r="126" spans="3:4" ht="15">
      <c r="C126" s="86">
        <v>52</v>
      </c>
      <c r="D126" s="86" t="s">
        <v>129</v>
      </c>
    </row>
    <row r="127" spans="3:4" ht="15">
      <c r="C127" s="86">
        <v>53</v>
      </c>
      <c r="D127" s="86" t="s">
        <v>130</v>
      </c>
    </row>
    <row r="128" spans="3:4" ht="15">
      <c r="C128" s="86">
        <v>54</v>
      </c>
      <c r="D128" s="86" t="s">
        <v>131</v>
      </c>
    </row>
    <row r="129" spans="3:4" ht="15">
      <c r="C129" s="86">
        <v>55</v>
      </c>
      <c r="D129" s="86" t="s">
        <v>132</v>
      </c>
    </row>
    <row r="130" spans="3:4" ht="15">
      <c r="C130" s="86">
        <v>56</v>
      </c>
      <c r="D130" s="86" t="s">
        <v>133</v>
      </c>
    </row>
    <row r="131" spans="3:4" ht="15">
      <c r="C131" s="86">
        <v>57</v>
      </c>
      <c r="D131" s="86" t="s">
        <v>134</v>
      </c>
    </row>
    <row r="132" spans="3:4" ht="15">
      <c r="C132" s="86">
        <v>58</v>
      </c>
      <c r="D132" s="86" t="s">
        <v>135</v>
      </c>
    </row>
    <row r="133" spans="3:4" ht="15">
      <c r="C133" s="86">
        <v>59</v>
      </c>
      <c r="D133" s="86" t="s">
        <v>136</v>
      </c>
    </row>
    <row r="134" spans="3:4" ht="15">
      <c r="C134" s="86">
        <v>60</v>
      </c>
      <c r="D134" s="86" t="s">
        <v>137</v>
      </c>
    </row>
    <row r="135" spans="3:4" ht="15">
      <c r="C135" s="86">
        <v>61</v>
      </c>
      <c r="D135" s="86" t="s">
        <v>138</v>
      </c>
    </row>
    <row r="136" spans="3:4" ht="15">
      <c r="C136" s="86">
        <v>62</v>
      </c>
      <c r="D136" s="86" t="s">
        <v>139</v>
      </c>
    </row>
    <row r="137" spans="3:4" ht="15">
      <c r="C137" s="86">
        <v>63</v>
      </c>
      <c r="D137" s="86" t="s">
        <v>140</v>
      </c>
    </row>
    <row r="138" spans="3:4" ht="15">
      <c r="C138" s="86">
        <v>64</v>
      </c>
      <c r="D138" s="86" t="s">
        <v>141</v>
      </c>
    </row>
    <row r="139" spans="3:4" ht="15">
      <c r="C139" s="86">
        <v>65</v>
      </c>
      <c r="D139" s="86" t="s">
        <v>142</v>
      </c>
    </row>
    <row r="140" spans="3:4" ht="15">
      <c r="C140" s="86">
        <v>66</v>
      </c>
      <c r="D140" s="86" t="s">
        <v>143</v>
      </c>
    </row>
    <row r="141" spans="3:4" ht="15">
      <c r="C141" s="86">
        <v>67</v>
      </c>
      <c r="D141" s="86" t="s">
        <v>144</v>
      </c>
    </row>
    <row r="142" spans="3:4" ht="15">
      <c r="C142" s="86">
        <v>68</v>
      </c>
      <c r="D142" s="86" t="s">
        <v>145</v>
      </c>
    </row>
    <row r="143" spans="3:4" ht="15">
      <c r="C143" s="86">
        <v>69</v>
      </c>
      <c r="D143" s="86" t="s">
        <v>146</v>
      </c>
    </row>
    <row r="144" spans="3:4" ht="15">
      <c r="C144" s="86">
        <v>70</v>
      </c>
      <c r="D144" s="86" t="s">
        <v>147</v>
      </c>
    </row>
    <row r="145" spans="3:4" ht="15">
      <c r="C145" s="86">
        <v>71</v>
      </c>
      <c r="D145" s="86" t="s">
        <v>148</v>
      </c>
    </row>
    <row r="146" spans="3:4" ht="15">
      <c r="C146" s="86">
        <v>72</v>
      </c>
      <c r="D146" s="86" t="s">
        <v>149</v>
      </c>
    </row>
    <row r="147" spans="3:4" ht="15">
      <c r="C147" s="86">
        <v>73</v>
      </c>
      <c r="D147" s="86" t="s">
        <v>150</v>
      </c>
    </row>
    <row r="148" spans="3:4" ht="15">
      <c r="C148" s="86">
        <v>74</v>
      </c>
      <c r="D148" s="86" t="s">
        <v>151</v>
      </c>
    </row>
    <row r="149" spans="3:4" ht="15">
      <c r="C149" s="86">
        <v>75</v>
      </c>
      <c r="D149" s="86" t="s">
        <v>152</v>
      </c>
    </row>
    <row r="150" spans="3:4" ht="15">
      <c r="C150" s="86">
        <v>76</v>
      </c>
      <c r="D150" s="86" t="s">
        <v>153</v>
      </c>
    </row>
    <row r="151" spans="3:4" ht="15">
      <c r="C151" s="86">
        <v>77</v>
      </c>
      <c r="D151" s="86" t="s">
        <v>154</v>
      </c>
    </row>
    <row r="152" spans="3:4" ht="15">
      <c r="C152" s="86">
        <v>78</v>
      </c>
      <c r="D152" s="86" t="s">
        <v>155</v>
      </c>
    </row>
    <row r="153" spans="3:4" ht="15">
      <c r="C153" s="86">
        <v>79</v>
      </c>
      <c r="D153" s="86" t="s">
        <v>156</v>
      </c>
    </row>
    <row r="154" spans="3:4" ht="15">
      <c r="C154" s="86">
        <v>80</v>
      </c>
      <c r="D154" s="86" t="s">
        <v>157</v>
      </c>
    </row>
    <row r="155" spans="3:4" ht="15">
      <c r="C155" s="86">
        <v>81</v>
      </c>
      <c r="D155" s="86" t="s">
        <v>158</v>
      </c>
    </row>
    <row r="156" spans="3:4" ht="15">
      <c r="C156" s="86">
        <v>82</v>
      </c>
      <c r="D156" s="86" t="s">
        <v>159</v>
      </c>
    </row>
    <row r="157" spans="3:4" ht="15">
      <c r="C157" s="86">
        <v>83</v>
      </c>
      <c r="D157" s="86" t="s">
        <v>160</v>
      </c>
    </row>
    <row r="158" spans="3:4" ht="15">
      <c r="C158" s="86">
        <v>84</v>
      </c>
      <c r="D158" s="86" t="s">
        <v>161</v>
      </c>
    </row>
    <row r="159" spans="3:4" ht="15">
      <c r="C159" s="86">
        <v>85</v>
      </c>
      <c r="D159" s="86" t="s">
        <v>162</v>
      </c>
    </row>
    <row r="160" spans="3:4" ht="15">
      <c r="C160" s="86">
        <v>86</v>
      </c>
      <c r="D160" s="86" t="s">
        <v>163</v>
      </c>
    </row>
    <row r="161" spans="3:4" ht="15">
      <c r="C161" s="86">
        <v>87</v>
      </c>
      <c r="D161" s="86" t="s">
        <v>164</v>
      </c>
    </row>
    <row r="162" spans="3:4" ht="15">
      <c r="C162" s="86">
        <v>88</v>
      </c>
      <c r="D162" s="86" t="s">
        <v>165</v>
      </c>
    </row>
    <row r="163" spans="3:4" ht="15">
      <c r="C163" s="86">
        <v>89</v>
      </c>
      <c r="D163" s="86" t="s">
        <v>166</v>
      </c>
    </row>
    <row r="164" spans="3:4" ht="15">
      <c r="C164" s="86">
        <v>90</v>
      </c>
      <c r="D164" s="86" t="s">
        <v>167</v>
      </c>
    </row>
    <row r="165" spans="3:4" ht="15">
      <c r="C165" s="86">
        <v>91</v>
      </c>
      <c r="D165" s="86" t="s">
        <v>168</v>
      </c>
    </row>
    <row r="166" spans="3:4" ht="15">
      <c r="C166" s="86">
        <v>92</v>
      </c>
      <c r="D166" s="86" t="s">
        <v>169</v>
      </c>
    </row>
    <row r="167" spans="3:4" ht="15">
      <c r="C167" s="86">
        <v>93</v>
      </c>
      <c r="D167" s="86" t="s">
        <v>170</v>
      </c>
    </row>
    <row r="168" spans="3:4" ht="15">
      <c r="C168" s="86">
        <v>94</v>
      </c>
      <c r="D168" s="86" t="s">
        <v>171</v>
      </c>
    </row>
    <row r="169" spans="3:4" ht="15">
      <c r="C169" s="86">
        <v>95</v>
      </c>
      <c r="D169" s="86" t="s">
        <v>172</v>
      </c>
    </row>
    <row r="170" spans="3:4" ht="15">
      <c r="C170" s="86">
        <v>96</v>
      </c>
      <c r="D170" s="86" t="s">
        <v>173</v>
      </c>
    </row>
    <row r="171" spans="3:4" ht="15">
      <c r="C171" s="86">
        <v>97</v>
      </c>
      <c r="D171" s="86" t="s">
        <v>174</v>
      </c>
    </row>
    <row r="172" spans="3:4" ht="15">
      <c r="C172" s="86">
        <v>98</v>
      </c>
      <c r="D172" s="86" t="s">
        <v>175</v>
      </c>
    </row>
    <row r="173" spans="3:4" ht="15">
      <c r="C173" s="86">
        <v>99</v>
      </c>
      <c r="D173" s="86" t="s">
        <v>176</v>
      </c>
    </row>
    <row r="174" spans="3:4" ht="15">
      <c r="C174" s="86">
        <v>100</v>
      </c>
      <c r="D174" s="86" t="s">
        <v>177</v>
      </c>
    </row>
    <row r="175" spans="3:4" ht="15">
      <c r="C175" s="86">
        <v>101</v>
      </c>
      <c r="D175" s="86" t="s">
        <v>178</v>
      </c>
    </row>
    <row r="176" spans="3:4" ht="15">
      <c r="C176" s="86">
        <v>102</v>
      </c>
      <c r="D176" s="86" t="s">
        <v>179</v>
      </c>
    </row>
    <row r="177" spans="3:4" ht="15">
      <c r="C177" s="86">
        <v>103</v>
      </c>
      <c r="D177" s="86" t="s">
        <v>180</v>
      </c>
    </row>
    <row r="178" spans="3:4" ht="15">
      <c r="C178" s="86">
        <v>104</v>
      </c>
      <c r="D178" s="86" t="s">
        <v>181</v>
      </c>
    </row>
  </sheetData>
  <mergeCells count="3">
    <mergeCell ref="C9:F9"/>
    <mergeCell ref="L42:Q45"/>
    <mergeCell ref="L75:Q79"/>
  </mergeCells>
  <hyperlinks>
    <hyperlink ref="I8" r:id="rId1"/>
    <hyperlink ref="I6" r:id="rId2"/>
    <hyperlink ref="I4" r:id="rId3"/>
  </hyperlinks>
  <pageMargins left="0.7" right="0.7" top="0.75" bottom="0.75" header="0.3" footer="0.3"/>
  <pageSetup orientation="portrait" r:id="rId4"/>
  <drawing r:id="rId5"/>
  <legacyDrawing r:id="rId6"/>
</worksheet>
</file>

<file path=xl/worksheets/sheet19.xml><?xml version="1.0" encoding="utf-8"?>
<worksheet xmlns="http://schemas.openxmlformats.org/spreadsheetml/2006/main" xmlns:r="http://schemas.openxmlformats.org/officeDocument/2006/relationships">
  <sheetPr codeName="Sheet13"/>
  <dimension ref="A1:AA178"/>
  <sheetViews>
    <sheetView topLeftCell="A19" workbookViewId="0">
      <selection activeCell="D40" sqref="D40:F40"/>
    </sheetView>
  </sheetViews>
  <sheetFormatPr defaultRowHeight="12.75"/>
  <cols>
    <col min="1" max="2" width="9.140625" style="2"/>
    <col min="3" max="3" width="71" style="34" customWidth="1"/>
    <col min="4" max="4" width="33.7109375" style="34" customWidth="1"/>
    <col min="5" max="5" width="67.140625" style="34" customWidth="1"/>
    <col min="6" max="6" width="26.42578125" style="34" customWidth="1"/>
    <col min="7" max="7" width="20.140625" style="34" customWidth="1"/>
    <col min="8" max="9" width="9.140625" style="34"/>
    <col min="10" max="27" width="9.140625" style="2"/>
    <col min="28" max="16384" width="9.140625" style="34"/>
  </cols>
  <sheetData>
    <row r="1" spans="3:26" s="2" customFormat="1" ht="13.5" thickBot="1">
      <c r="C1" s="1"/>
      <c r="D1" s="1"/>
      <c r="E1" s="1"/>
      <c r="F1" s="1"/>
      <c r="G1" s="1"/>
      <c r="H1" s="1"/>
      <c r="I1" s="1"/>
      <c r="J1" s="1"/>
      <c r="K1" s="1"/>
      <c r="L1" s="1"/>
      <c r="M1" s="1"/>
      <c r="N1" s="1"/>
      <c r="O1" s="1"/>
      <c r="P1" s="1"/>
      <c r="Q1" s="1"/>
    </row>
    <row r="2" spans="3:26" ht="15.75" thickBot="1">
      <c r="C2" s="3"/>
      <c r="D2" s="4" t="s">
        <v>0</v>
      </c>
      <c r="E2" s="4" t="s">
        <v>1</v>
      </c>
      <c r="F2" s="5" t="s">
        <v>2</v>
      </c>
      <c r="G2" s="5" t="s">
        <v>3</v>
      </c>
      <c r="H2" s="5" t="s">
        <v>4</v>
      </c>
      <c r="I2" s="5" t="s">
        <v>5</v>
      </c>
      <c r="J2" s="6"/>
      <c r="K2" s="6"/>
      <c r="L2" s="1"/>
      <c r="M2" s="1"/>
      <c r="N2" s="1"/>
      <c r="O2" s="1"/>
      <c r="P2" s="1"/>
      <c r="Q2" s="1"/>
    </row>
    <row r="3" spans="3:26" ht="16.5" thickTop="1" thickBot="1">
      <c r="C3" s="7" t="s">
        <v>6</v>
      </c>
      <c r="D3" s="8"/>
      <c r="E3" s="8"/>
      <c r="F3" s="9"/>
      <c r="G3" s="9"/>
      <c r="H3" s="9"/>
      <c r="I3" s="9"/>
      <c r="J3" s="6"/>
      <c r="K3" s="6"/>
      <c r="L3" s="1"/>
      <c r="M3" s="1"/>
      <c r="N3" s="1"/>
      <c r="O3" s="1"/>
      <c r="P3" s="1"/>
      <c r="Q3" s="1"/>
    </row>
    <row r="4" spans="3:26" ht="16.5" thickTop="1" thickBot="1">
      <c r="C4" s="10" t="s">
        <v>7</v>
      </c>
      <c r="D4" s="11">
        <v>0</v>
      </c>
      <c r="E4" s="12">
        <v>355</v>
      </c>
      <c r="F4" s="13">
        <v>6.5</v>
      </c>
      <c r="G4" s="14" t="s">
        <v>8</v>
      </c>
      <c r="H4" s="14" t="s">
        <v>9</v>
      </c>
      <c r="I4" s="15" t="s">
        <v>10</v>
      </c>
      <c r="J4" s="16"/>
      <c r="K4" s="16"/>
      <c r="L4" s="17"/>
      <c r="M4" s="17"/>
      <c r="N4" s="17"/>
      <c r="O4" s="17"/>
      <c r="P4" s="17"/>
      <c r="Q4" s="17"/>
    </row>
    <row r="5" spans="3:26" ht="16.5" thickTop="1" thickBot="1">
      <c r="C5" s="7"/>
      <c r="D5" s="8"/>
      <c r="E5" s="8"/>
      <c r="F5" s="9"/>
      <c r="G5" s="18"/>
      <c r="H5" s="18"/>
      <c r="I5" s="18"/>
      <c r="J5" s="6"/>
      <c r="K5" s="6"/>
      <c r="L5" s="1"/>
      <c r="M5" s="1"/>
      <c r="N5" s="1"/>
      <c r="O5" s="1"/>
      <c r="P5" s="1"/>
      <c r="Q5" s="1"/>
    </row>
    <row r="6" spans="3:26" ht="16.5" thickTop="1" thickBot="1">
      <c r="C6" s="10" t="s">
        <v>11</v>
      </c>
      <c r="D6" s="11">
        <v>0</v>
      </c>
      <c r="E6" s="12">
        <v>295</v>
      </c>
      <c r="F6" s="13">
        <v>4.5</v>
      </c>
      <c r="G6" s="14" t="s">
        <v>8</v>
      </c>
      <c r="H6" s="14" t="s">
        <v>9</v>
      </c>
      <c r="I6" s="15" t="s">
        <v>10</v>
      </c>
      <c r="J6" s="6"/>
      <c r="K6" s="6"/>
      <c r="L6" s="1"/>
      <c r="M6" s="1"/>
      <c r="N6" s="1"/>
      <c r="O6" s="1"/>
      <c r="P6" s="1"/>
      <c r="Q6" s="1"/>
    </row>
    <row r="7" spans="3:26" ht="16.5" thickTop="1" thickBot="1">
      <c r="C7" s="7"/>
      <c r="D7" s="8"/>
      <c r="E7" s="8"/>
      <c r="F7" s="9"/>
      <c r="G7" s="18"/>
      <c r="H7" s="18"/>
      <c r="I7" s="18"/>
      <c r="J7" s="6"/>
      <c r="K7" s="6"/>
      <c r="L7" s="1"/>
      <c r="M7" s="1"/>
      <c r="N7" s="1"/>
      <c r="O7" s="1"/>
      <c r="P7" s="1"/>
      <c r="Q7" s="1"/>
    </row>
    <row r="8" spans="3:26" ht="16.5" thickTop="1" thickBot="1">
      <c r="C8" s="10" t="s">
        <v>12</v>
      </c>
      <c r="D8" s="19">
        <v>0.75</v>
      </c>
      <c r="E8" s="12">
        <v>295</v>
      </c>
      <c r="F8" s="13">
        <v>4.5</v>
      </c>
      <c r="G8" s="14"/>
      <c r="H8" s="14" t="s">
        <v>9</v>
      </c>
      <c r="I8" s="15" t="s">
        <v>10</v>
      </c>
      <c r="J8" s="1"/>
      <c r="K8" s="1"/>
      <c r="L8" s="1"/>
      <c r="M8" s="1"/>
      <c r="N8" s="1"/>
      <c r="O8" s="1"/>
      <c r="P8" s="1"/>
      <c r="Q8" s="1"/>
    </row>
    <row r="9" spans="3:26" ht="17.25" thickTop="1" thickBot="1">
      <c r="C9" s="678"/>
      <c r="D9" s="679"/>
      <c r="E9" s="679"/>
      <c r="F9" s="680"/>
      <c r="G9" s="20"/>
      <c r="H9" s="20"/>
      <c r="I9" s="20"/>
      <c r="J9" s="1"/>
      <c r="K9" s="21"/>
      <c r="L9" s="21"/>
      <c r="M9" s="21"/>
      <c r="N9" s="21"/>
      <c r="O9" s="21"/>
      <c r="P9" s="21"/>
      <c r="Q9" s="21"/>
    </row>
    <row r="10" spans="3:26" s="2" customFormat="1"/>
    <row r="11" spans="3:26" ht="15">
      <c r="C11" s="22" t="s">
        <v>13</v>
      </c>
      <c r="D11" s="23"/>
      <c r="E11" s="23"/>
      <c r="F11" s="23"/>
      <c r="G11" s="23"/>
      <c r="H11" s="23"/>
      <c r="I11" s="23"/>
      <c r="J11" s="24"/>
      <c r="K11" s="24"/>
      <c r="L11" s="24"/>
      <c r="M11" s="24"/>
      <c r="N11" s="24"/>
      <c r="O11" s="24"/>
      <c r="P11" s="24"/>
      <c r="Q11" s="24"/>
      <c r="R11" s="24"/>
      <c r="S11" s="24"/>
      <c r="T11" s="24"/>
      <c r="U11" s="24"/>
      <c r="V11" s="24"/>
      <c r="W11" s="24"/>
      <c r="X11" s="24"/>
      <c r="Y11" s="24"/>
      <c r="Z11" s="24"/>
    </row>
    <row r="12" spans="3:26" s="2" customFormat="1" ht="15">
      <c r="C12" s="25"/>
      <c r="D12" s="26" t="s">
        <v>14</v>
      </c>
      <c r="E12" s="26" t="s">
        <v>15</v>
      </c>
      <c r="F12" s="26" t="s">
        <v>16</v>
      </c>
      <c r="G12" s="26" t="s">
        <v>17</v>
      </c>
      <c r="H12" s="27" t="s">
        <v>18</v>
      </c>
      <c r="I12" s="24"/>
      <c r="J12" s="24"/>
      <c r="K12" s="24"/>
      <c r="L12" s="24"/>
      <c r="M12" s="24"/>
      <c r="N12" s="24"/>
      <c r="O12" s="24"/>
      <c r="P12" s="24"/>
      <c r="Q12" s="24"/>
      <c r="R12" s="24"/>
      <c r="S12" s="24"/>
      <c r="T12" s="24"/>
      <c r="U12" s="24"/>
      <c r="V12" s="24"/>
      <c r="W12" s="24"/>
      <c r="X12" s="24"/>
      <c r="Y12" s="24"/>
      <c r="Z12" s="24"/>
    </row>
    <row r="13" spans="3:26" ht="15">
      <c r="C13" s="28" t="s">
        <v>19</v>
      </c>
      <c r="D13" s="29"/>
      <c r="E13" s="29"/>
      <c r="F13" s="29"/>
      <c r="G13" s="29"/>
      <c r="H13" s="29"/>
      <c r="I13" s="29"/>
      <c r="J13" s="30"/>
      <c r="K13" s="30"/>
      <c r="L13" s="30"/>
      <c r="M13" s="30"/>
      <c r="N13" s="30"/>
      <c r="O13" s="30"/>
      <c r="P13" s="30"/>
      <c r="Q13" s="30"/>
      <c r="R13" s="30"/>
      <c r="S13" s="30"/>
      <c r="T13" s="30"/>
      <c r="U13" s="30"/>
      <c r="V13" s="30"/>
      <c r="W13" s="30"/>
      <c r="X13" s="30"/>
      <c r="Y13" s="30"/>
      <c r="Z13" s="30"/>
    </row>
    <row r="14" spans="3:26" s="2" customFormat="1" ht="15">
      <c r="C14" s="31" t="s">
        <v>20</v>
      </c>
      <c r="D14" s="32">
        <f>MIN('CEC Data'!K21:K383)</f>
        <v>180</v>
      </c>
      <c r="E14" s="32">
        <v>355</v>
      </c>
      <c r="F14" s="33">
        <f>ROUND($D$29/(D14),2)</f>
        <v>1.19</v>
      </c>
      <c r="G14" s="33">
        <v>0</v>
      </c>
      <c r="H14" s="31" t="str">
        <f>C14</f>
        <v>180 to 355  kWh/year - All - Baseline (meets Fed. criteria till May 2013)</v>
      </c>
      <c r="I14" s="31"/>
      <c r="J14" s="30"/>
      <c r="K14" s="31" t="s">
        <v>21</v>
      </c>
      <c r="L14" s="30"/>
      <c r="M14" s="30"/>
      <c r="N14" s="30"/>
      <c r="O14" s="30"/>
      <c r="P14" s="30"/>
      <c r="Q14" s="30"/>
      <c r="R14" s="30"/>
      <c r="S14" s="30"/>
      <c r="T14" s="30"/>
      <c r="U14" s="30"/>
      <c r="V14" s="30"/>
      <c r="W14" s="30"/>
      <c r="X14" s="30"/>
      <c r="Y14" s="30"/>
      <c r="Z14" s="30"/>
    </row>
    <row r="15" spans="3:26" s="2" customFormat="1" ht="15">
      <c r="C15" s="31" t="s">
        <v>22</v>
      </c>
      <c r="D15" s="32">
        <f>D14</f>
        <v>180</v>
      </c>
      <c r="E15" s="32">
        <v>295</v>
      </c>
      <c r="F15" s="33">
        <f>ROUND($D$29/(D15),2)</f>
        <v>1.19</v>
      </c>
      <c r="G15" s="33">
        <v>0</v>
      </c>
      <c r="H15" s="31" t="str">
        <f>C15</f>
        <v>180 to 295  kWh/year - Energy Star as of January 20, 2012</v>
      </c>
      <c r="I15" s="31"/>
      <c r="J15" s="30"/>
      <c r="K15" s="31"/>
      <c r="L15" s="30"/>
      <c r="M15" s="30"/>
      <c r="N15" s="30"/>
      <c r="O15" s="30"/>
      <c r="P15" s="30"/>
      <c r="Q15" s="30"/>
      <c r="R15" s="30"/>
      <c r="S15" s="30"/>
      <c r="T15" s="30"/>
      <c r="U15" s="30"/>
      <c r="V15" s="30"/>
      <c r="W15" s="30"/>
      <c r="X15" s="30"/>
      <c r="Y15" s="30"/>
      <c r="Z15" s="30"/>
    </row>
    <row r="16" spans="3:26" s="2" customFormat="1" ht="15">
      <c r="C16" s="31" t="s">
        <v>23</v>
      </c>
      <c r="D16" s="32">
        <f>D14</f>
        <v>180</v>
      </c>
      <c r="E16" s="32">
        <v>295</v>
      </c>
      <c r="F16" s="33">
        <f>ROUND($D$29/(D16),2)</f>
        <v>1.19</v>
      </c>
      <c r="G16" s="33">
        <v>0.75</v>
      </c>
      <c r="H16" s="31" t="str">
        <f>C16</f>
        <v>180 to 295  kWh/year - CEE Tier 1 as of January 20, 2012;  min EF= 0.75</v>
      </c>
      <c r="I16" s="31"/>
      <c r="J16" s="30"/>
      <c r="K16" s="31" t="s">
        <v>24</v>
      </c>
      <c r="L16" s="30"/>
      <c r="M16" s="30"/>
      <c r="N16" s="30"/>
      <c r="O16" s="30"/>
      <c r="P16" s="30"/>
      <c r="Q16" s="30"/>
      <c r="R16" s="30"/>
      <c r="S16" s="30"/>
      <c r="T16" s="30"/>
      <c r="U16" s="30"/>
      <c r="V16" s="30"/>
      <c r="W16" s="30"/>
      <c r="X16" s="30"/>
      <c r="Y16" s="30"/>
      <c r="Z16" s="30"/>
    </row>
    <row r="17" spans="3:27" s="2" customFormat="1" ht="15">
      <c r="C17" s="30"/>
      <c r="D17" s="26" t="s">
        <v>14</v>
      </c>
      <c r="E17" s="26" t="s">
        <v>15</v>
      </c>
      <c r="F17" s="26" t="s">
        <v>16</v>
      </c>
      <c r="G17" s="26" t="s">
        <v>17</v>
      </c>
      <c r="H17" s="26" t="s">
        <v>18</v>
      </c>
      <c r="I17" s="30"/>
      <c r="J17" s="30"/>
      <c r="K17" s="30"/>
      <c r="L17" s="27"/>
      <c r="M17" s="30"/>
      <c r="N17" s="30"/>
      <c r="O17" s="30"/>
      <c r="P17" s="30"/>
      <c r="Q17" s="30"/>
      <c r="R17" s="30"/>
      <c r="S17" s="30"/>
      <c r="T17" s="30"/>
      <c r="U17" s="30"/>
      <c r="V17" s="30"/>
      <c r="W17" s="30"/>
      <c r="X17" s="30"/>
      <c r="Y17" s="30"/>
      <c r="Z17" s="30"/>
      <c r="AA17" s="30"/>
    </row>
    <row r="18" spans="3:27" ht="15">
      <c r="C18" s="28" t="s">
        <v>25</v>
      </c>
      <c r="D18" s="29"/>
      <c r="E18" s="29"/>
      <c r="F18" s="29"/>
      <c r="G18" s="29"/>
      <c r="H18" s="29"/>
      <c r="I18" s="29"/>
      <c r="J18" s="30"/>
      <c r="K18" s="30"/>
      <c r="L18" s="30"/>
      <c r="M18" s="30"/>
      <c r="N18" s="30"/>
      <c r="O18" s="30"/>
      <c r="P18" s="30"/>
      <c r="Q18" s="30"/>
      <c r="R18" s="30"/>
      <c r="S18" s="30"/>
      <c r="T18" s="30"/>
      <c r="U18" s="30"/>
      <c r="V18" s="30"/>
      <c r="W18" s="30"/>
      <c r="X18" s="30"/>
      <c r="Y18" s="30"/>
      <c r="Z18" s="30"/>
      <c r="AA18" s="30"/>
    </row>
    <row r="19" spans="3:27" s="2" customFormat="1" ht="15">
      <c r="C19" s="31" t="s">
        <v>26</v>
      </c>
      <c r="D19" s="32">
        <v>180</v>
      </c>
      <c r="E19" s="32">
        <v>355</v>
      </c>
      <c r="F19" s="33">
        <f>D23+$D$24</f>
        <v>0.87853994490357945</v>
      </c>
      <c r="G19" s="33">
        <f>D23-D24</f>
        <v>0.67853994490357949</v>
      </c>
      <c r="H19" s="31" t="str">
        <f>C19</f>
        <v xml:space="preserve">180 to 355  kWh/year - All - Baseline (meets Fed. criteria for January 2010). </v>
      </c>
      <c r="I19" s="30"/>
      <c r="J19" s="30"/>
      <c r="K19" s="30"/>
      <c r="L19" s="33"/>
      <c r="M19" s="30"/>
      <c r="N19" s="30"/>
      <c r="O19" s="30"/>
      <c r="P19" s="30"/>
      <c r="Q19" s="30"/>
      <c r="R19" s="30"/>
      <c r="S19" s="30"/>
      <c r="T19" s="30"/>
      <c r="U19" s="30"/>
      <c r="V19" s="30"/>
      <c r="W19" s="30"/>
      <c r="X19" s="30"/>
      <c r="Y19" s="30"/>
      <c r="Z19" s="30"/>
      <c r="AA19" s="30"/>
    </row>
    <row r="20" spans="3:27" s="2" customFormat="1" ht="15">
      <c r="C20" s="35" t="s">
        <v>27</v>
      </c>
      <c r="D20" s="32">
        <v>180</v>
      </c>
      <c r="E20" s="32">
        <v>307</v>
      </c>
      <c r="F20" s="33">
        <f>D23+$D$24</f>
        <v>0.87853994490357945</v>
      </c>
      <c r="G20" s="33">
        <f>D23-D24</f>
        <v>0.67853994490357949</v>
      </c>
      <c r="H20" s="31" t="str">
        <f>C20</f>
        <v>180 to 307 kWh/year- All- Baseline (effective May 2013)</v>
      </c>
      <c r="I20" s="30"/>
      <c r="J20" s="30"/>
      <c r="K20" s="30"/>
      <c r="L20" s="33"/>
      <c r="M20" s="30"/>
      <c r="N20" s="30"/>
      <c r="O20" s="30"/>
      <c r="P20" s="30"/>
      <c r="Q20" s="30"/>
      <c r="R20" s="30"/>
      <c r="S20" s="30"/>
      <c r="T20" s="30"/>
      <c r="U20" s="30"/>
      <c r="V20" s="30"/>
      <c r="W20" s="30"/>
      <c r="X20" s="30"/>
      <c r="Y20" s="30"/>
      <c r="Z20" s="30"/>
      <c r="AA20" s="30"/>
    </row>
    <row r="21" spans="3:27" s="2" customFormat="1" ht="15">
      <c r="C21" s="30"/>
      <c r="D21" s="32"/>
      <c r="E21" s="32"/>
      <c r="F21" s="33"/>
      <c r="G21" s="33"/>
      <c r="H21" s="31"/>
      <c r="I21" s="30"/>
      <c r="J21" s="30"/>
      <c r="K21" s="30"/>
      <c r="L21" s="33"/>
      <c r="M21" s="30"/>
      <c r="N21" s="30"/>
      <c r="O21" s="30"/>
      <c r="P21" s="30"/>
      <c r="Q21" s="30"/>
      <c r="R21" s="30"/>
      <c r="S21" s="30"/>
      <c r="T21" s="30"/>
      <c r="U21" s="30"/>
      <c r="V21" s="30"/>
      <c r="W21" s="30"/>
      <c r="X21" s="30"/>
      <c r="Y21" s="30"/>
      <c r="Z21" s="30"/>
      <c r="AA21" s="30"/>
    </row>
    <row r="22" spans="3:27" s="2" customFormat="1" ht="15">
      <c r="C22" s="36" t="s">
        <v>28</v>
      </c>
      <c r="D22" s="37" t="s">
        <v>29</v>
      </c>
      <c r="E22" s="37" t="s">
        <v>30</v>
      </c>
      <c r="F22" s="33"/>
      <c r="G22" s="33"/>
      <c r="H22" s="30"/>
      <c r="I22" s="30"/>
      <c r="J22" s="30"/>
      <c r="K22" s="30"/>
      <c r="L22" s="33"/>
      <c r="M22" s="30"/>
      <c r="N22" s="30"/>
      <c r="O22" s="30"/>
      <c r="P22" s="30"/>
      <c r="Q22" s="30"/>
      <c r="R22" s="30"/>
      <c r="S22" s="30"/>
      <c r="T22" s="30"/>
      <c r="U22" s="30"/>
      <c r="V22" s="30"/>
      <c r="W22" s="30"/>
      <c r="X22" s="30"/>
      <c r="Y22" s="30"/>
      <c r="Z22" s="30"/>
      <c r="AA22" s="30"/>
    </row>
    <row r="23" spans="3:27" s="2" customFormat="1" ht="22.5" customHeight="1">
      <c r="C23" s="38" t="s">
        <v>31</v>
      </c>
      <c r="D23" s="39">
        <f>'CEC Data'!R13</f>
        <v>0.77853994490357947</v>
      </c>
      <c r="E23" s="40" t="s">
        <v>32</v>
      </c>
      <c r="F23" s="33"/>
      <c r="G23" s="33"/>
      <c r="H23" s="30"/>
      <c r="I23" s="30"/>
      <c r="J23" s="30"/>
      <c r="K23" s="30"/>
      <c r="L23" s="33"/>
      <c r="M23" s="30"/>
      <c r="N23" s="30"/>
      <c r="O23" s="30"/>
      <c r="P23" s="30"/>
      <c r="Q23" s="30"/>
      <c r="R23" s="30"/>
      <c r="S23" s="30"/>
      <c r="T23" s="30"/>
      <c r="U23" s="30"/>
      <c r="V23" s="30"/>
      <c r="W23" s="30"/>
      <c r="X23" s="30"/>
      <c r="Y23" s="30"/>
      <c r="Z23" s="30"/>
      <c r="AA23" s="30"/>
    </row>
    <row r="24" spans="3:27" s="2" customFormat="1" ht="24.75" customHeight="1">
      <c r="C24" s="41" t="s">
        <v>33</v>
      </c>
      <c r="D24" s="42">
        <v>0.1</v>
      </c>
      <c r="E24" s="43" t="s">
        <v>34</v>
      </c>
    </row>
    <row r="25" spans="3:27" s="2" customFormat="1" ht="15" customHeight="1">
      <c r="C25" s="44" t="s">
        <v>35</v>
      </c>
      <c r="D25" s="42">
        <f>2.64*52</f>
        <v>137.28</v>
      </c>
      <c r="E25" s="45" t="s">
        <v>924</v>
      </c>
      <c r="F25" s="46"/>
      <c r="G25" s="47"/>
      <c r="H25" s="1"/>
      <c r="I25" s="1"/>
      <c r="J25" s="1"/>
      <c r="K25" s="1"/>
      <c r="L25" s="1"/>
      <c r="M25" s="1"/>
      <c r="N25" s="1"/>
      <c r="O25" s="1"/>
      <c r="P25" s="1"/>
    </row>
    <row r="26" spans="3:27" s="2" customFormat="1" ht="15">
      <c r="C26" s="30"/>
      <c r="D26" s="48"/>
      <c r="E26" s="31"/>
      <c r="F26" s="30"/>
      <c r="G26" s="30"/>
      <c r="H26" s="49"/>
      <c r="I26" s="30"/>
      <c r="J26" s="30"/>
      <c r="K26" s="30"/>
      <c r="L26" s="30"/>
      <c r="M26" s="30"/>
      <c r="N26" s="30"/>
      <c r="O26" s="30"/>
      <c r="P26" s="30"/>
      <c r="Q26" s="30"/>
      <c r="R26" s="30"/>
      <c r="S26" s="30"/>
      <c r="T26" s="30"/>
      <c r="U26" s="30"/>
      <c r="V26" s="30"/>
      <c r="W26" s="30"/>
      <c r="X26" s="30"/>
      <c r="Y26" s="30"/>
      <c r="Z26" s="50"/>
      <c r="AA26" s="51"/>
    </row>
    <row r="27" spans="3:27" s="2" customFormat="1" ht="15">
      <c r="C27" s="52" t="s">
        <v>36</v>
      </c>
      <c r="D27" s="24"/>
      <c r="E27" s="24"/>
      <c r="F27" s="24"/>
      <c r="G27" s="24"/>
      <c r="H27" s="24"/>
      <c r="I27" s="24"/>
      <c r="J27" s="24"/>
      <c r="K27" s="24"/>
      <c r="L27" s="24"/>
      <c r="M27" s="24"/>
      <c r="N27" s="24"/>
      <c r="O27" s="24"/>
      <c r="P27" s="24"/>
      <c r="Q27" s="24"/>
      <c r="R27" s="24"/>
      <c r="S27" s="24"/>
      <c r="T27" s="24"/>
      <c r="U27" s="24"/>
      <c r="V27" s="24"/>
      <c r="W27" s="24"/>
      <c r="X27" s="24"/>
      <c r="Y27" s="24"/>
      <c r="Z27" s="24"/>
      <c r="AA27" s="24"/>
    </row>
    <row r="28" spans="3:27" s="2" customFormat="1" ht="15">
      <c r="C28" s="52"/>
      <c r="D28" s="52" t="s">
        <v>37</v>
      </c>
      <c r="E28" s="24"/>
      <c r="F28" s="24"/>
      <c r="G28" s="24"/>
      <c r="H28" s="24"/>
      <c r="I28" s="24"/>
      <c r="J28" s="24"/>
      <c r="K28" s="24"/>
      <c r="L28" s="24"/>
      <c r="M28" s="24"/>
      <c r="N28" s="24"/>
      <c r="O28" s="24"/>
      <c r="P28" s="24"/>
      <c r="Q28" s="24"/>
      <c r="R28" s="24"/>
      <c r="S28" s="24"/>
      <c r="T28" s="24"/>
      <c r="U28" s="24"/>
      <c r="V28" s="24"/>
      <c r="W28" s="24"/>
      <c r="X28" s="24"/>
      <c r="Y28" s="24"/>
      <c r="Z28" s="24"/>
      <c r="AA28" s="24"/>
    </row>
    <row r="29" spans="3:27" s="2" customFormat="1" ht="15">
      <c r="C29" s="52"/>
      <c r="D29" s="24">
        <v>215</v>
      </c>
      <c r="E29" s="53" t="s">
        <v>38</v>
      </c>
      <c r="F29" s="24"/>
      <c r="G29" s="24"/>
      <c r="H29" s="24"/>
      <c r="I29" s="24"/>
      <c r="J29" s="24"/>
      <c r="K29" s="24"/>
      <c r="L29" s="24"/>
      <c r="M29" s="24"/>
      <c r="N29" s="24"/>
      <c r="O29" s="24"/>
      <c r="P29" s="24"/>
      <c r="Q29" s="24"/>
      <c r="R29" s="24"/>
      <c r="S29" s="24"/>
      <c r="T29" s="24"/>
      <c r="U29" s="24"/>
      <c r="V29" s="24"/>
      <c r="W29" s="24"/>
      <c r="X29" s="24"/>
      <c r="Y29" s="24"/>
      <c r="Z29" s="24"/>
      <c r="AA29" s="24"/>
    </row>
    <row r="30" spans="3:27" s="2" customFormat="1" ht="15">
      <c r="C30" s="30"/>
      <c r="D30" s="27" t="s">
        <v>39</v>
      </c>
      <c r="E30" s="30"/>
      <c r="F30" s="30"/>
      <c r="G30" s="30"/>
      <c r="H30" s="30"/>
      <c r="I30" s="30"/>
      <c r="J30" s="30"/>
      <c r="K30" s="30"/>
      <c r="L30" s="30"/>
      <c r="M30" s="30"/>
      <c r="N30" s="30"/>
      <c r="O30" s="30"/>
      <c r="P30" s="30"/>
      <c r="Q30" s="30"/>
      <c r="R30" s="30"/>
      <c r="S30" s="30"/>
      <c r="T30" s="30"/>
      <c r="U30" s="30"/>
      <c r="V30" s="30"/>
      <c r="W30" s="30"/>
      <c r="X30" s="30"/>
      <c r="Y30" s="30"/>
      <c r="Z30" s="50"/>
      <c r="AA30" s="51"/>
    </row>
    <row r="31" spans="3:27" s="2" customFormat="1" ht="15">
      <c r="C31" s="30"/>
      <c r="D31" s="31">
        <v>15.4</v>
      </c>
      <c r="E31" s="31" t="s">
        <v>40</v>
      </c>
      <c r="F31" s="30"/>
      <c r="G31" s="30"/>
      <c r="H31" s="30"/>
      <c r="I31" s="30"/>
      <c r="J31" s="30"/>
      <c r="K31" s="30"/>
      <c r="L31" s="30"/>
      <c r="M31" s="30"/>
      <c r="N31" s="30"/>
      <c r="O31" s="30"/>
      <c r="P31" s="30"/>
      <c r="Q31" s="30"/>
      <c r="R31" s="30"/>
      <c r="S31" s="30"/>
      <c r="T31" s="30"/>
      <c r="U31" s="30"/>
      <c r="V31" s="30"/>
      <c r="W31" s="30"/>
      <c r="X31" s="30"/>
      <c r="Y31" s="30"/>
      <c r="Z31" s="50"/>
      <c r="AA31" s="51"/>
    </row>
    <row r="32" spans="3:27" s="2" customFormat="1" ht="15">
      <c r="C32" s="30"/>
      <c r="D32" s="54" t="s">
        <v>41</v>
      </c>
      <c r="E32" s="55"/>
      <c r="F32" s="55"/>
      <c r="G32" s="30"/>
      <c r="H32" s="30"/>
      <c r="I32" s="30"/>
      <c r="J32" s="30"/>
      <c r="K32" s="30"/>
      <c r="L32" s="30"/>
      <c r="M32" s="30"/>
      <c r="N32" s="30"/>
      <c r="O32" s="30"/>
      <c r="P32" s="30"/>
      <c r="Q32" s="30"/>
      <c r="R32" s="30"/>
      <c r="S32" s="30"/>
      <c r="T32" s="30"/>
      <c r="U32" s="30"/>
      <c r="V32" s="30"/>
      <c r="W32" s="30"/>
      <c r="X32" s="30"/>
      <c r="Y32" s="30"/>
      <c r="Z32" s="50"/>
      <c r="AA32" s="51"/>
    </row>
    <row r="33" spans="4:25" s="2" customFormat="1" ht="15">
      <c r="D33" s="56">
        <v>10.029999999999999</v>
      </c>
      <c r="E33" s="57" t="s">
        <v>42</v>
      </c>
      <c r="F33" s="57" t="s">
        <v>43</v>
      </c>
      <c r="G33" s="30"/>
      <c r="H33" s="30"/>
      <c r="I33" s="30"/>
      <c r="J33" s="30"/>
      <c r="K33" s="30"/>
      <c r="L33" s="30"/>
      <c r="M33" s="30"/>
      <c r="N33" s="30"/>
      <c r="O33" s="30"/>
      <c r="P33" s="30"/>
      <c r="Q33" s="30"/>
      <c r="R33" s="30"/>
      <c r="S33" s="30"/>
      <c r="T33" s="30"/>
      <c r="U33" s="30"/>
      <c r="V33" s="30"/>
      <c r="W33" s="30"/>
      <c r="X33" s="30"/>
      <c r="Y33" s="30"/>
    </row>
    <row r="34" spans="4:25" s="2" customFormat="1" ht="15">
      <c r="D34" s="48">
        <v>5.29</v>
      </c>
      <c r="E34" s="57" t="s">
        <v>44</v>
      </c>
      <c r="F34" s="57" t="s">
        <v>43</v>
      </c>
      <c r="G34" s="30"/>
      <c r="H34" s="30"/>
      <c r="I34" s="30"/>
      <c r="J34" s="30"/>
      <c r="K34" s="30"/>
      <c r="L34" s="30"/>
      <c r="M34" s="30"/>
      <c r="N34" s="30"/>
      <c r="O34" s="30"/>
      <c r="P34" s="30"/>
      <c r="Q34" s="30"/>
      <c r="R34" s="30"/>
      <c r="S34" s="30"/>
      <c r="T34" s="30"/>
      <c r="U34" s="30"/>
      <c r="V34" s="30"/>
      <c r="W34" s="30"/>
      <c r="X34" s="30"/>
      <c r="Y34" s="30"/>
    </row>
    <row r="35" spans="4:25" s="2" customFormat="1" ht="15">
      <c r="D35" s="56">
        <v>0.15</v>
      </c>
      <c r="E35" s="57" t="s">
        <v>45</v>
      </c>
      <c r="F35" s="57" t="s">
        <v>46</v>
      </c>
      <c r="G35" s="30"/>
      <c r="H35" s="30"/>
      <c r="I35" s="30"/>
      <c r="J35" s="30"/>
      <c r="K35" s="30"/>
      <c r="L35" s="30"/>
      <c r="M35" s="30"/>
      <c r="N35" s="30"/>
      <c r="O35" s="30"/>
      <c r="P35" s="30"/>
      <c r="Q35" s="30"/>
      <c r="R35" s="30"/>
      <c r="S35" s="30"/>
      <c r="T35" s="30"/>
      <c r="U35" s="30"/>
      <c r="V35" s="30"/>
      <c r="W35" s="30"/>
      <c r="X35" s="30"/>
      <c r="Y35" s="30"/>
    </row>
    <row r="36" spans="4:25" s="2" customFormat="1" ht="15">
      <c r="D36" s="56">
        <v>9.2364999999999995</v>
      </c>
      <c r="E36" s="57" t="s">
        <v>42</v>
      </c>
      <c r="F36" s="57" t="s">
        <v>47</v>
      </c>
      <c r="G36" s="30"/>
      <c r="H36" s="30"/>
      <c r="I36" s="30"/>
      <c r="J36" s="30"/>
      <c r="K36" s="30"/>
      <c r="L36" s="30"/>
      <c r="M36" s="30"/>
      <c r="N36" s="30"/>
      <c r="O36" s="30"/>
      <c r="P36" s="30"/>
      <c r="Q36" s="30"/>
      <c r="R36" s="30"/>
      <c r="S36" s="30"/>
      <c r="T36" s="30"/>
      <c r="U36" s="30"/>
      <c r="V36" s="30"/>
      <c r="W36" s="30"/>
      <c r="X36" s="30"/>
      <c r="Y36" s="30"/>
    </row>
    <row r="37" spans="4:25" s="2" customFormat="1" ht="15">
      <c r="D37" s="58">
        <v>9.2364999999999999E-3</v>
      </c>
      <c r="E37" s="57" t="s">
        <v>48</v>
      </c>
      <c r="F37" s="57" t="s">
        <v>49</v>
      </c>
      <c r="G37" s="30"/>
      <c r="H37" s="30"/>
      <c r="I37" s="30"/>
      <c r="J37" s="30"/>
      <c r="K37" s="30"/>
      <c r="L37" s="30"/>
      <c r="M37" s="30"/>
      <c r="N37" s="30"/>
      <c r="O37" s="30"/>
      <c r="P37" s="30"/>
      <c r="Q37" s="30"/>
      <c r="R37" s="30"/>
      <c r="S37" s="30"/>
      <c r="T37" s="30"/>
      <c r="U37" s="30"/>
      <c r="V37" s="30"/>
      <c r="W37" s="30"/>
      <c r="X37" s="30"/>
      <c r="Y37" s="30"/>
    </row>
    <row r="39" spans="4:25" ht="15">
      <c r="D39" s="59" t="s">
        <v>50</v>
      </c>
      <c r="E39" s="60"/>
      <c r="F39" s="60"/>
      <c r="G39" s="60"/>
      <c r="H39" s="60"/>
      <c r="I39" s="60"/>
      <c r="J39" s="30"/>
      <c r="K39" s="30"/>
      <c r="L39" s="30"/>
      <c r="M39" s="30"/>
      <c r="N39" s="30"/>
      <c r="O39" s="30"/>
      <c r="P39" s="30"/>
      <c r="Q39" s="30"/>
      <c r="R39" s="30"/>
      <c r="S39" s="30"/>
      <c r="T39" s="30"/>
      <c r="U39" s="30"/>
      <c r="V39" s="30"/>
      <c r="W39" s="30"/>
      <c r="X39" s="30"/>
      <c r="Y39" s="30"/>
    </row>
    <row r="40" spans="4:25" ht="15">
      <c r="D40" s="61" t="s">
        <v>1094</v>
      </c>
      <c r="E40" s="62">
        <v>1.038</v>
      </c>
      <c r="F40" s="53" t="s">
        <v>1095</v>
      </c>
      <c r="G40" s="60"/>
      <c r="H40" s="60"/>
      <c r="I40" s="60"/>
      <c r="J40" s="30"/>
      <c r="K40" s="30"/>
      <c r="L40" s="30"/>
      <c r="M40" s="30"/>
      <c r="N40" s="30"/>
      <c r="O40" s="30"/>
      <c r="P40" s="30"/>
      <c r="Q40" s="30"/>
      <c r="R40" s="30"/>
      <c r="S40" s="30"/>
      <c r="T40" s="30"/>
      <c r="U40" s="30"/>
      <c r="V40" s="30"/>
      <c r="W40" s="30"/>
      <c r="X40" s="30"/>
      <c r="Y40" s="30"/>
    </row>
    <row r="42" spans="4:25" ht="15">
      <c r="D42" s="63" t="s">
        <v>925</v>
      </c>
      <c r="E42" s="64"/>
      <c r="F42" s="60"/>
      <c r="G42" s="60"/>
      <c r="H42" s="60"/>
      <c r="I42" s="60"/>
      <c r="J42" s="30"/>
      <c r="K42" s="30"/>
      <c r="L42" s="681" t="s">
        <v>51</v>
      </c>
      <c r="M42" s="682"/>
      <c r="N42" s="682"/>
      <c r="O42" s="682"/>
      <c r="P42" s="682"/>
      <c r="Q42" s="683"/>
      <c r="R42" s="30"/>
      <c r="S42" s="30"/>
      <c r="T42" s="30"/>
      <c r="U42" s="30"/>
      <c r="V42" s="30"/>
      <c r="W42" s="30"/>
      <c r="X42" s="30"/>
      <c r="Y42" s="30"/>
    </row>
    <row r="43" spans="4:25" ht="15">
      <c r="D43" s="65">
        <f>[2]SATS!$D$47</f>
        <v>0.94699999999999995</v>
      </c>
      <c r="E43" s="66" t="s">
        <v>935</v>
      </c>
      <c r="F43" s="60"/>
      <c r="G43" s="60"/>
      <c r="H43" s="60"/>
      <c r="I43" s="60"/>
      <c r="J43" s="30"/>
      <c r="K43" s="30"/>
      <c r="L43" s="684"/>
      <c r="M43" s="685"/>
      <c r="N43" s="685"/>
      <c r="O43" s="685"/>
      <c r="P43" s="685"/>
      <c r="Q43" s="686"/>
      <c r="R43" s="30"/>
      <c r="S43" s="30"/>
      <c r="T43" s="30"/>
      <c r="U43" s="30"/>
      <c r="V43" s="30"/>
      <c r="W43" s="30"/>
      <c r="X43" s="30"/>
      <c r="Y43" s="30"/>
    </row>
    <row r="44" spans="4:25" ht="15">
      <c r="D44" s="65">
        <f>1-D43</f>
        <v>5.3000000000000047E-2</v>
      </c>
      <c r="E44" s="66" t="s">
        <v>936</v>
      </c>
      <c r="F44" s="60"/>
      <c r="G44" s="60"/>
      <c r="H44" s="60"/>
      <c r="I44" s="60"/>
      <c r="J44" s="30"/>
      <c r="K44" s="30"/>
      <c r="L44" s="684"/>
      <c r="M44" s="685"/>
      <c r="N44" s="685"/>
      <c r="O44" s="685"/>
      <c r="P44" s="685"/>
      <c r="Q44" s="686"/>
      <c r="R44" s="30"/>
      <c r="S44" s="30"/>
      <c r="T44" s="30"/>
      <c r="U44" s="30"/>
      <c r="V44" s="30"/>
      <c r="W44" s="30"/>
      <c r="X44" s="30"/>
      <c r="Y44" s="30"/>
    </row>
    <row r="45" spans="4:25" ht="15">
      <c r="D45" s="67"/>
      <c r="E45" s="67"/>
      <c r="F45" s="60"/>
      <c r="G45" s="60"/>
      <c r="H45" s="60"/>
      <c r="I45" s="60"/>
      <c r="J45" s="30"/>
      <c r="K45" s="30"/>
      <c r="L45" s="687"/>
      <c r="M45" s="688"/>
      <c r="N45" s="688"/>
      <c r="O45" s="688"/>
      <c r="P45" s="688"/>
      <c r="Q45" s="689"/>
      <c r="R45" s="30"/>
      <c r="S45" s="30"/>
      <c r="T45" s="30"/>
      <c r="U45" s="30"/>
      <c r="V45" s="30"/>
      <c r="W45" s="30"/>
      <c r="X45" s="30"/>
      <c r="Y45" s="30"/>
    </row>
    <row r="46" spans="4:25" ht="15">
      <c r="D46" s="68"/>
      <c r="E46" s="67"/>
      <c r="F46" s="67"/>
      <c r="G46" s="60"/>
      <c r="H46" s="60"/>
      <c r="I46" s="60"/>
      <c r="J46" s="30"/>
      <c r="K46" s="30"/>
      <c r="L46" s="30"/>
      <c r="M46" s="30"/>
      <c r="N46" s="30"/>
      <c r="O46" s="30"/>
      <c r="P46" s="30"/>
      <c r="Q46" s="30"/>
      <c r="R46" s="30"/>
      <c r="S46" s="30"/>
      <c r="T46" s="69"/>
      <c r="U46" s="69"/>
      <c r="V46" s="69"/>
      <c r="W46" s="69"/>
      <c r="X46" s="69"/>
      <c r="Y46" s="69"/>
    </row>
    <row r="47" spans="4:25" ht="15">
      <c r="D47" s="70" t="s">
        <v>52</v>
      </c>
      <c r="E47" s="70"/>
      <c r="F47" s="70"/>
      <c r="G47" s="60"/>
      <c r="H47" s="60"/>
      <c r="I47" s="60"/>
      <c r="J47" s="30"/>
      <c r="K47" s="30"/>
      <c r="L47" s="30"/>
      <c r="M47" s="30"/>
      <c r="N47" s="30"/>
      <c r="O47" s="30"/>
      <c r="P47" s="30"/>
      <c r="Q47" s="30"/>
      <c r="R47" s="30"/>
      <c r="S47" s="30"/>
      <c r="T47" s="69"/>
      <c r="U47" s="69"/>
      <c r="V47" s="69"/>
      <c r="W47" s="69"/>
      <c r="X47" s="69"/>
      <c r="Y47" s="69"/>
    </row>
    <row r="48" spans="4:25" ht="15">
      <c r="D48" s="71">
        <v>1</v>
      </c>
      <c r="E48" s="72" t="s">
        <v>53</v>
      </c>
      <c r="F48" s="72"/>
      <c r="G48" s="60"/>
      <c r="H48" s="60"/>
      <c r="I48" s="60"/>
      <c r="J48" s="30"/>
      <c r="K48" s="30"/>
      <c r="L48" s="30"/>
      <c r="M48" s="30"/>
      <c r="N48" s="30"/>
      <c r="O48" s="30"/>
      <c r="P48" s="30"/>
      <c r="Q48" s="30"/>
      <c r="R48" s="30"/>
      <c r="S48" s="30"/>
      <c r="T48" s="69"/>
      <c r="U48" s="69"/>
      <c r="V48" s="69"/>
      <c r="W48" s="69"/>
      <c r="X48" s="69"/>
      <c r="Y48" s="69"/>
    </row>
    <row r="49" spans="3:25" ht="15">
      <c r="C49" s="60"/>
      <c r="D49" s="71">
        <v>0.75</v>
      </c>
      <c r="E49" s="72" t="s">
        <v>54</v>
      </c>
      <c r="F49" s="72"/>
      <c r="G49" s="60"/>
      <c r="H49" s="60"/>
      <c r="I49" s="60"/>
      <c r="J49" s="30"/>
      <c r="K49" s="30"/>
      <c r="L49" s="30"/>
      <c r="M49" s="30"/>
      <c r="N49" s="30"/>
      <c r="O49" s="30"/>
      <c r="P49" s="30"/>
      <c r="Q49" s="30"/>
      <c r="R49" s="30"/>
      <c r="S49" s="30"/>
      <c r="T49" s="69"/>
      <c r="U49" s="69"/>
      <c r="V49" s="69"/>
      <c r="W49" s="69"/>
      <c r="X49" s="69"/>
      <c r="Y49" s="69"/>
    </row>
    <row r="50" spans="3:25" ht="15">
      <c r="C50" s="60"/>
      <c r="D50" s="71">
        <v>0.81</v>
      </c>
      <c r="E50" s="72" t="s">
        <v>55</v>
      </c>
      <c r="F50" s="72"/>
      <c r="G50" s="60"/>
      <c r="H50" s="60"/>
      <c r="I50" s="60"/>
      <c r="J50" s="30"/>
      <c r="K50" s="30"/>
      <c r="L50" s="30"/>
      <c r="M50" s="30"/>
      <c r="N50" s="30"/>
      <c r="O50" s="30"/>
      <c r="P50" s="30"/>
      <c r="Q50" s="30"/>
      <c r="R50" s="30"/>
      <c r="S50" s="30"/>
      <c r="T50" s="30"/>
      <c r="U50" s="30"/>
      <c r="V50" s="30"/>
      <c r="W50" s="30"/>
      <c r="X50" s="30"/>
      <c r="Y50" s="30"/>
    </row>
    <row r="51" spans="3:25" ht="15">
      <c r="C51" s="60"/>
      <c r="D51" s="73">
        <v>70</v>
      </c>
      <c r="E51" s="72" t="s">
        <v>56</v>
      </c>
      <c r="F51" s="72"/>
      <c r="G51" s="60"/>
      <c r="H51" s="60"/>
      <c r="I51" s="60"/>
      <c r="J51" s="30"/>
      <c r="K51" s="30"/>
      <c r="L51" s="30"/>
      <c r="M51" s="30"/>
      <c r="N51" s="30"/>
      <c r="O51" s="30"/>
      <c r="P51" s="30"/>
      <c r="Q51" s="30"/>
      <c r="R51" s="30"/>
      <c r="S51" s="30"/>
      <c r="T51" s="30"/>
      <c r="U51" s="30"/>
      <c r="V51" s="30"/>
      <c r="W51" s="30"/>
      <c r="X51" s="30"/>
      <c r="Y51" s="30"/>
    </row>
    <row r="52" spans="3:25" ht="15">
      <c r="C52" s="60"/>
      <c r="D52" s="73">
        <v>2.3999999999999998E-3</v>
      </c>
      <c r="E52" s="72" t="s">
        <v>57</v>
      </c>
      <c r="F52" s="72"/>
      <c r="G52" s="60"/>
      <c r="H52" s="60"/>
      <c r="I52" s="60"/>
      <c r="J52" s="30"/>
      <c r="K52" s="30"/>
      <c r="L52" s="30"/>
      <c r="M52" s="30"/>
      <c r="N52" s="30"/>
      <c r="O52" s="30"/>
      <c r="P52" s="30"/>
      <c r="Q52" s="30"/>
      <c r="R52" s="30"/>
      <c r="S52" s="30"/>
      <c r="T52" s="30"/>
      <c r="U52" s="30"/>
      <c r="V52" s="30"/>
      <c r="W52" s="30"/>
      <c r="X52" s="30"/>
      <c r="Y52" s="30"/>
    </row>
    <row r="53" spans="3:25" ht="15">
      <c r="C53" s="60"/>
      <c r="D53" s="73">
        <v>8.1999999999999993</v>
      </c>
      <c r="E53" s="72" t="s">
        <v>58</v>
      </c>
      <c r="F53" s="72"/>
      <c r="G53" s="60"/>
      <c r="H53" s="60"/>
      <c r="I53" s="60"/>
      <c r="J53" s="30"/>
      <c r="K53" s="30"/>
      <c r="L53" s="30"/>
      <c r="M53" s="30"/>
      <c r="N53" s="30"/>
      <c r="O53" s="30"/>
      <c r="P53" s="30"/>
      <c r="Q53" s="30"/>
      <c r="R53" s="30"/>
      <c r="S53" s="30"/>
      <c r="T53" s="30"/>
      <c r="U53" s="30"/>
      <c r="V53" s="30"/>
      <c r="W53" s="30"/>
      <c r="X53" s="30"/>
      <c r="Y53" s="30"/>
    </row>
    <row r="54" spans="3:25" ht="15">
      <c r="C54" s="60"/>
      <c r="D54" s="53">
        <v>3.4129560000000003E-2</v>
      </c>
      <c r="E54" s="53" t="s">
        <v>59</v>
      </c>
      <c r="F54" s="60"/>
      <c r="G54" s="60"/>
      <c r="H54" s="60"/>
      <c r="I54" s="60"/>
      <c r="J54" s="30"/>
      <c r="K54" s="30"/>
      <c r="L54" s="30"/>
      <c r="M54" s="30"/>
      <c r="N54" s="30"/>
      <c r="O54" s="30"/>
      <c r="P54" s="30"/>
      <c r="Q54" s="30"/>
      <c r="R54" s="30"/>
      <c r="S54" s="30"/>
      <c r="T54" s="30"/>
      <c r="U54" s="30"/>
      <c r="V54" s="30"/>
      <c r="W54" s="30"/>
      <c r="X54" s="30"/>
      <c r="Y54" s="30"/>
    </row>
    <row r="55" spans="3:25" ht="15">
      <c r="C55" s="60"/>
      <c r="D55" s="59" t="s">
        <v>60</v>
      </c>
      <c r="E55" s="60"/>
      <c r="F55" s="60"/>
      <c r="G55" s="60"/>
      <c r="H55" s="60"/>
      <c r="I55" s="60"/>
      <c r="J55" s="30"/>
      <c r="K55" s="30"/>
      <c r="L55" s="30"/>
      <c r="M55" s="30"/>
      <c r="N55" s="30"/>
      <c r="O55" s="30"/>
      <c r="P55" s="30"/>
      <c r="Q55" s="30"/>
      <c r="R55" s="30"/>
      <c r="S55" s="30"/>
      <c r="T55" s="30"/>
      <c r="U55" s="30"/>
      <c r="V55" s="30"/>
      <c r="W55" s="30"/>
      <c r="X55" s="30"/>
      <c r="Y55" s="30"/>
    </row>
    <row r="56" spans="3:25" ht="15">
      <c r="C56" s="60"/>
      <c r="D56" s="74">
        <v>37893</v>
      </c>
      <c r="E56" s="53" t="s">
        <v>61</v>
      </c>
      <c r="F56" s="60"/>
      <c r="G56" s="60"/>
      <c r="H56" s="60"/>
      <c r="I56" s="60"/>
      <c r="J56" s="30"/>
      <c r="K56" s="30"/>
      <c r="L56" s="30"/>
      <c r="M56" s="30"/>
      <c r="N56" s="30"/>
      <c r="O56" s="30"/>
      <c r="P56" s="30"/>
      <c r="Q56" s="30"/>
      <c r="R56" s="30"/>
      <c r="S56" s="30"/>
      <c r="T56" s="30"/>
      <c r="U56" s="30"/>
      <c r="V56" s="30"/>
      <c r="W56" s="30"/>
      <c r="X56" s="30"/>
      <c r="Y56" s="30"/>
    </row>
    <row r="57" spans="3:25" ht="15">
      <c r="C57" s="60"/>
      <c r="D57" s="60"/>
      <c r="E57" s="53" t="s">
        <v>62</v>
      </c>
      <c r="F57" s="60"/>
      <c r="G57" s="60"/>
      <c r="H57" s="60"/>
      <c r="I57" s="60"/>
      <c r="J57" s="30"/>
      <c r="K57" s="30"/>
      <c r="L57" s="30"/>
      <c r="M57" s="30"/>
      <c r="N57" s="30"/>
      <c r="O57" s="30"/>
      <c r="P57" s="30"/>
      <c r="Q57" s="30"/>
      <c r="R57" s="30"/>
      <c r="S57" s="30"/>
      <c r="T57" s="30"/>
      <c r="U57" s="30"/>
      <c r="V57" s="30"/>
      <c r="W57" s="30"/>
      <c r="X57" s="30"/>
      <c r="Y57" s="30"/>
    </row>
    <row r="58" spans="3:25" ht="15">
      <c r="C58" s="60"/>
      <c r="D58" s="59" t="s">
        <v>63</v>
      </c>
      <c r="E58" s="60"/>
      <c r="F58" s="60"/>
      <c r="G58" s="60"/>
      <c r="H58" s="60"/>
      <c r="I58" s="60"/>
      <c r="J58" s="30"/>
      <c r="K58" s="30"/>
      <c r="L58" s="30"/>
      <c r="M58" s="30"/>
      <c r="N58" s="30"/>
      <c r="O58" s="30"/>
      <c r="P58" s="30"/>
      <c r="Q58" s="30"/>
      <c r="R58" s="30"/>
      <c r="S58" s="30"/>
      <c r="T58" s="30"/>
      <c r="U58" s="30"/>
      <c r="V58" s="30"/>
      <c r="W58" s="30"/>
      <c r="X58" s="30"/>
      <c r="Y58" s="30"/>
    </row>
    <row r="59" spans="3:25" ht="15">
      <c r="C59" s="60"/>
      <c r="D59" s="75">
        <v>0.68</v>
      </c>
      <c r="E59" s="76" t="s">
        <v>64</v>
      </c>
      <c r="F59" s="60"/>
      <c r="G59" s="60"/>
      <c r="H59" s="60"/>
      <c r="I59" s="60"/>
      <c r="J59" s="30"/>
      <c r="K59" s="30"/>
      <c r="L59" s="30"/>
      <c r="M59" s="30"/>
      <c r="N59" s="30"/>
      <c r="O59" s="30"/>
      <c r="P59" s="30"/>
      <c r="Q59" s="30"/>
      <c r="R59" s="30"/>
      <c r="S59" s="30"/>
      <c r="T59" s="30"/>
      <c r="U59" s="30"/>
      <c r="V59" s="30"/>
      <c r="W59" s="30"/>
      <c r="X59" s="30"/>
      <c r="Y59" s="30"/>
    </row>
    <row r="60" spans="3:25" ht="15">
      <c r="C60" s="60"/>
      <c r="D60" s="75">
        <v>0.70066666666666322</v>
      </c>
      <c r="E60" s="76" t="s">
        <v>65</v>
      </c>
      <c r="F60" s="60"/>
      <c r="G60" s="60"/>
      <c r="H60" s="60"/>
      <c r="I60" s="60"/>
      <c r="J60" s="30"/>
      <c r="K60" s="30"/>
      <c r="L60" s="30"/>
      <c r="M60" s="30"/>
      <c r="N60" s="30"/>
      <c r="O60" s="30"/>
      <c r="P60" s="30"/>
      <c r="Q60" s="30"/>
      <c r="R60" s="30"/>
      <c r="S60" s="30"/>
      <c r="T60" s="30"/>
      <c r="U60" s="30"/>
      <c r="V60" s="30"/>
      <c r="W60" s="30"/>
      <c r="X60" s="30"/>
      <c r="Y60" s="30"/>
    </row>
    <row r="62" spans="3:25" ht="15">
      <c r="C62" s="77" t="s">
        <v>66</v>
      </c>
      <c r="D62" s="78"/>
      <c r="E62" s="78"/>
      <c r="F62" s="78"/>
      <c r="G62" s="78"/>
      <c r="H62" s="78"/>
      <c r="I62" s="60"/>
      <c r="J62" s="30"/>
      <c r="K62" s="30"/>
      <c r="L62" s="30"/>
      <c r="M62" s="30"/>
      <c r="N62" s="30"/>
      <c r="O62" s="30"/>
      <c r="P62" s="30"/>
      <c r="Q62" s="30"/>
      <c r="R62" s="30"/>
      <c r="S62" s="30"/>
      <c r="T62" s="30"/>
      <c r="U62" s="30"/>
      <c r="V62" s="30"/>
      <c r="W62" s="30"/>
      <c r="X62" s="30"/>
      <c r="Y62" s="30"/>
    </row>
    <row r="63" spans="3:25" ht="15">
      <c r="C63" s="79" t="s">
        <v>67</v>
      </c>
      <c r="D63" s="80"/>
      <c r="E63" s="60"/>
      <c r="F63" s="60"/>
      <c r="G63" s="60"/>
      <c r="H63" s="60"/>
      <c r="I63" s="60"/>
      <c r="J63" s="30"/>
      <c r="K63" s="30"/>
      <c r="L63" s="30"/>
      <c r="M63" s="30"/>
      <c r="N63" s="30"/>
      <c r="O63" s="30"/>
      <c r="P63" s="30"/>
      <c r="Q63" s="30"/>
      <c r="R63" s="30"/>
      <c r="S63" s="30"/>
      <c r="T63" s="30"/>
      <c r="U63" s="30"/>
      <c r="V63" s="30"/>
      <c r="W63" s="30"/>
      <c r="X63" s="30"/>
      <c r="Y63" s="30"/>
    </row>
    <row r="64" spans="3:25" ht="15">
      <c r="C64" s="81" t="s">
        <v>68</v>
      </c>
      <c r="D64" s="82">
        <v>0.93</v>
      </c>
      <c r="E64" s="60"/>
      <c r="F64" s="60"/>
      <c r="G64" s="60"/>
      <c r="H64" s="60"/>
      <c r="I64" s="60"/>
      <c r="J64" s="30"/>
      <c r="K64" s="30"/>
      <c r="L64" s="30"/>
      <c r="M64" s="30"/>
      <c r="N64" s="30"/>
      <c r="O64" s="30"/>
      <c r="P64" s="30"/>
      <c r="Q64" s="30"/>
      <c r="R64" s="30"/>
      <c r="S64" s="30"/>
      <c r="T64" s="30"/>
      <c r="U64" s="30"/>
      <c r="V64" s="30"/>
      <c r="W64" s="30"/>
      <c r="X64" s="30"/>
      <c r="Y64" s="30"/>
    </row>
    <row r="65" spans="3:26" ht="15">
      <c r="C65" s="81" t="s">
        <v>69</v>
      </c>
      <c r="D65" s="82">
        <v>0.94</v>
      </c>
      <c r="E65" s="60"/>
      <c r="F65" s="60"/>
      <c r="G65" s="60"/>
      <c r="H65" s="60"/>
      <c r="I65" s="60"/>
      <c r="J65" s="30"/>
      <c r="K65" s="30"/>
      <c r="L65" s="30"/>
      <c r="M65" s="30"/>
      <c r="N65" s="30"/>
      <c r="O65" s="30"/>
      <c r="P65" s="30"/>
      <c r="Q65" s="30"/>
      <c r="R65" s="30"/>
      <c r="S65" s="30"/>
      <c r="T65" s="30"/>
      <c r="U65" s="30"/>
      <c r="V65" s="30"/>
      <c r="W65" s="30"/>
      <c r="X65" s="30"/>
      <c r="Y65" s="30"/>
    </row>
    <row r="66" spans="3:26" ht="15">
      <c r="C66" s="81" t="s">
        <v>70</v>
      </c>
      <c r="D66" s="82">
        <v>0.95199999999999996</v>
      </c>
      <c r="E66" s="60"/>
      <c r="F66" s="60"/>
      <c r="G66" s="60"/>
      <c r="H66" s="60"/>
      <c r="I66" s="60"/>
      <c r="J66" s="30"/>
      <c r="K66" s="30"/>
      <c r="L66" s="30"/>
      <c r="M66" s="30"/>
      <c r="N66" s="30"/>
      <c r="O66" s="30"/>
      <c r="P66" s="30"/>
      <c r="Q66" s="30"/>
      <c r="R66" s="30"/>
      <c r="S66" s="30"/>
      <c r="T66" s="30"/>
      <c r="U66" s="30"/>
      <c r="V66" s="30"/>
      <c r="W66" s="30"/>
      <c r="X66" s="30"/>
      <c r="Y66" s="30"/>
    </row>
    <row r="67" spans="3:26" ht="15">
      <c r="C67" s="81" t="s">
        <v>71</v>
      </c>
      <c r="D67" s="82">
        <v>0.9741192004278646</v>
      </c>
      <c r="E67" s="60"/>
      <c r="F67" s="60"/>
      <c r="G67" s="60"/>
      <c r="H67" s="60"/>
      <c r="I67" s="60"/>
      <c r="J67" s="30"/>
      <c r="K67" s="30"/>
      <c r="L67" s="30"/>
      <c r="M67" s="30"/>
      <c r="N67" s="30"/>
      <c r="O67" s="30"/>
      <c r="P67" s="30"/>
      <c r="Q67" s="30"/>
      <c r="R67" s="30"/>
      <c r="S67" s="30"/>
      <c r="T67" s="30"/>
      <c r="U67" s="30"/>
      <c r="V67" s="30"/>
      <c r="W67" s="30"/>
      <c r="X67" s="30"/>
      <c r="Y67" s="30"/>
      <c r="Z67" s="30"/>
    </row>
    <row r="68" spans="3:26" ht="15">
      <c r="C68" s="81" t="s">
        <v>72</v>
      </c>
      <c r="D68" s="82">
        <v>1.0315663716814159</v>
      </c>
      <c r="E68" s="60"/>
      <c r="F68" s="60"/>
      <c r="G68" s="60"/>
      <c r="H68" s="60"/>
      <c r="I68" s="60"/>
      <c r="J68" s="30"/>
      <c r="K68" s="30"/>
      <c r="L68" s="30"/>
      <c r="M68" s="30"/>
      <c r="N68" s="30"/>
      <c r="O68" s="30"/>
      <c r="P68" s="30"/>
      <c r="Q68" s="30"/>
      <c r="R68" s="30"/>
      <c r="S68" s="30"/>
      <c r="T68" s="30"/>
      <c r="U68" s="30"/>
      <c r="V68" s="30"/>
      <c r="W68" s="30"/>
      <c r="X68" s="30"/>
      <c r="Y68" s="30"/>
      <c r="Z68" s="30"/>
    </row>
    <row r="69" spans="3:26" ht="15">
      <c r="C69" s="81" t="s">
        <v>73</v>
      </c>
      <c r="D69" s="82">
        <v>1.0649083700279549</v>
      </c>
      <c r="E69" s="60"/>
      <c r="F69" s="60"/>
      <c r="G69" s="60"/>
      <c r="H69" s="60"/>
      <c r="I69" s="60"/>
      <c r="J69" s="30"/>
      <c r="K69" s="30"/>
      <c r="L69" s="30"/>
      <c r="M69" s="30"/>
      <c r="N69" s="30"/>
      <c r="O69" s="30"/>
      <c r="P69" s="30"/>
      <c r="Q69" s="30"/>
      <c r="R69" s="30"/>
      <c r="S69" s="30"/>
      <c r="T69" s="30"/>
      <c r="U69" s="30"/>
      <c r="V69" s="30"/>
      <c r="W69" s="30"/>
      <c r="X69" s="30"/>
      <c r="Y69" s="30"/>
      <c r="Z69" s="30"/>
    </row>
    <row r="73" spans="3:26" ht="15">
      <c r="C73" s="83" t="s">
        <v>74</v>
      </c>
      <c r="D73" s="84"/>
      <c r="E73" s="60"/>
      <c r="F73" s="60"/>
      <c r="G73" s="60"/>
      <c r="H73" s="60"/>
      <c r="I73" s="60"/>
      <c r="J73" s="30"/>
      <c r="K73" s="30"/>
      <c r="L73" s="30"/>
      <c r="M73" s="30"/>
      <c r="N73" s="30"/>
      <c r="O73" s="30"/>
      <c r="P73" s="30"/>
      <c r="Q73" s="30"/>
      <c r="R73" s="30"/>
      <c r="S73" s="30"/>
      <c r="T73" s="30"/>
      <c r="U73" s="30"/>
      <c r="V73" s="30"/>
      <c r="W73" s="30"/>
      <c r="X73" s="30"/>
      <c r="Y73" s="30"/>
      <c r="Z73" s="30"/>
    </row>
    <row r="74" spans="3:26" ht="15">
      <c r="C74" s="85" t="s">
        <v>75</v>
      </c>
      <c r="D74" s="85" t="s">
        <v>76</v>
      </c>
      <c r="E74" s="60"/>
      <c r="F74" s="60"/>
      <c r="G74" s="60"/>
      <c r="H74" s="60"/>
      <c r="I74" s="60"/>
      <c r="J74" s="30"/>
      <c r="K74" s="30"/>
      <c r="L74" s="30"/>
      <c r="M74" s="30"/>
      <c r="N74" s="30"/>
      <c r="O74" s="30"/>
      <c r="P74" s="30"/>
      <c r="Q74" s="30"/>
      <c r="R74" s="30"/>
      <c r="S74" s="30"/>
      <c r="T74" s="30"/>
      <c r="U74" s="30"/>
      <c r="V74" s="30"/>
      <c r="W74" s="30"/>
      <c r="X74" s="30"/>
      <c r="Y74" s="30"/>
      <c r="Z74" s="30"/>
    </row>
    <row r="75" spans="3:26" ht="15">
      <c r="C75" s="86">
        <v>1</v>
      </c>
      <c r="D75" s="86" t="s">
        <v>77</v>
      </c>
      <c r="E75" s="60"/>
      <c r="F75" s="60"/>
      <c r="G75" s="60"/>
      <c r="H75" s="60"/>
      <c r="I75" s="60"/>
      <c r="J75" s="30"/>
      <c r="K75" s="30"/>
      <c r="L75" s="681" t="s">
        <v>78</v>
      </c>
      <c r="M75" s="682"/>
      <c r="N75" s="682"/>
      <c r="O75" s="682"/>
      <c r="P75" s="682"/>
      <c r="Q75" s="683"/>
      <c r="R75" s="30"/>
      <c r="S75" s="30"/>
      <c r="T75" s="30"/>
      <c r="U75" s="30"/>
      <c r="V75" s="30"/>
      <c r="W75" s="30"/>
      <c r="X75" s="30"/>
      <c r="Y75" s="30"/>
      <c r="Z75" s="30"/>
    </row>
    <row r="76" spans="3:26" ht="15">
      <c r="C76" s="86">
        <v>2</v>
      </c>
      <c r="D76" s="86" t="s">
        <v>79</v>
      </c>
      <c r="E76" s="60"/>
      <c r="F76" s="60"/>
      <c r="G76" s="60"/>
      <c r="H76" s="60"/>
      <c r="I76" s="60"/>
      <c r="J76" s="30"/>
      <c r="K76" s="30"/>
      <c r="L76" s="684"/>
      <c r="M76" s="685"/>
      <c r="N76" s="685"/>
      <c r="O76" s="685"/>
      <c r="P76" s="685"/>
      <c r="Q76" s="686"/>
      <c r="R76" s="30"/>
      <c r="S76" s="30"/>
      <c r="T76" s="30"/>
      <c r="U76" s="30"/>
      <c r="V76" s="30"/>
      <c r="W76" s="30"/>
      <c r="X76" s="30"/>
      <c r="Y76" s="30"/>
      <c r="Z76" s="30"/>
    </row>
    <row r="77" spans="3:26" ht="15">
      <c r="C77" s="86">
        <v>3</v>
      </c>
      <c r="D77" s="86" t="s">
        <v>80</v>
      </c>
      <c r="E77" s="60"/>
      <c r="F77" s="60"/>
      <c r="G77" s="60"/>
      <c r="H77" s="60"/>
      <c r="I77" s="60"/>
      <c r="J77" s="30"/>
      <c r="K77" s="30"/>
      <c r="L77" s="684"/>
      <c r="M77" s="685"/>
      <c r="N77" s="685"/>
      <c r="O77" s="685"/>
      <c r="P77" s="685"/>
      <c r="Q77" s="686"/>
      <c r="R77" s="30"/>
      <c r="S77" s="30"/>
      <c r="T77" s="30"/>
      <c r="U77" s="30"/>
      <c r="V77" s="30"/>
      <c r="W77" s="30"/>
      <c r="X77" s="30"/>
      <c r="Y77" s="30"/>
      <c r="Z77" s="30"/>
    </row>
    <row r="78" spans="3:26" ht="15">
      <c r="C78" s="86">
        <v>4</v>
      </c>
      <c r="D78" s="86" t="s">
        <v>81</v>
      </c>
      <c r="E78" s="60"/>
      <c r="F78" s="60"/>
      <c r="G78" s="60"/>
      <c r="H78" s="60"/>
      <c r="I78" s="60"/>
      <c r="J78" s="30"/>
      <c r="K78" s="30"/>
      <c r="L78" s="684"/>
      <c r="M78" s="685"/>
      <c r="N78" s="685"/>
      <c r="O78" s="685"/>
      <c r="P78" s="685"/>
      <c r="Q78" s="686"/>
      <c r="R78" s="30"/>
      <c r="S78" s="30"/>
      <c r="T78" s="30"/>
      <c r="U78" s="30"/>
      <c r="V78" s="30"/>
      <c r="W78" s="30"/>
      <c r="X78" s="30"/>
      <c r="Y78" s="30"/>
      <c r="Z78" s="30"/>
    </row>
    <row r="79" spans="3:26" ht="15">
      <c r="C79" s="86">
        <v>5</v>
      </c>
      <c r="D79" s="86" t="s">
        <v>82</v>
      </c>
      <c r="E79" s="60"/>
      <c r="F79" s="60"/>
      <c r="G79" s="60"/>
      <c r="H79" s="60"/>
      <c r="I79" s="60"/>
      <c r="J79" s="30"/>
      <c r="K79" s="30"/>
      <c r="L79" s="687"/>
      <c r="M79" s="688"/>
      <c r="N79" s="688"/>
      <c r="O79" s="688"/>
      <c r="P79" s="688"/>
      <c r="Q79" s="689"/>
      <c r="R79" s="30"/>
      <c r="S79" s="30"/>
      <c r="T79" s="30"/>
      <c r="U79" s="30"/>
      <c r="V79" s="30"/>
      <c r="W79" s="30"/>
      <c r="X79" s="30"/>
      <c r="Y79" s="30"/>
      <c r="Z79" s="30"/>
    </row>
    <row r="80" spans="3:26" ht="15">
      <c r="C80" s="86">
        <v>6</v>
      </c>
      <c r="D80" s="86" t="s">
        <v>83</v>
      </c>
      <c r="E80" s="60"/>
      <c r="F80" s="60"/>
      <c r="G80" s="60"/>
      <c r="H80" s="60"/>
      <c r="I80" s="60"/>
      <c r="J80" s="30"/>
      <c r="K80" s="30"/>
      <c r="L80" s="30"/>
      <c r="M80" s="30"/>
      <c r="N80" s="30"/>
      <c r="O80" s="30"/>
      <c r="P80" s="30"/>
      <c r="Q80" s="30"/>
      <c r="R80" s="30"/>
      <c r="S80" s="30"/>
      <c r="T80" s="87"/>
      <c r="U80" s="87"/>
      <c r="V80" s="87"/>
      <c r="W80" s="87"/>
      <c r="X80" s="87"/>
      <c r="Y80" s="87"/>
      <c r="Z80" s="87"/>
    </row>
    <row r="81" spans="3:26" ht="15">
      <c r="C81" s="86">
        <v>7</v>
      </c>
      <c r="D81" s="86" t="s">
        <v>84</v>
      </c>
      <c r="E81" s="60"/>
      <c r="F81" s="60"/>
      <c r="G81" s="60"/>
      <c r="H81" s="60"/>
      <c r="I81" s="60"/>
      <c r="J81" s="30"/>
      <c r="K81" s="30"/>
      <c r="L81" s="30"/>
      <c r="M81" s="30"/>
      <c r="N81" s="30"/>
      <c r="O81" s="30"/>
      <c r="P81" s="30"/>
      <c r="Q81" s="30"/>
      <c r="R81" s="30"/>
      <c r="S81" s="30"/>
      <c r="T81" s="87"/>
      <c r="U81" s="87"/>
      <c r="V81" s="87"/>
      <c r="W81" s="87"/>
      <c r="X81" s="87"/>
      <c r="Y81" s="87"/>
      <c r="Z81" s="87"/>
    </row>
    <row r="82" spans="3:26" ht="15">
      <c r="C82" s="86">
        <v>8</v>
      </c>
      <c r="D82" s="86" t="s">
        <v>85</v>
      </c>
      <c r="E82" s="60"/>
      <c r="F82" s="60"/>
      <c r="G82" s="60"/>
      <c r="H82" s="60"/>
      <c r="I82" s="60"/>
      <c r="J82" s="30"/>
      <c r="K82" s="30"/>
      <c r="L82" s="30"/>
      <c r="M82" s="30"/>
      <c r="N82" s="30"/>
      <c r="O82" s="30"/>
      <c r="P82" s="30"/>
      <c r="Q82" s="30"/>
      <c r="R82" s="30"/>
      <c r="S82" s="30"/>
      <c r="T82" s="87"/>
      <c r="U82" s="87"/>
      <c r="V82" s="87"/>
      <c r="W82" s="87"/>
      <c r="X82" s="87"/>
      <c r="Y82" s="87"/>
      <c r="Z82" s="87"/>
    </row>
    <row r="83" spans="3:26" ht="15">
      <c r="C83" s="86">
        <v>9</v>
      </c>
      <c r="D83" s="86" t="s">
        <v>86</v>
      </c>
      <c r="E83" s="60"/>
      <c r="F83" s="60"/>
      <c r="G83" s="60"/>
      <c r="H83" s="60"/>
      <c r="I83" s="60"/>
      <c r="J83" s="30"/>
      <c r="K83" s="30"/>
      <c r="L83" s="30"/>
      <c r="M83" s="30"/>
      <c r="N83" s="30"/>
      <c r="O83" s="30"/>
      <c r="P83" s="30"/>
      <c r="Q83" s="30"/>
      <c r="R83" s="30"/>
      <c r="S83" s="30"/>
      <c r="T83" s="87"/>
      <c r="U83" s="87"/>
      <c r="V83" s="87"/>
      <c r="W83" s="87"/>
      <c r="X83" s="87"/>
      <c r="Y83" s="87"/>
      <c r="Z83" s="87"/>
    </row>
    <row r="84" spans="3:26" ht="15">
      <c r="C84" s="86">
        <v>10</v>
      </c>
      <c r="D84" s="86" t="s">
        <v>87</v>
      </c>
      <c r="E84" s="60"/>
      <c r="F84" s="60"/>
      <c r="G84" s="60"/>
      <c r="H84" s="60"/>
      <c r="I84" s="60"/>
      <c r="J84" s="30"/>
      <c r="K84" s="30"/>
      <c r="L84" s="30"/>
      <c r="M84" s="30"/>
      <c r="N84" s="30"/>
      <c r="O84" s="30"/>
      <c r="P84" s="30"/>
      <c r="Q84" s="30"/>
      <c r="R84" s="30"/>
      <c r="S84" s="30"/>
      <c r="T84" s="87"/>
      <c r="U84" s="87"/>
      <c r="V84" s="87"/>
      <c r="W84" s="87"/>
      <c r="X84" s="87"/>
      <c r="Y84" s="87"/>
      <c r="Z84" s="87"/>
    </row>
    <row r="85" spans="3:26" ht="15">
      <c r="C85" s="86">
        <v>11</v>
      </c>
      <c r="D85" s="86" t="s">
        <v>88</v>
      </c>
      <c r="E85" s="60"/>
      <c r="F85" s="60"/>
      <c r="G85" s="60"/>
      <c r="H85" s="60"/>
      <c r="I85" s="60"/>
      <c r="J85" s="30"/>
      <c r="K85" s="30"/>
      <c r="L85" s="30"/>
      <c r="M85" s="30"/>
      <c r="N85" s="30"/>
      <c r="O85" s="30"/>
      <c r="P85" s="30"/>
      <c r="Q85" s="30"/>
      <c r="R85" s="30"/>
      <c r="S85" s="30"/>
      <c r="T85" s="30"/>
      <c r="U85" s="30"/>
      <c r="V85" s="30"/>
      <c r="W85" s="30"/>
      <c r="X85" s="30"/>
      <c r="Y85" s="30"/>
      <c r="Z85" s="30"/>
    </row>
    <row r="86" spans="3:26" ht="15">
      <c r="C86" s="86">
        <v>12</v>
      </c>
      <c r="D86" s="86" t="s">
        <v>89</v>
      </c>
      <c r="E86" s="60"/>
      <c r="F86" s="60"/>
      <c r="G86" s="60"/>
      <c r="H86" s="60"/>
      <c r="I86" s="60"/>
      <c r="J86" s="30"/>
      <c r="K86" s="30"/>
      <c r="L86" s="30"/>
      <c r="M86" s="30"/>
      <c r="N86" s="30"/>
      <c r="O86" s="30"/>
      <c r="P86" s="30"/>
      <c r="Q86" s="30"/>
      <c r="R86" s="30"/>
      <c r="S86" s="30"/>
      <c r="T86" s="30"/>
      <c r="U86" s="30"/>
      <c r="V86" s="30"/>
      <c r="W86" s="30"/>
      <c r="X86" s="30"/>
      <c r="Y86" s="30"/>
      <c r="Z86" s="30"/>
    </row>
    <row r="87" spans="3:26" ht="15">
      <c r="C87" s="86">
        <v>13</v>
      </c>
      <c r="D87" s="86" t="s">
        <v>90</v>
      </c>
      <c r="E87" s="60"/>
      <c r="F87" s="60"/>
      <c r="G87" s="60"/>
      <c r="H87" s="60"/>
      <c r="I87" s="60"/>
      <c r="J87" s="30"/>
      <c r="K87" s="30"/>
      <c r="L87" s="30"/>
      <c r="M87" s="30"/>
      <c r="N87" s="30"/>
      <c r="O87" s="30"/>
      <c r="P87" s="30"/>
      <c r="Q87" s="30"/>
      <c r="R87" s="30"/>
      <c r="S87" s="30"/>
      <c r="T87" s="30"/>
      <c r="U87" s="30"/>
      <c r="V87" s="30"/>
      <c r="W87" s="30"/>
      <c r="X87" s="30"/>
      <c r="Y87" s="30"/>
      <c r="Z87" s="30"/>
    </row>
    <row r="88" spans="3:26" ht="15">
      <c r="C88" s="86">
        <v>14</v>
      </c>
      <c r="D88" s="86" t="s">
        <v>91</v>
      </c>
      <c r="E88" s="60"/>
      <c r="F88" s="60"/>
      <c r="G88" s="60"/>
      <c r="H88" s="60"/>
      <c r="I88" s="60"/>
      <c r="J88" s="30"/>
      <c r="K88" s="30"/>
      <c r="L88" s="30"/>
      <c r="M88" s="30"/>
      <c r="N88" s="30"/>
      <c r="O88" s="30"/>
      <c r="P88" s="30"/>
      <c r="Q88" s="30"/>
      <c r="R88" s="30"/>
      <c r="S88" s="30"/>
      <c r="T88" s="30"/>
      <c r="U88" s="30"/>
      <c r="V88" s="30"/>
      <c r="W88" s="30"/>
      <c r="X88" s="30"/>
      <c r="Y88" s="30"/>
      <c r="Z88" s="30"/>
    </row>
    <row r="89" spans="3:26" ht="15">
      <c r="C89" s="86">
        <v>15</v>
      </c>
      <c r="D89" s="86" t="s">
        <v>92</v>
      </c>
      <c r="E89" s="60"/>
      <c r="F89" s="60"/>
      <c r="G89" s="60"/>
      <c r="H89" s="60"/>
      <c r="I89" s="60"/>
      <c r="J89" s="30"/>
      <c r="K89" s="30"/>
      <c r="L89" s="30"/>
      <c r="M89" s="30"/>
      <c r="N89" s="30"/>
      <c r="O89" s="30"/>
      <c r="P89" s="30"/>
      <c r="Q89" s="30"/>
      <c r="R89" s="30"/>
      <c r="S89" s="30"/>
      <c r="T89" s="30"/>
      <c r="U89" s="30"/>
      <c r="V89" s="30"/>
      <c r="W89" s="30"/>
      <c r="X89" s="30"/>
      <c r="Y89" s="30"/>
      <c r="Z89" s="30"/>
    </row>
    <row r="90" spans="3:26" ht="15">
      <c r="C90" s="86">
        <v>16</v>
      </c>
      <c r="D90" s="86" t="s">
        <v>93</v>
      </c>
      <c r="E90" s="60"/>
      <c r="F90" s="60"/>
      <c r="G90" s="60"/>
      <c r="H90" s="60"/>
      <c r="I90" s="60"/>
      <c r="J90" s="30"/>
      <c r="K90" s="30"/>
      <c r="L90" s="30"/>
      <c r="M90" s="30"/>
      <c r="N90" s="30"/>
      <c r="O90" s="30"/>
      <c r="P90" s="30"/>
      <c r="Q90" s="30"/>
      <c r="R90" s="30"/>
      <c r="S90" s="30"/>
      <c r="T90" s="30"/>
      <c r="U90" s="30"/>
      <c r="V90" s="30"/>
      <c r="W90" s="30"/>
      <c r="X90" s="30"/>
      <c r="Y90" s="30"/>
      <c r="Z90" s="30"/>
    </row>
    <row r="91" spans="3:26" ht="15">
      <c r="C91" s="86">
        <v>17</v>
      </c>
      <c r="D91" s="86" t="s">
        <v>94</v>
      </c>
      <c r="E91" s="60"/>
      <c r="F91" s="60"/>
      <c r="G91" s="60"/>
      <c r="H91" s="60"/>
      <c r="I91" s="60"/>
      <c r="J91" s="30"/>
      <c r="K91" s="30"/>
      <c r="L91" s="30"/>
      <c r="M91" s="30"/>
      <c r="N91" s="30"/>
      <c r="O91" s="30"/>
      <c r="P91" s="30"/>
      <c r="Q91" s="30"/>
      <c r="R91" s="30"/>
      <c r="S91" s="30"/>
      <c r="T91" s="30"/>
      <c r="U91" s="30"/>
      <c r="V91" s="30"/>
      <c r="W91" s="30"/>
      <c r="X91" s="30"/>
      <c r="Y91" s="30"/>
      <c r="Z91" s="30"/>
    </row>
    <row r="92" spans="3:26" ht="15">
      <c r="C92" s="86">
        <v>18</v>
      </c>
      <c r="D92" s="86" t="s">
        <v>95</v>
      </c>
      <c r="E92" s="60"/>
      <c r="F92" s="60"/>
      <c r="G92" s="60"/>
      <c r="H92" s="60"/>
      <c r="I92" s="60"/>
      <c r="J92" s="30"/>
      <c r="K92" s="30"/>
      <c r="L92" s="30"/>
      <c r="M92" s="30"/>
      <c r="N92" s="30"/>
      <c r="O92" s="30"/>
      <c r="P92" s="30"/>
      <c r="Q92" s="30"/>
      <c r="R92" s="30"/>
      <c r="S92" s="30"/>
      <c r="T92" s="30"/>
      <c r="U92" s="30"/>
      <c r="V92" s="30"/>
      <c r="W92" s="30"/>
      <c r="X92" s="30"/>
      <c r="Y92" s="30"/>
      <c r="Z92" s="30"/>
    </row>
    <row r="93" spans="3:26" ht="15">
      <c r="C93" s="86">
        <v>19</v>
      </c>
      <c r="D93" s="86" t="s">
        <v>96</v>
      </c>
      <c r="E93" s="60"/>
      <c r="F93" s="60"/>
      <c r="G93" s="60"/>
      <c r="H93" s="60"/>
      <c r="I93" s="60"/>
      <c r="J93" s="30"/>
      <c r="K93" s="30"/>
      <c r="L93" s="30"/>
      <c r="M93" s="30"/>
      <c r="N93" s="30"/>
      <c r="O93" s="30"/>
      <c r="P93" s="30"/>
      <c r="Q93" s="30"/>
      <c r="R93" s="30"/>
      <c r="S93" s="30"/>
      <c r="T93" s="30"/>
      <c r="U93" s="30"/>
      <c r="V93" s="30"/>
      <c r="W93" s="30"/>
      <c r="X93" s="30"/>
      <c r="Y93" s="30"/>
      <c r="Z93" s="30"/>
    </row>
    <row r="94" spans="3:26" ht="15">
      <c r="C94" s="86">
        <v>20</v>
      </c>
      <c r="D94" s="86" t="s">
        <v>97</v>
      </c>
      <c r="E94" s="60"/>
      <c r="F94" s="60"/>
      <c r="G94" s="60"/>
      <c r="H94" s="60"/>
      <c r="I94" s="60"/>
      <c r="J94" s="30"/>
      <c r="K94" s="30"/>
      <c r="L94" s="30"/>
      <c r="M94" s="30"/>
      <c r="N94" s="30"/>
      <c r="O94" s="30"/>
      <c r="P94" s="30"/>
      <c r="Q94" s="30"/>
      <c r="R94" s="30"/>
      <c r="S94" s="30"/>
      <c r="T94" s="30"/>
      <c r="U94" s="30"/>
      <c r="V94" s="30"/>
      <c r="W94" s="30"/>
      <c r="X94" s="30"/>
      <c r="Y94" s="30"/>
      <c r="Z94" s="30"/>
    </row>
    <row r="95" spans="3:26" ht="15">
      <c r="C95" s="86">
        <v>21</v>
      </c>
      <c r="D95" s="86" t="s">
        <v>98</v>
      </c>
      <c r="E95" s="60"/>
      <c r="F95" s="60"/>
      <c r="G95" s="60"/>
      <c r="H95" s="60"/>
      <c r="I95" s="60"/>
      <c r="J95" s="30"/>
      <c r="K95" s="30"/>
      <c r="L95" s="30"/>
      <c r="M95" s="30"/>
      <c r="N95" s="30"/>
      <c r="O95" s="30"/>
      <c r="P95" s="30"/>
      <c r="Q95" s="30"/>
      <c r="R95" s="30"/>
      <c r="S95" s="30"/>
      <c r="T95" s="30"/>
      <c r="U95" s="30"/>
      <c r="V95" s="30"/>
      <c r="W95" s="30"/>
      <c r="X95" s="30"/>
      <c r="Y95" s="30"/>
      <c r="Z95" s="30"/>
    </row>
    <row r="96" spans="3:26" ht="15">
      <c r="C96" s="86">
        <v>22</v>
      </c>
      <c r="D96" s="86" t="s">
        <v>99</v>
      </c>
      <c r="E96" s="60"/>
      <c r="F96" s="60"/>
      <c r="G96" s="60"/>
      <c r="H96" s="60"/>
      <c r="I96" s="60"/>
      <c r="J96" s="30"/>
      <c r="K96" s="30"/>
      <c r="L96" s="30"/>
      <c r="M96" s="30"/>
      <c r="N96" s="30"/>
      <c r="O96" s="30"/>
      <c r="P96" s="30"/>
      <c r="Q96" s="30"/>
      <c r="R96" s="30"/>
      <c r="S96" s="30"/>
      <c r="T96" s="30"/>
      <c r="U96" s="30"/>
      <c r="V96" s="30"/>
      <c r="W96" s="30"/>
      <c r="X96" s="30"/>
      <c r="Y96" s="30"/>
      <c r="Z96" s="30"/>
    </row>
    <row r="97" spans="3:26" ht="15">
      <c r="C97" s="86">
        <v>23</v>
      </c>
      <c r="D97" s="86" t="s">
        <v>100</v>
      </c>
      <c r="E97" s="60"/>
      <c r="F97" s="60"/>
      <c r="G97" s="60"/>
      <c r="H97" s="60"/>
      <c r="I97" s="60"/>
      <c r="J97" s="30"/>
      <c r="K97" s="30"/>
      <c r="L97" s="30"/>
      <c r="M97" s="30"/>
      <c r="N97" s="30"/>
      <c r="O97" s="30"/>
      <c r="P97" s="30"/>
      <c r="Q97" s="30"/>
      <c r="R97" s="30"/>
      <c r="S97" s="30"/>
      <c r="T97" s="30"/>
      <c r="U97" s="30"/>
      <c r="V97" s="30"/>
      <c r="W97" s="30"/>
      <c r="X97" s="30"/>
      <c r="Y97" s="30"/>
      <c r="Z97" s="30"/>
    </row>
    <row r="98" spans="3:26" ht="15">
      <c r="C98" s="86">
        <v>24</v>
      </c>
      <c r="D98" s="86" t="s">
        <v>101</v>
      </c>
      <c r="E98" s="60"/>
      <c r="F98" s="60"/>
      <c r="G98" s="60"/>
      <c r="H98" s="60"/>
      <c r="I98" s="60"/>
      <c r="J98" s="30"/>
      <c r="K98" s="30"/>
      <c r="L98" s="30"/>
      <c r="M98" s="30"/>
      <c r="N98" s="30"/>
      <c r="O98" s="30"/>
      <c r="P98" s="30"/>
      <c r="Q98" s="30"/>
      <c r="R98" s="30"/>
      <c r="S98" s="30"/>
      <c r="T98" s="30"/>
      <c r="U98" s="30"/>
      <c r="V98" s="30"/>
      <c r="W98" s="30"/>
      <c r="X98" s="30"/>
      <c r="Y98" s="30"/>
      <c r="Z98" s="30"/>
    </row>
    <row r="99" spans="3:26" ht="15">
      <c r="C99" s="86">
        <v>25</v>
      </c>
      <c r="D99" s="86" t="s">
        <v>102</v>
      </c>
    </row>
    <row r="100" spans="3:26" ht="15">
      <c r="C100" s="86">
        <v>26</v>
      </c>
      <c r="D100" s="86" t="s">
        <v>103</v>
      </c>
    </row>
    <row r="101" spans="3:26" ht="15">
      <c r="C101" s="86">
        <v>27</v>
      </c>
      <c r="D101" s="86" t="s">
        <v>104</v>
      </c>
    </row>
    <row r="102" spans="3:26" ht="15">
      <c r="C102" s="86">
        <v>28</v>
      </c>
      <c r="D102" s="86" t="s">
        <v>105</v>
      </c>
    </row>
    <row r="103" spans="3:26" ht="15">
      <c r="C103" s="86">
        <v>29</v>
      </c>
      <c r="D103" s="86" t="s">
        <v>106</v>
      </c>
    </row>
    <row r="104" spans="3:26" ht="15">
      <c r="C104" s="86">
        <v>30</v>
      </c>
      <c r="D104" s="86" t="s">
        <v>107</v>
      </c>
    </row>
    <row r="105" spans="3:26" ht="15">
      <c r="C105" s="86">
        <v>31</v>
      </c>
      <c r="D105" s="86" t="s">
        <v>108</v>
      </c>
    </row>
    <row r="106" spans="3:26" ht="15">
      <c r="C106" s="86">
        <v>32</v>
      </c>
      <c r="D106" s="86" t="s">
        <v>109</v>
      </c>
    </row>
    <row r="107" spans="3:26" ht="15">
      <c r="C107" s="86">
        <v>33</v>
      </c>
      <c r="D107" s="86" t="s">
        <v>110</v>
      </c>
    </row>
    <row r="108" spans="3:26" ht="15">
      <c r="C108" s="86">
        <v>34</v>
      </c>
      <c r="D108" s="86" t="s">
        <v>111</v>
      </c>
    </row>
    <row r="109" spans="3:26" ht="15">
      <c r="C109" s="86">
        <v>35</v>
      </c>
      <c r="D109" s="86" t="s">
        <v>112</v>
      </c>
    </row>
    <row r="110" spans="3:26" ht="15">
      <c r="C110" s="86">
        <v>36</v>
      </c>
      <c r="D110" s="86" t="s">
        <v>113</v>
      </c>
    </row>
    <row r="111" spans="3:26" ht="15">
      <c r="C111" s="86">
        <v>37</v>
      </c>
      <c r="D111" s="86" t="s">
        <v>114</v>
      </c>
    </row>
    <row r="112" spans="3:26" ht="15">
      <c r="C112" s="86">
        <v>38</v>
      </c>
      <c r="D112" s="86" t="s">
        <v>115</v>
      </c>
    </row>
    <row r="113" spans="3:4" ht="15">
      <c r="C113" s="86">
        <v>39</v>
      </c>
      <c r="D113" s="86" t="s">
        <v>116</v>
      </c>
    </row>
    <row r="114" spans="3:4" ht="15">
      <c r="C114" s="86">
        <v>40</v>
      </c>
      <c r="D114" s="86" t="s">
        <v>117</v>
      </c>
    </row>
    <row r="115" spans="3:4" ht="15">
      <c r="C115" s="86">
        <v>41</v>
      </c>
      <c r="D115" s="86" t="s">
        <v>118</v>
      </c>
    </row>
    <row r="116" spans="3:4" ht="15">
      <c r="C116" s="86">
        <v>42</v>
      </c>
      <c r="D116" s="86" t="s">
        <v>119</v>
      </c>
    </row>
    <row r="117" spans="3:4" ht="15">
      <c r="C117" s="86">
        <v>43</v>
      </c>
      <c r="D117" s="86" t="s">
        <v>120</v>
      </c>
    </row>
    <row r="118" spans="3:4" ht="15">
      <c r="C118" s="86">
        <v>44</v>
      </c>
      <c r="D118" s="86" t="s">
        <v>121</v>
      </c>
    </row>
    <row r="119" spans="3:4" ht="15">
      <c r="C119" s="86">
        <v>45</v>
      </c>
      <c r="D119" s="86" t="s">
        <v>122</v>
      </c>
    </row>
    <row r="120" spans="3:4" ht="15">
      <c r="C120" s="86">
        <v>46</v>
      </c>
      <c r="D120" s="86" t="s">
        <v>123</v>
      </c>
    </row>
    <row r="121" spans="3:4" ht="15">
      <c r="C121" s="86">
        <v>47</v>
      </c>
      <c r="D121" s="86" t="s">
        <v>124</v>
      </c>
    </row>
    <row r="122" spans="3:4" ht="15">
      <c r="C122" s="86">
        <v>48</v>
      </c>
      <c r="D122" s="86" t="s">
        <v>125</v>
      </c>
    </row>
    <row r="123" spans="3:4" ht="15">
      <c r="C123" s="86">
        <v>49</v>
      </c>
      <c r="D123" s="86" t="s">
        <v>126</v>
      </c>
    </row>
    <row r="124" spans="3:4" ht="15">
      <c r="C124" s="86">
        <v>50</v>
      </c>
      <c r="D124" s="86" t="s">
        <v>127</v>
      </c>
    </row>
    <row r="125" spans="3:4" ht="15">
      <c r="C125" s="86">
        <v>51</v>
      </c>
      <c r="D125" s="86" t="s">
        <v>128</v>
      </c>
    </row>
    <row r="126" spans="3:4" ht="15">
      <c r="C126" s="86">
        <v>52</v>
      </c>
      <c r="D126" s="86" t="s">
        <v>129</v>
      </c>
    </row>
    <row r="127" spans="3:4" ht="15">
      <c r="C127" s="86">
        <v>53</v>
      </c>
      <c r="D127" s="86" t="s">
        <v>130</v>
      </c>
    </row>
    <row r="128" spans="3:4" ht="15">
      <c r="C128" s="86">
        <v>54</v>
      </c>
      <c r="D128" s="86" t="s">
        <v>131</v>
      </c>
    </row>
    <row r="129" spans="3:4" ht="15">
      <c r="C129" s="86">
        <v>55</v>
      </c>
      <c r="D129" s="86" t="s">
        <v>132</v>
      </c>
    </row>
    <row r="130" spans="3:4" ht="15">
      <c r="C130" s="86">
        <v>56</v>
      </c>
      <c r="D130" s="86" t="s">
        <v>133</v>
      </c>
    </row>
    <row r="131" spans="3:4" ht="15">
      <c r="C131" s="86">
        <v>57</v>
      </c>
      <c r="D131" s="86" t="s">
        <v>134</v>
      </c>
    </row>
    <row r="132" spans="3:4" ht="15">
      <c r="C132" s="86">
        <v>58</v>
      </c>
      <c r="D132" s="86" t="s">
        <v>135</v>
      </c>
    </row>
    <row r="133" spans="3:4" ht="15">
      <c r="C133" s="86">
        <v>59</v>
      </c>
      <c r="D133" s="86" t="s">
        <v>136</v>
      </c>
    </row>
    <row r="134" spans="3:4" ht="15">
      <c r="C134" s="86">
        <v>60</v>
      </c>
      <c r="D134" s="86" t="s">
        <v>137</v>
      </c>
    </row>
    <row r="135" spans="3:4" ht="15">
      <c r="C135" s="86">
        <v>61</v>
      </c>
      <c r="D135" s="86" t="s">
        <v>138</v>
      </c>
    </row>
    <row r="136" spans="3:4" ht="15">
      <c r="C136" s="86">
        <v>62</v>
      </c>
      <c r="D136" s="86" t="s">
        <v>139</v>
      </c>
    </row>
    <row r="137" spans="3:4" ht="15">
      <c r="C137" s="86">
        <v>63</v>
      </c>
      <c r="D137" s="86" t="s">
        <v>140</v>
      </c>
    </row>
    <row r="138" spans="3:4" ht="15">
      <c r="C138" s="86">
        <v>64</v>
      </c>
      <c r="D138" s="86" t="s">
        <v>141</v>
      </c>
    </row>
    <row r="139" spans="3:4" ht="15">
      <c r="C139" s="86">
        <v>65</v>
      </c>
      <c r="D139" s="86" t="s">
        <v>142</v>
      </c>
    </row>
    <row r="140" spans="3:4" ht="15">
      <c r="C140" s="86">
        <v>66</v>
      </c>
      <c r="D140" s="86" t="s">
        <v>143</v>
      </c>
    </row>
    <row r="141" spans="3:4" ht="15">
      <c r="C141" s="86">
        <v>67</v>
      </c>
      <c r="D141" s="86" t="s">
        <v>144</v>
      </c>
    </row>
    <row r="142" spans="3:4" ht="15">
      <c r="C142" s="86">
        <v>68</v>
      </c>
      <c r="D142" s="86" t="s">
        <v>145</v>
      </c>
    </row>
    <row r="143" spans="3:4" ht="15">
      <c r="C143" s="86">
        <v>69</v>
      </c>
      <c r="D143" s="86" t="s">
        <v>146</v>
      </c>
    </row>
    <row r="144" spans="3:4" ht="15">
      <c r="C144" s="86">
        <v>70</v>
      </c>
      <c r="D144" s="86" t="s">
        <v>147</v>
      </c>
    </row>
    <row r="145" spans="3:4" ht="15">
      <c r="C145" s="86">
        <v>71</v>
      </c>
      <c r="D145" s="86" t="s">
        <v>148</v>
      </c>
    </row>
    <row r="146" spans="3:4" ht="15">
      <c r="C146" s="86">
        <v>72</v>
      </c>
      <c r="D146" s="86" t="s">
        <v>149</v>
      </c>
    </row>
    <row r="147" spans="3:4" ht="15">
      <c r="C147" s="86">
        <v>73</v>
      </c>
      <c r="D147" s="86" t="s">
        <v>150</v>
      </c>
    </row>
    <row r="148" spans="3:4" ht="15">
      <c r="C148" s="86">
        <v>74</v>
      </c>
      <c r="D148" s="86" t="s">
        <v>151</v>
      </c>
    </row>
    <row r="149" spans="3:4" ht="15">
      <c r="C149" s="86">
        <v>75</v>
      </c>
      <c r="D149" s="86" t="s">
        <v>152</v>
      </c>
    </row>
    <row r="150" spans="3:4" ht="15">
      <c r="C150" s="86">
        <v>76</v>
      </c>
      <c r="D150" s="86" t="s">
        <v>153</v>
      </c>
    </row>
    <row r="151" spans="3:4" ht="15">
      <c r="C151" s="86">
        <v>77</v>
      </c>
      <c r="D151" s="86" t="s">
        <v>154</v>
      </c>
    </row>
    <row r="152" spans="3:4" ht="15">
      <c r="C152" s="86">
        <v>78</v>
      </c>
      <c r="D152" s="86" t="s">
        <v>155</v>
      </c>
    </row>
    <row r="153" spans="3:4" ht="15">
      <c r="C153" s="86">
        <v>79</v>
      </c>
      <c r="D153" s="86" t="s">
        <v>156</v>
      </c>
    </row>
    <row r="154" spans="3:4" ht="15">
      <c r="C154" s="86">
        <v>80</v>
      </c>
      <c r="D154" s="86" t="s">
        <v>157</v>
      </c>
    </row>
    <row r="155" spans="3:4" ht="15">
      <c r="C155" s="86">
        <v>81</v>
      </c>
      <c r="D155" s="86" t="s">
        <v>158</v>
      </c>
    </row>
    <row r="156" spans="3:4" ht="15">
      <c r="C156" s="86">
        <v>82</v>
      </c>
      <c r="D156" s="86" t="s">
        <v>159</v>
      </c>
    </row>
    <row r="157" spans="3:4" ht="15">
      <c r="C157" s="86">
        <v>83</v>
      </c>
      <c r="D157" s="86" t="s">
        <v>160</v>
      </c>
    </row>
    <row r="158" spans="3:4" ht="15">
      <c r="C158" s="86">
        <v>84</v>
      </c>
      <c r="D158" s="86" t="s">
        <v>161</v>
      </c>
    </row>
    <row r="159" spans="3:4" ht="15">
      <c r="C159" s="86">
        <v>85</v>
      </c>
      <c r="D159" s="86" t="s">
        <v>162</v>
      </c>
    </row>
    <row r="160" spans="3:4" ht="15">
      <c r="C160" s="86">
        <v>86</v>
      </c>
      <c r="D160" s="86" t="s">
        <v>163</v>
      </c>
    </row>
    <row r="161" spans="3:4" ht="15">
      <c r="C161" s="86">
        <v>87</v>
      </c>
      <c r="D161" s="86" t="s">
        <v>164</v>
      </c>
    </row>
    <row r="162" spans="3:4" ht="15">
      <c r="C162" s="86">
        <v>88</v>
      </c>
      <c r="D162" s="86" t="s">
        <v>165</v>
      </c>
    </row>
    <row r="163" spans="3:4" ht="15">
      <c r="C163" s="86">
        <v>89</v>
      </c>
      <c r="D163" s="86" t="s">
        <v>166</v>
      </c>
    </row>
    <row r="164" spans="3:4" ht="15">
      <c r="C164" s="86">
        <v>90</v>
      </c>
      <c r="D164" s="86" t="s">
        <v>167</v>
      </c>
    </row>
    <row r="165" spans="3:4" ht="15">
      <c r="C165" s="86">
        <v>91</v>
      </c>
      <c r="D165" s="86" t="s">
        <v>168</v>
      </c>
    </row>
    <row r="166" spans="3:4" ht="15">
      <c r="C166" s="86">
        <v>92</v>
      </c>
      <c r="D166" s="86" t="s">
        <v>169</v>
      </c>
    </row>
    <row r="167" spans="3:4" ht="15">
      <c r="C167" s="86">
        <v>93</v>
      </c>
      <c r="D167" s="86" t="s">
        <v>170</v>
      </c>
    </row>
    <row r="168" spans="3:4" ht="15">
      <c r="C168" s="86">
        <v>94</v>
      </c>
      <c r="D168" s="86" t="s">
        <v>171</v>
      </c>
    </row>
    <row r="169" spans="3:4" ht="15">
      <c r="C169" s="86">
        <v>95</v>
      </c>
      <c r="D169" s="86" t="s">
        <v>172</v>
      </c>
    </row>
    <row r="170" spans="3:4" ht="15">
      <c r="C170" s="86">
        <v>96</v>
      </c>
      <c r="D170" s="86" t="s">
        <v>173</v>
      </c>
    </row>
    <row r="171" spans="3:4" ht="15">
      <c r="C171" s="86">
        <v>97</v>
      </c>
      <c r="D171" s="86" t="s">
        <v>174</v>
      </c>
    </row>
    <row r="172" spans="3:4" ht="15">
      <c r="C172" s="86">
        <v>98</v>
      </c>
      <c r="D172" s="86" t="s">
        <v>175</v>
      </c>
    </row>
    <row r="173" spans="3:4" ht="15">
      <c r="C173" s="86">
        <v>99</v>
      </c>
      <c r="D173" s="86" t="s">
        <v>176</v>
      </c>
    </row>
    <row r="174" spans="3:4" ht="15">
      <c r="C174" s="86">
        <v>100</v>
      </c>
      <c r="D174" s="86" t="s">
        <v>177</v>
      </c>
    </row>
    <row r="175" spans="3:4" ht="15">
      <c r="C175" s="86">
        <v>101</v>
      </c>
      <c r="D175" s="86" t="s">
        <v>178</v>
      </c>
    </row>
    <row r="176" spans="3:4" ht="15">
      <c r="C176" s="86">
        <v>102</v>
      </c>
      <c r="D176" s="86" t="s">
        <v>179</v>
      </c>
    </row>
    <row r="177" spans="3:4" ht="15">
      <c r="C177" s="86">
        <v>103</v>
      </c>
      <c r="D177" s="86" t="s">
        <v>180</v>
      </c>
    </row>
    <row r="178" spans="3:4" ht="15">
      <c r="C178" s="86">
        <v>104</v>
      </c>
      <c r="D178" s="86" t="s">
        <v>181</v>
      </c>
    </row>
  </sheetData>
  <mergeCells count="3">
    <mergeCell ref="C9:F9"/>
    <mergeCell ref="L42:Q45"/>
    <mergeCell ref="L75:Q79"/>
  </mergeCells>
  <hyperlinks>
    <hyperlink ref="I8" r:id="rId1"/>
    <hyperlink ref="I6" r:id="rId2"/>
    <hyperlink ref="I4" r:id="rId3"/>
  </hyperlinks>
  <pageMargins left="0.7" right="0.7" top="0.75" bottom="0.75" header="0.3" footer="0.3"/>
  <pageSetup orientation="portrait" r:id="rId4"/>
  <drawing r:id="rId5"/>
  <legacyDrawing r:id="rId6"/>
</worksheet>
</file>

<file path=xl/worksheets/sheet2.xml><?xml version="1.0" encoding="utf-8"?>
<worksheet xmlns="http://schemas.openxmlformats.org/spreadsheetml/2006/main" xmlns:r="http://schemas.openxmlformats.org/officeDocument/2006/relationships">
  <dimension ref="A1:BD16"/>
  <sheetViews>
    <sheetView workbookViewId="0">
      <selection activeCell="A3" sqref="A3"/>
    </sheetView>
  </sheetViews>
  <sheetFormatPr defaultRowHeight="12.75"/>
  <cols>
    <col min="1" max="2" width="21.85546875" customWidth="1"/>
    <col min="3" max="3" width="40.28515625" bestFit="1" customWidth="1"/>
    <col min="4" max="4" width="12.28515625" bestFit="1" customWidth="1"/>
    <col min="5" max="5" width="30.5703125" bestFit="1" customWidth="1"/>
  </cols>
  <sheetData>
    <row r="1" spans="1:56" ht="15.75" thickBot="1">
      <c r="A1" s="536" t="s">
        <v>1340</v>
      </c>
      <c r="B1" s="536" t="s">
        <v>1341</v>
      </c>
      <c r="C1" s="536" t="s">
        <v>1342</v>
      </c>
      <c r="D1" s="536" t="s">
        <v>1343</v>
      </c>
      <c r="E1" s="536" t="s">
        <v>1344</v>
      </c>
      <c r="F1" s="536" t="s">
        <v>1345</v>
      </c>
      <c r="G1" s="536" t="s">
        <v>1346</v>
      </c>
      <c r="H1" s="536" t="s">
        <v>1347</v>
      </c>
      <c r="I1" s="536" t="s">
        <v>989</v>
      </c>
      <c r="J1" s="536" t="s">
        <v>990</v>
      </c>
      <c r="K1" s="549">
        <v>2016</v>
      </c>
      <c r="L1" s="542">
        <v>2017</v>
      </c>
      <c r="M1" s="542">
        <v>2018</v>
      </c>
      <c r="N1" s="542">
        <v>2019</v>
      </c>
      <c r="O1" s="542">
        <v>2020</v>
      </c>
      <c r="P1" s="542">
        <v>2021</v>
      </c>
      <c r="Q1" s="542">
        <v>2022</v>
      </c>
      <c r="R1" s="542">
        <v>2023</v>
      </c>
      <c r="S1" s="542">
        <v>2024</v>
      </c>
      <c r="T1" s="542">
        <v>2025</v>
      </c>
      <c r="U1" s="542">
        <v>2026</v>
      </c>
      <c r="V1" s="542">
        <v>2027</v>
      </c>
      <c r="W1" s="542">
        <v>2028</v>
      </c>
      <c r="X1" s="542">
        <v>2029</v>
      </c>
      <c r="Y1" s="542">
        <v>2030</v>
      </c>
      <c r="Z1" s="542">
        <v>2031</v>
      </c>
      <c r="AA1" s="542">
        <v>2032</v>
      </c>
      <c r="AB1" s="542">
        <v>2033</v>
      </c>
      <c r="AC1" s="542">
        <v>2034</v>
      </c>
      <c r="AD1" s="542">
        <v>2035</v>
      </c>
      <c r="AE1" s="543" t="s">
        <v>1073</v>
      </c>
      <c r="AF1" s="523" t="s">
        <v>1348</v>
      </c>
      <c r="AG1" s="524"/>
      <c r="AH1" s="524"/>
      <c r="AI1" s="524"/>
      <c r="AJ1" s="524"/>
      <c r="AK1" s="524"/>
      <c r="AL1" s="524"/>
      <c r="AM1" s="524"/>
      <c r="AN1" s="524"/>
      <c r="AO1" s="524"/>
      <c r="AP1" s="524"/>
      <c r="AQ1" s="525"/>
      <c r="AR1" s="522"/>
      <c r="AS1" s="523" t="s">
        <v>1349</v>
      </c>
      <c r="AT1" s="524"/>
      <c r="AU1" s="524"/>
      <c r="AV1" s="524"/>
      <c r="AW1" s="524"/>
      <c r="AX1" s="524"/>
      <c r="AY1" s="524"/>
      <c r="AZ1" s="524"/>
      <c r="BA1" s="524"/>
      <c r="BB1" s="524"/>
      <c r="BC1" s="524"/>
      <c r="BD1" s="525"/>
    </row>
    <row r="2" spans="1:56" ht="15">
      <c r="A2" s="536"/>
      <c r="B2" s="536"/>
      <c r="C2" s="536"/>
      <c r="D2" s="536"/>
      <c r="E2" s="536"/>
      <c r="F2" s="536" t="s">
        <v>1338</v>
      </c>
      <c r="G2" s="536" t="s">
        <v>946</v>
      </c>
      <c r="H2" s="536" t="s">
        <v>988</v>
      </c>
      <c r="I2" s="536">
        <v>1</v>
      </c>
      <c r="J2" s="536"/>
      <c r="K2" s="550" t="str">
        <f>CONCATENATE("aMW_",K$1)</f>
        <v>aMW_2016</v>
      </c>
      <c r="L2" s="550" t="str">
        <f t="shared" ref="L2:AD2" si="0">CONCATENATE("aMW_",L$1)</f>
        <v>aMW_2017</v>
      </c>
      <c r="M2" s="550" t="str">
        <f t="shared" si="0"/>
        <v>aMW_2018</v>
      </c>
      <c r="N2" s="550" t="str">
        <f t="shared" si="0"/>
        <v>aMW_2019</v>
      </c>
      <c r="O2" s="550" t="str">
        <f t="shared" si="0"/>
        <v>aMW_2020</v>
      </c>
      <c r="P2" s="550" t="str">
        <f t="shared" si="0"/>
        <v>aMW_2021</v>
      </c>
      <c r="Q2" s="550" t="str">
        <f t="shared" si="0"/>
        <v>aMW_2022</v>
      </c>
      <c r="R2" s="550" t="str">
        <f t="shared" si="0"/>
        <v>aMW_2023</v>
      </c>
      <c r="S2" s="550" t="str">
        <f t="shared" si="0"/>
        <v>aMW_2024</v>
      </c>
      <c r="T2" s="550" t="str">
        <f t="shared" si="0"/>
        <v>aMW_2025</v>
      </c>
      <c r="U2" s="550" t="str">
        <f t="shared" si="0"/>
        <v>aMW_2026</v>
      </c>
      <c r="V2" s="550" t="str">
        <f t="shared" si="0"/>
        <v>aMW_2027</v>
      </c>
      <c r="W2" s="550" t="str">
        <f t="shared" si="0"/>
        <v>aMW_2028</v>
      </c>
      <c r="X2" s="550" t="str">
        <f t="shared" si="0"/>
        <v>aMW_2029</v>
      </c>
      <c r="Y2" s="550" t="str">
        <f t="shared" si="0"/>
        <v>aMW_2030</v>
      </c>
      <c r="Z2" s="550" t="str">
        <f t="shared" si="0"/>
        <v>aMW_2031</v>
      </c>
      <c r="AA2" s="550" t="str">
        <f t="shared" si="0"/>
        <v>aMW_2032</v>
      </c>
      <c r="AB2" s="550" t="str">
        <f t="shared" si="0"/>
        <v>aMW_2033</v>
      </c>
      <c r="AC2" s="550" t="str">
        <f t="shared" si="0"/>
        <v>aMW_2034</v>
      </c>
      <c r="AD2" s="550" t="str">
        <f t="shared" si="0"/>
        <v>aMW_2035</v>
      </c>
      <c r="AE2" s="545" t="s">
        <v>1073</v>
      </c>
      <c r="AF2" s="528" t="s">
        <v>957</v>
      </c>
      <c r="AG2" s="528" t="s">
        <v>958</v>
      </c>
      <c r="AH2" s="528" t="s">
        <v>959</v>
      </c>
      <c r="AI2" s="528" t="s">
        <v>960</v>
      </c>
      <c r="AJ2" s="528" t="s">
        <v>961</v>
      </c>
      <c r="AK2" s="528" t="s">
        <v>962</v>
      </c>
      <c r="AL2" s="528" t="s">
        <v>963</v>
      </c>
      <c r="AM2" s="528" t="s">
        <v>964</v>
      </c>
      <c r="AN2" s="528" t="s">
        <v>965</v>
      </c>
      <c r="AO2" s="528" t="s">
        <v>966</v>
      </c>
      <c r="AP2" s="528" t="s">
        <v>967</v>
      </c>
      <c r="AQ2" s="528" t="s">
        <v>968</v>
      </c>
      <c r="AR2" s="528"/>
      <c r="AS2" s="528" t="s">
        <v>957</v>
      </c>
      <c r="AT2" s="528" t="s">
        <v>958</v>
      </c>
      <c r="AU2" s="528" t="s">
        <v>959</v>
      </c>
      <c r="AV2" s="528" t="s">
        <v>960</v>
      </c>
      <c r="AW2" s="528" t="s">
        <v>961</v>
      </c>
      <c r="AX2" s="528" t="s">
        <v>962</v>
      </c>
      <c r="AY2" s="528" t="s">
        <v>963</v>
      </c>
      <c r="AZ2" s="528" t="s">
        <v>964</v>
      </c>
      <c r="BA2" s="528" t="s">
        <v>965</v>
      </c>
      <c r="BB2" s="528" t="s">
        <v>966</v>
      </c>
      <c r="BC2" s="528" t="s">
        <v>967</v>
      </c>
      <c r="BD2" s="528" t="s">
        <v>968</v>
      </c>
    </row>
    <row r="3" spans="1:56" ht="15">
      <c r="A3" s="538" t="str">
        <f>VLOOKUP(CONCATENATE($C3," - ",$B3),[2]ACHIEV!$B$12:$C$100,2,FALSE)</f>
        <v>LO12Med</v>
      </c>
      <c r="B3" s="538" t="str">
        <f>'SC-New'!$C$7</f>
        <v>New</v>
      </c>
      <c r="C3" s="538" t="str">
        <f>'SC-New'!$C$8</f>
        <v>Dishwasher</v>
      </c>
      <c r="D3" s="538" t="s">
        <v>1350</v>
      </c>
      <c r="E3" s="538" t="str">
        <f>'SC-New'!$A$9</f>
        <v>Water Heating</v>
      </c>
      <c r="F3" s="614">
        <f t="shared" ref="F3:F10" si="1">VLOOKUP(CONCATENATE($I3," ",$J3),MeasureOutput,14,FALSE)</f>
        <v>1.8486841178664502E-4</v>
      </c>
      <c r="G3" s="546">
        <f>'SC-New'!A44</f>
        <v>0.99353523063608473</v>
      </c>
      <c r="H3" s="546">
        <f>'SC-New'!B44</f>
        <v>143.37488910178871</v>
      </c>
      <c r="I3" s="34" t="str">
        <f>'SC-New'!C44</f>
        <v>Single Family</v>
      </c>
      <c r="J3" s="34" t="str">
        <f>'SC-New'!D44</f>
        <v>Energy Star Dishwasher - Any DHW</v>
      </c>
      <c r="K3" s="143">
        <f ca="1">'SC-New'!E44</f>
        <v>5.8009920232469047E-4</v>
      </c>
      <c r="L3" s="143">
        <f ca="1">'SC-New'!F44</f>
        <v>1.1097825688947238E-3</v>
      </c>
      <c r="M3" s="143">
        <f ca="1">'SC-New'!G44</f>
        <v>1.5778399537020146E-3</v>
      </c>
      <c r="N3" s="143">
        <f ca="1">'SC-New'!H44</f>
        <v>2.0353501087204927E-3</v>
      </c>
      <c r="O3" s="143">
        <f ca="1">'SC-New'!I44</f>
        <v>2.4758129662120799E-3</v>
      </c>
      <c r="P3" s="143">
        <f ca="1">'SC-New'!J44</f>
        <v>2.78357345204159E-3</v>
      </c>
      <c r="Q3" s="143">
        <f ca="1">'SC-New'!K44</f>
        <v>3.0362483511032529E-3</v>
      </c>
      <c r="R3" s="143">
        <f ca="1">'SC-New'!L44</f>
        <v>3.2846370270978361E-3</v>
      </c>
      <c r="S3" s="143">
        <f ca="1">'SC-New'!M44</f>
        <v>3.4589224642951034E-3</v>
      </c>
      <c r="T3" s="143">
        <f ca="1">'SC-New'!N44</f>
        <v>3.6898800338153498E-3</v>
      </c>
      <c r="U3" s="143">
        <f ca="1">'SC-New'!O44</f>
        <v>3.8521817698343496E-3</v>
      </c>
      <c r="V3" s="143">
        <f ca="1">'SC-New'!P44</f>
        <v>3.9105496516273937E-3</v>
      </c>
      <c r="W3" s="143">
        <f ca="1">'SC-New'!Q44</f>
        <v>3.8909262617076289E-3</v>
      </c>
      <c r="X3" s="143">
        <f ca="1">'SC-New'!R44</f>
        <v>3.962200419148269E-3</v>
      </c>
      <c r="Y3" s="143">
        <f ca="1">'SC-New'!S44</f>
        <v>4.0628561453334598E-3</v>
      </c>
      <c r="Z3" s="143">
        <f ca="1">'SC-New'!T44</f>
        <v>4.0888822286032399E-3</v>
      </c>
      <c r="AA3" s="143">
        <f ca="1">'SC-New'!U44</f>
        <v>3.9539037477112566E-3</v>
      </c>
      <c r="AB3" s="143">
        <f ca="1">'SC-New'!V44</f>
        <v>3.947239469052977E-3</v>
      </c>
      <c r="AC3" s="143">
        <f ca="1">'SC-New'!W44</f>
        <v>3.9572986229705594E-3</v>
      </c>
      <c r="AD3" s="143">
        <f ca="1">'SC-New'!X44</f>
        <v>3.9841756759180736E-3</v>
      </c>
      <c r="AE3" s="143">
        <f ca="1">'SC-New'!Y44</f>
        <v>6.3642360120114344E-2</v>
      </c>
      <c r="AF3" s="615">
        <f t="shared" ref="AF3:AF10" si="2">VLOOKUP(CONCATENATE($I3," ",$J3),MeasureOutput,15,FALSE)</f>
        <v>6.4032534945412126E-2</v>
      </c>
      <c r="AG3" s="615">
        <f t="shared" ref="AG3:AG10" si="3">VLOOKUP(CONCATENATE($I3," ",$J3),MeasureOutput,16,FALSE)</f>
        <v>5.6961936685582151E-2</v>
      </c>
      <c r="AH3" s="615">
        <f t="shared" ref="AH3:AH10" si="4">VLOOKUP(CONCATENATE($I3," ",$J3),MeasureOutput,17,FALSE)</f>
        <v>6.4731073407484283E-2</v>
      </c>
      <c r="AI3" s="615">
        <f t="shared" ref="AI3:AI10" si="5">VLOOKUP(CONCATENATE($I3," ",$J3),MeasureOutput,18,FALSE)</f>
        <v>5.6064232247274463E-2</v>
      </c>
      <c r="AJ3" s="615">
        <f t="shared" ref="AJ3:AJ10" si="6">VLOOKUP(CONCATENATE($I3," ",$J3),MeasureOutput,19,FALSE)</f>
        <v>5.4014912512717041E-2</v>
      </c>
      <c r="AK3" s="615">
        <f t="shared" ref="AK3:AK10" si="7">VLOOKUP(CONCATENATE($I3," ",$J3),MeasureOutput,20,FALSE)</f>
        <v>5.3316101206301938E-2</v>
      </c>
      <c r="AL3" s="615">
        <f t="shared" ref="AL3:AL10" si="8">VLOOKUP(CONCATENATE($I3," ",$J3),MeasureOutput,21,FALSE)</f>
        <v>4.6812091477255471E-2</v>
      </c>
      <c r="AM3" s="615">
        <f t="shared" ref="AM3:AM10" si="9">VLOOKUP(CONCATENATE($I3," ",$J3),MeasureOutput,22,FALSE)</f>
        <v>4.9013036230719925E-2</v>
      </c>
      <c r="AN3" s="615">
        <f t="shared" ref="AN3:AN10" si="10">VLOOKUP(CONCATENATE($I3," ",$J3),MeasureOutput,23,FALSE)</f>
        <v>4.491989330491214E-2</v>
      </c>
      <c r="AO3" s="615">
        <f t="shared" ref="AO3:AO10" si="11">VLOOKUP(CONCATENATE($I3," ",$J3),MeasureOutput,24,FALSE)</f>
        <v>5.3583695469997798E-2</v>
      </c>
      <c r="AP3" s="615">
        <f t="shared" ref="AP3:AP10" si="12">VLOOKUP(CONCATENATE($I3," ",$J3),MeasureOutput,25,FALSE)</f>
        <v>5.46485054494689E-2</v>
      </c>
      <c r="AQ3" s="615">
        <f t="shared" ref="AQ3:AQ10" si="13">VLOOKUP(CONCATENATE($I3," ",$J3),MeasureOutput,26,FALSE)</f>
        <v>6.3523567655016808E-2</v>
      </c>
      <c r="AR3" s="615"/>
      <c r="AS3" s="615">
        <f t="shared" ref="AS3:AS10" si="14">VLOOKUP(CONCATENATE($I3," ",$J3),MeasureOutput,28,FALSE)</f>
        <v>3.456486848983864E-2</v>
      </c>
      <c r="AT3" s="615">
        <f t="shared" ref="AT3:AT10" si="15">VLOOKUP(CONCATENATE($I3," ",$J3),MeasureOutput,29,FALSE)</f>
        <v>2.8951966636023983E-2</v>
      </c>
      <c r="AU3" s="615">
        <f t="shared" ref="AU3:AU10" si="16">VLOOKUP(CONCATENATE($I3," ",$J3),MeasureOutput,30,FALSE)</f>
        <v>2.7541101444214944E-2</v>
      </c>
      <c r="AV3" s="615">
        <f t="shared" ref="AV3:AV10" si="17">VLOOKUP(CONCATENATE($I3," ",$J3),MeasureOutput,31,FALSE)</f>
        <v>2.8020508964030764E-2</v>
      </c>
      <c r="AW3" s="615">
        <f t="shared" ref="AW3:AW10" si="18">VLOOKUP(CONCATENATE($I3," ",$J3),MeasureOutput,32,FALSE)</f>
        <v>2.789691412691751E-2</v>
      </c>
      <c r="AX3" s="615">
        <f t="shared" ref="AX3:AX10" si="19">VLOOKUP(CONCATENATE($I3," ",$J3),MeasureOutput,33,FALSE)</f>
        <v>2.388979379341177E-2</v>
      </c>
      <c r="AY3" s="615">
        <f t="shared" ref="AY3:AY10" si="20">VLOOKUP(CONCATENATE($I3," ",$J3),MeasureOutput,34,FALSE)</f>
        <v>2.6608091002620692E-2</v>
      </c>
      <c r="AZ3" s="615">
        <f t="shared" ref="AZ3:AZ10" si="21">VLOOKUP(CONCATENATE($I3," ",$J3),MeasureOutput,35,FALSE)</f>
        <v>2.1467989836496552E-2</v>
      </c>
      <c r="BA3" s="615">
        <f t="shared" ref="BA3:BA10" si="22">VLOOKUP(CONCATENATE($I3," ",$J3),MeasureOutput,36,FALSE)</f>
        <v>2.5211135632580643E-2</v>
      </c>
      <c r="BB3" s="615">
        <f t="shared" ref="BB3:BB10" si="23">VLOOKUP(CONCATENATE($I3," ",$J3),MeasureOutput,37,FALSE)</f>
        <v>2.3568104170736227E-2</v>
      </c>
      <c r="BC3" s="615">
        <f t="shared" ref="BC3:BC10" si="24">VLOOKUP(CONCATENATE($I3," ",$J3),MeasureOutput,38,FALSE)</f>
        <v>3.0465342000759787E-2</v>
      </c>
      <c r="BD3" s="615">
        <f t="shared" ref="BD3:BD10" si="25">VLOOKUP(CONCATENATE($I3," ",$J3),MeasureOutput,39,FALSE)</f>
        <v>3.3727833946310182E-2</v>
      </c>
    </row>
    <row r="4" spans="1:56" ht="15">
      <c r="A4" s="538" t="str">
        <f>VLOOKUP(CONCATENATE($C4," - ",$B4),[2]ACHIEV!$B$12:$C$100,2,FALSE)</f>
        <v>LO12Med</v>
      </c>
      <c r="B4" s="538" t="str">
        <f>'SC-New'!$C$7</f>
        <v>New</v>
      </c>
      <c r="C4" s="538" t="str">
        <f>'SC-New'!$C$8</f>
        <v>Dishwasher</v>
      </c>
      <c r="D4" s="538" t="s">
        <v>1350</v>
      </c>
      <c r="E4" s="538" t="str">
        <f>'SC-New'!$A$9</f>
        <v>Water Heating</v>
      </c>
      <c r="F4" s="614">
        <f t="shared" si="1"/>
        <v>6.0790203401237843E-4</v>
      </c>
      <c r="G4" s="546">
        <f>'SC-New'!A45</f>
        <v>3.1794885152576335</v>
      </c>
      <c r="H4" s="546">
        <f>'SC-New'!B45</f>
        <v>53.004218139522706</v>
      </c>
      <c r="I4" s="34" t="str">
        <f>'SC-New'!C45</f>
        <v>Multifamily - Low Rise</v>
      </c>
      <c r="J4" s="34" t="str">
        <f>'SC-New'!D45</f>
        <v>Energy Star Dishwasher - Any DHW</v>
      </c>
      <c r="K4" s="143">
        <f ca="1">'SC-New'!E45</f>
        <v>6.1362842650522194E-4</v>
      </c>
      <c r="L4" s="143">
        <f ca="1">'SC-New'!F45</f>
        <v>1.2133961743270147E-3</v>
      </c>
      <c r="M4" s="143">
        <f ca="1">'SC-New'!G45</f>
        <v>1.8038199412858482E-3</v>
      </c>
      <c r="N4" s="143">
        <f ca="1">'SC-New'!H45</f>
        <v>2.3285814522165404E-3</v>
      </c>
      <c r="O4" s="143">
        <f ca="1">'SC-New'!I45</f>
        <v>2.7436074903647635E-3</v>
      </c>
      <c r="P4" s="143">
        <f ca="1">'SC-New'!J45</f>
        <v>3.1211989168877644E-3</v>
      </c>
      <c r="Q4" s="143">
        <f ca="1">'SC-New'!K45</f>
        <v>3.4702553745605876E-3</v>
      </c>
      <c r="R4" s="143">
        <f ca="1">'SC-New'!L45</f>
        <v>3.8423312696956231E-3</v>
      </c>
      <c r="S4" s="143">
        <f ca="1">'SC-New'!M45</f>
        <v>4.1878307940017004E-3</v>
      </c>
      <c r="T4" s="143">
        <f ca="1">'SC-New'!N45</f>
        <v>4.5087550724524431E-3</v>
      </c>
      <c r="U4" s="143">
        <f ca="1">'SC-New'!O45</f>
        <v>4.6939469669233444E-3</v>
      </c>
      <c r="V4" s="143">
        <f ca="1">'SC-New'!P45</f>
        <v>4.8283668574517187E-3</v>
      </c>
      <c r="W4" s="143">
        <f ca="1">'SC-New'!Q45</f>
        <v>4.9427641774342571E-3</v>
      </c>
      <c r="X4" s="143">
        <f ca="1">'SC-New'!R45</f>
        <v>4.9733577165838915E-3</v>
      </c>
      <c r="Y4" s="143">
        <f ca="1">'SC-New'!S45</f>
        <v>4.9801206417341868E-3</v>
      </c>
      <c r="Z4" s="143">
        <f ca="1">'SC-New'!T45</f>
        <v>4.9305055862508993E-3</v>
      </c>
      <c r="AA4" s="143">
        <f ca="1">'SC-New'!U45</f>
        <v>4.8467967829332343E-3</v>
      </c>
      <c r="AB4" s="143">
        <f ca="1">'SC-New'!V45</f>
        <v>4.7854735072279742E-3</v>
      </c>
      <c r="AC4" s="143">
        <f ca="1">'SC-New'!W45</f>
        <v>4.6933764071434821E-3</v>
      </c>
      <c r="AD4" s="143">
        <f ca="1">'SC-New'!X45</f>
        <v>4.6756344251937263E-3</v>
      </c>
      <c r="AE4" s="143">
        <f ca="1">'SC-New'!Y45</f>
        <v>7.6183747981174221E-2</v>
      </c>
      <c r="AF4" s="615">
        <f t="shared" si="2"/>
        <v>0.20856762971636814</v>
      </c>
      <c r="AG4" s="615">
        <f t="shared" si="3"/>
        <v>0.1864410678070427</v>
      </c>
      <c r="AH4" s="615">
        <f t="shared" si="4"/>
        <v>0.21368153026712461</v>
      </c>
      <c r="AI4" s="615">
        <f t="shared" si="5"/>
        <v>0.18524213193309319</v>
      </c>
      <c r="AJ4" s="615">
        <f t="shared" si="6"/>
        <v>0.17722801341254679</v>
      </c>
      <c r="AK4" s="615">
        <f t="shared" si="7"/>
        <v>0.17344648951467118</v>
      </c>
      <c r="AL4" s="615">
        <f t="shared" si="8"/>
        <v>0.14848255613421052</v>
      </c>
      <c r="AM4" s="615">
        <f t="shared" si="9"/>
        <v>0.1553391889640402</v>
      </c>
      <c r="AN4" s="615">
        <f t="shared" si="10"/>
        <v>0.14466933043358504</v>
      </c>
      <c r="AO4" s="615">
        <f t="shared" si="11"/>
        <v>0.17401311900186581</v>
      </c>
      <c r="AP4" s="615">
        <f t="shared" si="12"/>
        <v>0.17808396104100074</v>
      </c>
      <c r="AQ4" s="615">
        <f t="shared" si="13"/>
        <v>0.20703930808874799</v>
      </c>
      <c r="AR4" s="615"/>
      <c r="AS4" s="615">
        <f t="shared" si="14"/>
        <v>0.10709016193091135</v>
      </c>
      <c r="AT4" s="615">
        <f t="shared" si="15"/>
        <v>8.9700786936127125E-2</v>
      </c>
      <c r="AU4" s="615">
        <f t="shared" si="16"/>
        <v>8.5541327705861925E-2</v>
      </c>
      <c r="AV4" s="615">
        <f t="shared" si="17"/>
        <v>8.8354448721179424E-2</v>
      </c>
      <c r="AW4" s="615">
        <f t="shared" si="18"/>
        <v>8.8188414920633701E-2</v>
      </c>
      <c r="AX4" s="615">
        <f t="shared" si="19"/>
        <v>7.3878249501081544E-2</v>
      </c>
      <c r="AY4" s="615">
        <f t="shared" si="20"/>
        <v>8.0962620115533027E-2</v>
      </c>
      <c r="AZ4" s="615">
        <f t="shared" si="21"/>
        <v>6.4142108560946071E-2</v>
      </c>
      <c r="BA4" s="615">
        <f t="shared" si="22"/>
        <v>7.7787353612097807E-2</v>
      </c>
      <c r="BB4" s="615">
        <f t="shared" si="23"/>
        <v>7.2619823454763407E-2</v>
      </c>
      <c r="BC4" s="615">
        <f t="shared" si="24"/>
        <v>9.4703379028289222E-2</v>
      </c>
      <c r="BD4" s="615">
        <f t="shared" si="25"/>
        <v>0.10428551445591223</v>
      </c>
    </row>
    <row r="5" spans="1:56" ht="15">
      <c r="A5" s="538" t="str">
        <f>VLOOKUP(CONCATENATE($C5," - ",$B5),[2]ACHIEV!$B$12:$C$100,2,FALSE)</f>
        <v>LO12Med</v>
      </c>
      <c r="B5" s="538" t="str">
        <f>'SC-New'!$C$7</f>
        <v>New</v>
      </c>
      <c r="C5" s="538" t="str">
        <f>'SC-New'!$C$8</f>
        <v>Dishwasher</v>
      </c>
      <c r="D5" s="538" t="s">
        <v>1350</v>
      </c>
      <c r="E5" s="538" t="str">
        <f>'SC-New'!$A$9</f>
        <v>Water Heating</v>
      </c>
      <c r="F5" s="614">
        <f t="shared" si="1"/>
        <v>6.0790203401237843E-4</v>
      </c>
      <c r="G5" s="546">
        <f>'SC-New'!A46</f>
        <v>3.1794885152576335</v>
      </c>
      <c r="H5" s="546">
        <f>'SC-New'!B46</f>
        <v>53.004218139522706</v>
      </c>
      <c r="I5" s="34" t="str">
        <f>'SC-New'!C46</f>
        <v>Multifamily - High Rise</v>
      </c>
      <c r="J5" s="34" t="str">
        <f>'SC-New'!D46</f>
        <v>Energy Star Dishwasher - Any DHW</v>
      </c>
      <c r="K5" s="143">
        <f ca="1">'SC-New'!E46</f>
        <v>1.3775433164188797E-4</v>
      </c>
      <c r="L5" s="143">
        <f ca="1">'SC-New'!F46</f>
        <v>2.7623163681454602E-4</v>
      </c>
      <c r="M5" s="143">
        <f ca="1">'SC-New'!G46</f>
        <v>4.1682313608092602E-4</v>
      </c>
      <c r="N5" s="143">
        <f ca="1">'SC-New'!H46</f>
        <v>5.2567599032573176E-4</v>
      </c>
      <c r="O5" s="143">
        <f ca="1">'SC-New'!I46</f>
        <v>6.0737122097046805E-4</v>
      </c>
      <c r="P5" s="143">
        <f ca="1">'SC-New'!J46</f>
        <v>7.0130942120429237E-4</v>
      </c>
      <c r="Q5" s="143">
        <f ca="1">'SC-New'!K46</f>
        <v>7.8202860450335822E-4</v>
      </c>
      <c r="R5" s="143">
        <f ca="1">'SC-New'!L46</f>
        <v>8.7663995584738499E-4</v>
      </c>
      <c r="S5" s="143">
        <f ca="1">'SC-New'!M46</f>
        <v>9.4874951781954791E-4</v>
      </c>
      <c r="T5" s="143">
        <f ca="1">'SC-New'!N46</f>
        <v>1.0213477715111721E-3</v>
      </c>
      <c r="U5" s="143">
        <f ca="1">'SC-New'!O46</f>
        <v>1.0504986320591381E-3</v>
      </c>
      <c r="V5" s="143">
        <f ca="1">'SC-New'!P46</f>
        <v>1.0784910938243576E-3</v>
      </c>
      <c r="W5" s="143">
        <f ca="1">'SC-New'!Q46</f>
        <v>1.0945196082600623E-3</v>
      </c>
      <c r="X5" s="143">
        <f ca="1">'SC-New'!R46</f>
        <v>1.1099222162449392E-3</v>
      </c>
      <c r="Y5" s="143">
        <f ca="1">'SC-New'!S46</f>
        <v>1.1167261641088831E-3</v>
      </c>
      <c r="Z5" s="143">
        <f ca="1">'SC-New'!T46</f>
        <v>1.1048176367318145E-3</v>
      </c>
      <c r="AA5" s="143">
        <f ca="1">'SC-New'!U46</f>
        <v>1.0873634211593247E-3</v>
      </c>
      <c r="AB5" s="143">
        <f ca="1">'SC-New'!V46</f>
        <v>1.0623466103800527E-3</v>
      </c>
      <c r="AC5" s="143">
        <f ca="1">'SC-New'!W46</f>
        <v>1.0583012687629108E-3</v>
      </c>
      <c r="AD5" s="143">
        <f ca="1">'SC-New'!X46</f>
        <v>1.0534829966075841E-3</v>
      </c>
      <c r="AE5" s="143">
        <f ca="1">'SC-New'!Y46</f>
        <v>1.7110401234858384E-2</v>
      </c>
      <c r="AF5" s="615">
        <f t="shared" si="2"/>
        <v>0.20856762971636814</v>
      </c>
      <c r="AG5" s="615">
        <f t="shared" si="3"/>
        <v>0.1864410678070427</v>
      </c>
      <c r="AH5" s="615">
        <f t="shared" si="4"/>
        <v>0.21368153026712461</v>
      </c>
      <c r="AI5" s="615">
        <f t="shared" si="5"/>
        <v>0.18524213193309319</v>
      </c>
      <c r="AJ5" s="615">
        <f t="shared" si="6"/>
        <v>0.17722801341254679</v>
      </c>
      <c r="AK5" s="615">
        <f t="shared" si="7"/>
        <v>0.17344648951467118</v>
      </c>
      <c r="AL5" s="615">
        <f t="shared" si="8"/>
        <v>0.14848255613421052</v>
      </c>
      <c r="AM5" s="615">
        <f t="shared" si="9"/>
        <v>0.1553391889640402</v>
      </c>
      <c r="AN5" s="615">
        <f t="shared" si="10"/>
        <v>0.14466933043358504</v>
      </c>
      <c r="AO5" s="615">
        <f t="shared" si="11"/>
        <v>0.17401311900186581</v>
      </c>
      <c r="AP5" s="615">
        <f t="shared" si="12"/>
        <v>0.17808396104100074</v>
      </c>
      <c r="AQ5" s="615">
        <f t="shared" si="13"/>
        <v>0.20703930808874799</v>
      </c>
      <c r="AR5" s="615"/>
      <c r="AS5" s="615">
        <f t="shared" si="14"/>
        <v>0.10709016193091135</v>
      </c>
      <c r="AT5" s="615">
        <f t="shared" si="15"/>
        <v>8.9700786936127125E-2</v>
      </c>
      <c r="AU5" s="615">
        <f t="shared" si="16"/>
        <v>8.5541327705861925E-2</v>
      </c>
      <c r="AV5" s="615">
        <f t="shared" si="17"/>
        <v>8.8354448721179424E-2</v>
      </c>
      <c r="AW5" s="615">
        <f t="shared" si="18"/>
        <v>8.8188414920633701E-2</v>
      </c>
      <c r="AX5" s="615">
        <f t="shared" si="19"/>
        <v>7.3878249501081544E-2</v>
      </c>
      <c r="AY5" s="615">
        <f t="shared" si="20"/>
        <v>8.0962620115533027E-2</v>
      </c>
      <c r="AZ5" s="615">
        <f t="shared" si="21"/>
        <v>6.4142108560946071E-2</v>
      </c>
      <c r="BA5" s="615">
        <f t="shared" si="22"/>
        <v>7.7787353612097807E-2</v>
      </c>
      <c r="BB5" s="615">
        <f t="shared" si="23"/>
        <v>7.2619823454763407E-2</v>
      </c>
      <c r="BC5" s="615">
        <f t="shared" si="24"/>
        <v>9.4703379028289222E-2</v>
      </c>
      <c r="BD5" s="615">
        <f t="shared" si="25"/>
        <v>0.10428551445591223</v>
      </c>
    </row>
    <row r="6" spans="1:56" ht="15">
      <c r="A6" s="538" t="str">
        <f>VLOOKUP(CONCATENATE($C6," - ",$B6),[2]ACHIEV!$B$12:$C$100,2,FALSE)</f>
        <v>LO12Med</v>
      </c>
      <c r="B6" s="538" t="str">
        <f>'SC-New'!$C$7</f>
        <v>New</v>
      </c>
      <c r="C6" s="538" t="str">
        <f>'SC-NR'!$C$8</f>
        <v>Dishwasher</v>
      </c>
      <c r="D6" s="538" t="s">
        <v>1350</v>
      </c>
      <c r="E6" s="538" t="str">
        <f>'SC-New'!$A$9</f>
        <v>Water Heating</v>
      </c>
      <c r="F6" s="614">
        <f t="shared" si="1"/>
        <v>6.8070900757051642E-4</v>
      </c>
      <c r="G6" s="546">
        <f>'SC-New'!A47</f>
        <v>3.5557059945100065</v>
      </c>
      <c r="H6" s="546">
        <f>'SC-New'!B47</f>
        <v>48.658285133252164</v>
      </c>
      <c r="I6" s="34" t="str">
        <f>'SC-New'!C47</f>
        <v>Manufactured</v>
      </c>
      <c r="J6" s="34" t="str">
        <f>'SC-New'!D47</f>
        <v>Energy Star Dishwasher - Any DHW</v>
      </c>
      <c r="K6" s="143">
        <f ca="1">'SC-New'!E47</f>
        <v>5.3757038208016639E-5</v>
      </c>
      <c r="L6" s="143">
        <f ca="1">'SC-New'!F47</f>
        <v>1.082168663993353E-4</v>
      </c>
      <c r="M6" s="143">
        <f ca="1">'SC-New'!G47</f>
        <v>1.6813390659778241E-4</v>
      </c>
      <c r="N6" s="143">
        <f ca="1">'SC-New'!H47</f>
        <v>2.3246675090170585E-4</v>
      </c>
      <c r="O6" s="143">
        <f ca="1">'SC-New'!I47</f>
        <v>2.8171436096353599E-4</v>
      </c>
      <c r="P6" s="143">
        <f ca="1">'SC-New'!J47</f>
        <v>3.271758311757829E-4</v>
      </c>
      <c r="Q6" s="143">
        <f ca="1">'SC-New'!K47</f>
        <v>3.6831826131467619E-4</v>
      </c>
      <c r="R6" s="143">
        <f ca="1">'SC-New'!L47</f>
        <v>4.0262022850371911E-4</v>
      </c>
      <c r="S6" s="143">
        <f ca="1">'SC-New'!M47</f>
        <v>4.3075304566261521E-4</v>
      </c>
      <c r="T6" s="143">
        <f ca="1">'SC-New'!N47</f>
        <v>4.5177667038118435E-4</v>
      </c>
      <c r="U6" s="143">
        <f ca="1">'SC-New'!O47</f>
        <v>4.6584931841896297E-4</v>
      </c>
      <c r="V6" s="143">
        <f ca="1">'SC-New'!P47</f>
        <v>4.78554368211909E-4</v>
      </c>
      <c r="W6" s="143">
        <f ca="1">'SC-New'!Q47</f>
        <v>4.8980555421226544E-4</v>
      </c>
      <c r="X6" s="143">
        <f ca="1">'SC-New'!R47</f>
        <v>4.988149023519592E-4</v>
      </c>
      <c r="Y6" s="143">
        <f ca="1">'SC-New'!S47</f>
        <v>5.057701730348511E-4</v>
      </c>
      <c r="Z6" s="143">
        <f ca="1">'SC-New'!T47</f>
        <v>5.109390265550743E-4</v>
      </c>
      <c r="AA6" s="143">
        <f ca="1">'SC-New'!U47</f>
        <v>5.1062841634039299E-4</v>
      </c>
      <c r="AB6" s="143">
        <f ca="1">'SC-New'!V47</f>
        <v>5.1069779950627125E-4</v>
      </c>
      <c r="AC6" s="143">
        <f ca="1">'SC-New'!W47</f>
        <v>5.1085741523602339E-4</v>
      </c>
      <c r="AD6" s="143">
        <f ca="1">'SC-New'!X47</f>
        <v>5.1091917704331336E-4</v>
      </c>
      <c r="AE6" s="143">
        <f ca="1">'SC-New'!Y47</f>
        <v>7.8177691110193764E-3</v>
      </c>
      <c r="AF6" s="615">
        <f t="shared" si="2"/>
        <v>0.23344310596774925</v>
      </c>
      <c r="AG6" s="615">
        <f t="shared" si="3"/>
        <v>0.20872530995851063</v>
      </c>
      <c r="AH6" s="615">
        <f t="shared" si="4"/>
        <v>0.23931692046848702</v>
      </c>
      <c r="AI6" s="615">
        <f t="shared" si="5"/>
        <v>0.207474530098605</v>
      </c>
      <c r="AJ6" s="615">
        <f t="shared" si="6"/>
        <v>0.19843382899768067</v>
      </c>
      <c r="AK6" s="615">
        <f t="shared" si="7"/>
        <v>0.19412174922352995</v>
      </c>
      <c r="AL6" s="615">
        <f t="shared" si="8"/>
        <v>0.16598073699505142</v>
      </c>
      <c r="AM6" s="615">
        <f t="shared" si="9"/>
        <v>0.17363864551754932</v>
      </c>
      <c r="AN6" s="615">
        <f t="shared" si="10"/>
        <v>0.16183688934593823</v>
      </c>
      <c r="AO6" s="615">
        <f t="shared" si="11"/>
        <v>0.19473984471358194</v>
      </c>
      <c r="AP6" s="615">
        <f t="shared" si="12"/>
        <v>0.19932804538613083</v>
      </c>
      <c r="AQ6" s="615">
        <f t="shared" si="13"/>
        <v>0.23173934650167499</v>
      </c>
      <c r="AR6" s="615"/>
      <c r="AS6" s="615">
        <f t="shared" si="14"/>
        <v>0.11957225991186747</v>
      </c>
      <c r="AT6" s="615">
        <f t="shared" si="15"/>
        <v>0.10015607351596681</v>
      </c>
      <c r="AU6" s="615">
        <f t="shared" si="16"/>
        <v>9.5523562492732902E-2</v>
      </c>
      <c r="AV6" s="615">
        <f t="shared" si="17"/>
        <v>9.8738331528047729E-2</v>
      </c>
      <c r="AW6" s="615">
        <f t="shared" si="18"/>
        <v>9.8564993692252481E-2</v>
      </c>
      <c r="AX6" s="615">
        <f t="shared" si="19"/>
        <v>8.2481603895873362E-2</v>
      </c>
      <c r="AY6" s="615">
        <f t="shared" si="20"/>
        <v>9.0317405541494172E-2</v>
      </c>
      <c r="AZ6" s="615">
        <f t="shared" si="21"/>
        <v>7.148661564111837E-2</v>
      </c>
      <c r="BA6" s="615">
        <f t="shared" si="22"/>
        <v>8.6836079555160095E-2</v>
      </c>
      <c r="BB6" s="615">
        <f t="shared" si="23"/>
        <v>8.1061959117889729E-2</v>
      </c>
      <c r="BC6" s="615">
        <f t="shared" si="24"/>
        <v>0.1057591836205643</v>
      </c>
      <c r="BD6" s="615">
        <f t="shared" si="25"/>
        <v>0.11642897282254996</v>
      </c>
    </row>
    <row r="7" spans="1:56" ht="15">
      <c r="A7" s="538" t="str">
        <f>VLOOKUP(CONCATENATE($C7," - ",$B7),[2]ACHIEV!$B$12:$C$100,2,FALSE)</f>
        <v>LO12Med</v>
      </c>
      <c r="B7" s="538" t="str">
        <f>'SC-NR'!$C$7</f>
        <v>NR</v>
      </c>
      <c r="C7" s="538" t="str">
        <f>'SC-NR'!$C$8</f>
        <v>Dishwasher</v>
      </c>
      <c r="D7" s="538" t="s">
        <v>1350</v>
      </c>
      <c r="E7" s="538" t="str">
        <f>'SC-NR'!$A$9</f>
        <v>Water Heating</v>
      </c>
      <c r="F7" s="614">
        <f t="shared" si="1"/>
        <v>1.8486841178664502E-4</v>
      </c>
      <c r="G7" s="546">
        <f>'SC-NR'!A81</f>
        <v>0.99353523063608473</v>
      </c>
      <c r="H7" s="546">
        <f>'SC-NR'!B81</f>
        <v>143.37488910178871</v>
      </c>
      <c r="I7" t="str">
        <f>'SC-NR'!C81</f>
        <v>Single Family</v>
      </c>
      <c r="J7" s="34" t="str">
        <f>'SC-NR'!D81</f>
        <v>Energy Star Dishwasher - Any DHW</v>
      </c>
      <c r="K7" s="514">
        <f ca="1">'SC-NR'!E81</f>
        <v>2.5259609453051478E-3</v>
      </c>
      <c r="L7" s="514">
        <f ca="1">'SC-NR'!F81</f>
        <v>5.0404500808429436E-3</v>
      </c>
      <c r="M7" s="514">
        <f ca="1">'SC-NR'!G81</f>
        <v>7.5435064815700661E-3</v>
      </c>
      <c r="N7" s="514">
        <f ca="1">'SC-NR'!H81</f>
        <v>1.0035169104135613E-2</v>
      </c>
      <c r="O7" s="514">
        <f ca="1">'SC-NR'!I81</f>
        <v>1.251547678721693E-2</v>
      </c>
      <c r="P7" s="514">
        <f ca="1">'SC-NR'!J81</f>
        <v>1.4734727114323581E-2</v>
      </c>
      <c r="Q7" s="514">
        <f ca="1">'SC-NR'!K81</f>
        <v>1.6495320787688953E-2</v>
      </c>
      <c r="R7" s="514">
        <f ca="1">'SC-NR'!L81</f>
        <v>1.7889846812989163E-2</v>
      </c>
      <c r="S7" s="514">
        <f ca="1">'SC-NR'!M81</f>
        <v>1.8992208139697909E-2</v>
      </c>
      <c r="T7" s="514">
        <f ca="1">'SC-NR'!N81</f>
        <v>1.9861392818010724E-2</v>
      </c>
      <c r="U7" s="514">
        <f ca="1">'SC-NR'!O81</f>
        <v>2.0544484073605988E-2</v>
      </c>
      <c r="V7" s="514">
        <f ca="1">'SC-NR'!P81</f>
        <v>2.1079062899276316E-2</v>
      </c>
      <c r="W7" s="514">
        <f ca="1">'SC-NR'!Q81</f>
        <v>2.1495125763625226E-2</v>
      </c>
      <c r="X7" s="514">
        <f ca="1">'SC-NR'!R81</f>
        <v>2.1816615294266525E-2</v>
      </c>
      <c r="Y7" s="514">
        <f ca="1">'SC-NR'!S81</f>
        <v>2.2062642043706164E-2</v>
      </c>
      <c r="Z7" s="514">
        <f ca="1">'SC-NR'!T81</f>
        <v>2.704366976557929E-2</v>
      </c>
      <c r="AA7" s="514">
        <f ca="1">'SC-NR'!U81</f>
        <v>2.6316539212250165E-2</v>
      </c>
      <c r="AB7" s="514">
        <f ca="1">'SC-NR'!V81</f>
        <v>2.5606389161410528E-2</v>
      </c>
      <c r="AC7" s="514">
        <f ca="1">'SC-NR'!W81</f>
        <v>2.5012704196696357E-2</v>
      </c>
      <c r="AD7" s="514">
        <f ca="1">'SC-NR'!X81</f>
        <v>2.4464723994519894E-2</v>
      </c>
      <c r="AE7" s="514">
        <f ca="1">'SC-NR'!Y81</f>
        <v>0.35837465052362832</v>
      </c>
      <c r="AF7" s="615">
        <f t="shared" si="2"/>
        <v>6.4032534945412126E-2</v>
      </c>
      <c r="AG7" s="615">
        <f t="shared" si="3"/>
        <v>5.6961936685582151E-2</v>
      </c>
      <c r="AH7" s="615">
        <f t="shared" si="4"/>
        <v>6.4731073407484283E-2</v>
      </c>
      <c r="AI7" s="615">
        <f t="shared" si="5"/>
        <v>5.6064232247274463E-2</v>
      </c>
      <c r="AJ7" s="615">
        <f t="shared" si="6"/>
        <v>5.4014912512717041E-2</v>
      </c>
      <c r="AK7" s="615">
        <f t="shared" si="7"/>
        <v>5.3316101206301938E-2</v>
      </c>
      <c r="AL7" s="615">
        <f t="shared" si="8"/>
        <v>4.6812091477255471E-2</v>
      </c>
      <c r="AM7" s="615">
        <f t="shared" si="9"/>
        <v>4.9013036230719925E-2</v>
      </c>
      <c r="AN7" s="615">
        <f t="shared" si="10"/>
        <v>4.491989330491214E-2</v>
      </c>
      <c r="AO7" s="615">
        <f t="shared" si="11"/>
        <v>5.3583695469997798E-2</v>
      </c>
      <c r="AP7" s="615">
        <f t="shared" si="12"/>
        <v>5.46485054494689E-2</v>
      </c>
      <c r="AQ7" s="615">
        <f t="shared" si="13"/>
        <v>6.3523567655016808E-2</v>
      </c>
      <c r="AR7" s="615"/>
      <c r="AS7" s="615">
        <f t="shared" si="14"/>
        <v>3.456486848983864E-2</v>
      </c>
      <c r="AT7" s="615">
        <f t="shared" si="15"/>
        <v>2.8951966636023983E-2</v>
      </c>
      <c r="AU7" s="615">
        <f t="shared" si="16"/>
        <v>2.7541101444214944E-2</v>
      </c>
      <c r="AV7" s="615">
        <f t="shared" si="17"/>
        <v>2.8020508964030764E-2</v>
      </c>
      <c r="AW7" s="615">
        <f t="shared" si="18"/>
        <v>2.789691412691751E-2</v>
      </c>
      <c r="AX7" s="615">
        <f t="shared" si="19"/>
        <v>2.388979379341177E-2</v>
      </c>
      <c r="AY7" s="615">
        <f t="shared" si="20"/>
        <v>2.6608091002620692E-2</v>
      </c>
      <c r="AZ7" s="615">
        <f t="shared" si="21"/>
        <v>2.1467989836496552E-2</v>
      </c>
      <c r="BA7" s="615">
        <f t="shared" si="22"/>
        <v>2.5211135632580643E-2</v>
      </c>
      <c r="BB7" s="615">
        <f t="shared" si="23"/>
        <v>2.3568104170736227E-2</v>
      </c>
      <c r="BC7" s="615">
        <f t="shared" si="24"/>
        <v>3.0465342000759787E-2</v>
      </c>
      <c r="BD7" s="615">
        <f t="shared" si="25"/>
        <v>3.3727833946310182E-2</v>
      </c>
    </row>
    <row r="8" spans="1:56" ht="15">
      <c r="A8" s="538" t="str">
        <f>VLOOKUP(CONCATENATE($C8," - ",$B8),[2]ACHIEV!$B$12:$C$100,2,FALSE)</f>
        <v>LO12Med</v>
      </c>
      <c r="B8" s="538" t="str">
        <f>'SC-NR'!$C$7</f>
        <v>NR</v>
      </c>
      <c r="C8" s="538" t="str">
        <f>'SC-NR'!$C$8</f>
        <v>Dishwasher</v>
      </c>
      <c r="D8" s="538" t="s">
        <v>1350</v>
      </c>
      <c r="E8" s="538" t="str">
        <f>'SC-NR'!$A$9</f>
        <v>Water Heating</v>
      </c>
      <c r="F8" s="614">
        <f t="shared" si="1"/>
        <v>6.0790203401237843E-4</v>
      </c>
      <c r="G8" s="546">
        <f>'SC-NR'!A82</f>
        <v>3.1794885152576335</v>
      </c>
      <c r="H8" s="546">
        <f>'SC-NR'!B82</f>
        <v>53.004218139522706</v>
      </c>
      <c r="I8" t="str">
        <f>'SC-NR'!C82</f>
        <v>Multifamily - Low Rise</v>
      </c>
      <c r="J8" s="34" t="str">
        <f>'SC-NR'!D82</f>
        <v>Energy Star Dishwasher - Any DHW</v>
      </c>
      <c r="K8" s="514">
        <f ca="1">'SC-NR'!E82</f>
        <v>1.5853324787845104E-3</v>
      </c>
      <c r="L8" s="514">
        <f ca="1">'SC-NR'!F82</f>
        <v>3.1634649551113194E-3</v>
      </c>
      <c r="M8" s="514">
        <f ca="1">'SC-NR'!G82</f>
        <v>4.7344219538211531E-3</v>
      </c>
      <c r="N8" s="514">
        <f ca="1">'SC-NR'!H82</f>
        <v>6.2982279254994826E-3</v>
      </c>
      <c r="O8" s="514">
        <f ca="1">'SC-NR'!I82</f>
        <v>7.8549072466872864E-3</v>
      </c>
      <c r="P8" s="514">
        <f ca="1">'SC-NR'!J82</f>
        <v>9.2477428164230817E-3</v>
      </c>
      <c r="Q8" s="514">
        <f ca="1">'SC-NR'!K82</f>
        <v>1.035271827930468E-2</v>
      </c>
      <c r="R8" s="514">
        <f ca="1">'SC-NR'!L82</f>
        <v>1.1227943955831064E-2</v>
      </c>
      <c r="S8" s="514">
        <f ca="1">'SC-NR'!M82</f>
        <v>1.191980250116821E-2</v>
      </c>
      <c r="T8" s="514">
        <f ca="1">'SC-NR'!N82</f>
        <v>1.2465315743407914E-2</v>
      </c>
      <c r="U8" s="514">
        <f ca="1">'SC-NR'!O82</f>
        <v>1.2894033854447942E-2</v>
      </c>
      <c r="V8" s="514">
        <f ca="1">'SC-NR'!P82</f>
        <v>1.3229543254725615E-2</v>
      </c>
      <c r="W8" s="514">
        <f ca="1">'SC-NR'!Q82</f>
        <v>1.3490670197662971E-2</v>
      </c>
      <c r="X8" s="514">
        <f ca="1">'SC-NR'!R82</f>
        <v>1.3692441450725948E-2</v>
      </c>
      <c r="Y8" s="514">
        <f ca="1">'SC-NR'!S82</f>
        <v>1.3846851095046193E-2</v>
      </c>
      <c r="Z8" s="514">
        <f ca="1">'SC-NR'!T82</f>
        <v>1.9035841584538356E-2</v>
      </c>
      <c r="AA8" s="514">
        <f ca="1">'SC-NR'!U82</f>
        <v>1.8434145792443794E-2</v>
      </c>
      <c r="AB8" s="514">
        <f ca="1">'SC-NR'!V82</f>
        <v>1.7853245624509313E-2</v>
      </c>
      <c r="AC8" s="514">
        <f ca="1">'SC-NR'!W82</f>
        <v>1.7202835797208053E-2</v>
      </c>
      <c r="AD8" s="514">
        <f ca="1">'SC-NR'!X82</f>
        <v>1.6515073568247413E-2</v>
      </c>
      <c r="AE8" s="514">
        <f ca="1">'SC-NR'!Y82</f>
        <v>0.23337570131759242</v>
      </c>
      <c r="AF8" s="615">
        <f t="shared" si="2"/>
        <v>0.20856762971636814</v>
      </c>
      <c r="AG8" s="615">
        <f t="shared" si="3"/>
        <v>0.1864410678070427</v>
      </c>
      <c r="AH8" s="615">
        <f t="shared" si="4"/>
        <v>0.21368153026712461</v>
      </c>
      <c r="AI8" s="615">
        <f t="shared" si="5"/>
        <v>0.18524213193309319</v>
      </c>
      <c r="AJ8" s="615">
        <f t="shared" si="6"/>
        <v>0.17722801341254679</v>
      </c>
      <c r="AK8" s="615">
        <f t="shared" si="7"/>
        <v>0.17344648951467118</v>
      </c>
      <c r="AL8" s="615">
        <f t="shared" si="8"/>
        <v>0.14848255613421052</v>
      </c>
      <c r="AM8" s="615">
        <f t="shared" si="9"/>
        <v>0.1553391889640402</v>
      </c>
      <c r="AN8" s="615">
        <f t="shared" si="10"/>
        <v>0.14466933043358504</v>
      </c>
      <c r="AO8" s="615">
        <f t="shared" si="11"/>
        <v>0.17401311900186581</v>
      </c>
      <c r="AP8" s="615">
        <f t="shared" si="12"/>
        <v>0.17808396104100074</v>
      </c>
      <c r="AQ8" s="615">
        <f t="shared" si="13"/>
        <v>0.20703930808874799</v>
      </c>
      <c r="AR8" s="615"/>
      <c r="AS8" s="615">
        <f t="shared" si="14"/>
        <v>0.10709016193091135</v>
      </c>
      <c r="AT8" s="615">
        <f t="shared" si="15"/>
        <v>8.9700786936127125E-2</v>
      </c>
      <c r="AU8" s="615">
        <f t="shared" si="16"/>
        <v>8.5541327705861925E-2</v>
      </c>
      <c r="AV8" s="615">
        <f t="shared" si="17"/>
        <v>8.8354448721179424E-2</v>
      </c>
      <c r="AW8" s="615">
        <f t="shared" si="18"/>
        <v>8.8188414920633701E-2</v>
      </c>
      <c r="AX8" s="615">
        <f t="shared" si="19"/>
        <v>7.3878249501081544E-2</v>
      </c>
      <c r="AY8" s="615">
        <f t="shared" si="20"/>
        <v>8.0962620115533027E-2</v>
      </c>
      <c r="AZ8" s="615">
        <f t="shared" si="21"/>
        <v>6.4142108560946071E-2</v>
      </c>
      <c r="BA8" s="615">
        <f t="shared" si="22"/>
        <v>7.7787353612097807E-2</v>
      </c>
      <c r="BB8" s="615">
        <f t="shared" si="23"/>
        <v>7.2619823454763407E-2</v>
      </c>
      <c r="BC8" s="615">
        <f t="shared" si="24"/>
        <v>9.4703379028289222E-2</v>
      </c>
      <c r="BD8" s="615">
        <f t="shared" si="25"/>
        <v>0.10428551445591223</v>
      </c>
    </row>
    <row r="9" spans="1:56" ht="15">
      <c r="A9" s="538" t="str">
        <f>VLOOKUP(CONCATENATE($C9," - ",$B9),[2]ACHIEV!$B$12:$C$100,2,FALSE)</f>
        <v>LO12Med</v>
      </c>
      <c r="B9" s="538" t="str">
        <f>'SC-NR'!$C$7</f>
        <v>NR</v>
      </c>
      <c r="C9" s="538" t="str">
        <f>'SC-NR'!$C$8</f>
        <v>Dishwasher</v>
      </c>
      <c r="D9" s="538" t="s">
        <v>1350</v>
      </c>
      <c r="E9" s="538" t="str">
        <f>'SC-NR'!$A$9</f>
        <v>Water Heating</v>
      </c>
      <c r="F9" s="614">
        <f t="shared" si="1"/>
        <v>6.0790203401237843E-4</v>
      </c>
      <c r="G9" s="546">
        <f>'SC-NR'!A83</f>
        <v>3.1794885152576335</v>
      </c>
      <c r="H9" s="546">
        <f>'SC-NR'!B83</f>
        <v>53.004218139522706</v>
      </c>
      <c r="I9" t="str">
        <f>'SC-NR'!C83</f>
        <v>Multifamily - High Rise</v>
      </c>
      <c r="J9" s="34" t="str">
        <f>'SC-NR'!D83</f>
        <v>Energy Star Dishwasher - Any DHW</v>
      </c>
      <c r="K9" s="514">
        <f ca="1">'SC-NR'!E83</f>
        <v>3.614500157126646E-4</v>
      </c>
      <c r="L9" s="514">
        <f ca="1">'SC-NR'!F83</f>
        <v>7.2125845715854649E-4</v>
      </c>
      <c r="M9" s="514">
        <f ca="1">'SC-NR'!G83</f>
        <v>1.0794309159117698E-3</v>
      </c>
      <c r="N9" s="514">
        <f ca="1">'SC-NR'!H83</f>
        <v>1.4359729666165301E-3</v>
      </c>
      <c r="O9" s="514">
        <f ca="1">'SC-NR'!I83</f>
        <v>1.7908901670351516E-3</v>
      </c>
      <c r="P9" s="514">
        <f ca="1">'SC-NR'!J83</f>
        <v>2.1084515904610779E-3</v>
      </c>
      <c r="Q9" s="514">
        <f ca="1">'SC-NR'!K83</f>
        <v>2.3603819607559457E-3</v>
      </c>
      <c r="R9" s="514">
        <f ca="1">'SC-NR'!L83</f>
        <v>2.5599302187813778E-3</v>
      </c>
      <c r="S9" s="514">
        <f ca="1">'SC-NR'!M83</f>
        <v>2.7176714405311437E-3</v>
      </c>
      <c r="T9" s="514">
        <f ca="1">'SC-NR'!N83</f>
        <v>2.8420464676107526E-3</v>
      </c>
      <c r="U9" s="514">
        <f ca="1">'SC-NR'!O83</f>
        <v>2.9397926312990986E-3</v>
      </c>
      <c r="V9" s="514">
        <f ca="1">'SC-NR'!P83</f>
        <v>3.01628754932102E-3</v>
      </c>
      <c r="W9" s="514">
        <f ca="1">'SC-NR'!Q83</f>
        <v>3.0758235387054506E-3</v>
      </c>
      <c r="X9" s="514">
        <f ca="1">'SC-NR'!R83</f>
        <v>3.1218266475586134E-3</v>
      </c>
      <c r="Y9" s="514">
        <f ca="1">'SC-NR'!S83</f>
        <v>3.1570314825775298E-3</v>
      </c>
      <c r="Z9" s="514">
        <f ca="1">'SC-NR'!T83</f>
        <v>4.3223241983567622E-3</v>
      </c>
      <c r="AA9" s="514">
        <f ca="1">'SC-NR'!U83</f>
        <v>4.2013662899161724E-3</v>
      </c>
      <c r="AB9" s="514">
        <f ca="1">'SC-NR'!V83</f>
        <v>4.0826528029636764E-3</v>
      </c>
      <c r="AC9" s="514">
        <f ca="1">'SC-NR'!W83</f>
        <v>3.9146953123680925E-3</v>
      </c>
      <c r="AD9" s="514">
        <f ca="1">'SC-NR'!X83</f>
        <v>3.7476595187883994E-3</v>
      </c>
      <c r="AE9" s="514">
        <f ca="1">'SC-NR'!Y83</f>
        <v>5.3176347619601737E-2</v>
      </c>
      <c r="AF9" s="615">
        <f t="shared" si="2"/>
        <v>0.20856762971636814</v>
      </c>
      <c r="AG9" s="615">
        <f t="shared" si="3"/>
        <v>0.1864410678070427</v>
      </c>
      <c r="AH9" s="615">
        <f t="shared" si="4"/>
        <v>0.21368153026712461</v>
      </c>
      <c r="AI9" s="615">
        <f t="shared" si="5"/>
        <v>0.18524213193309319</v>
      </c>
      <c r="AJ9" s="615">
        <f t="shared" si="6"/>
        <v>0.17722801341254679</v>
      </c>
      <c r="AK9" s="615">
        <f t="shared" si="7"/>
        <v>0.17344648951467118</v>
      </c>
      <c r="AL9" s="615">
        <f t="shared" si="8"/>
        <v>0.14848255613421052</v>
      </c>
      <c r="AM9" s="615">
        <f t="shared" si="9"/>
        <v>0.1553391889640402</v>
      </c>
      <c r="AN9" s="615">
        <f t="shared" si="10"/>
        <v>0.14466933043358504</v>
      </c>
      <c r="AO9" s="615">
        <f t="shared" si="11"/>
        <v>0.17401311900186581</v>
      </c>
      <c r="AP9" s="615">
        <f t="shared" si="12"/>
        <v>0.17808396104100074</v>
      </c>
      <c r="AQ9" s="615">
        <f t="shared" si="13"/>
        <v>0.20703930808874799</v>
      </c>
      <c r="AR9" s="615"/>
      <c r="AS9" s="615">
        <f t="shared" si="14"/>
        <v>0.10709016193091135</v>
      </c>
      <c r="AT9" s="615">
        <f t="shared" si="15"/>
        <v>8.9700786936127125E-2</v>
      </c>
      <c r="AU9" s="615">
        <f t="shared" si="16"/>
        <v>8.5541327705861925E-2</v>
      </c>
      <c r="AV9" s="615">
        <f t="shared" si="17"/>
        <v>8.8354448721179424E-2</v>
      </c>
      <c r="AW9" s="615">
        <f t="shared" si="18"/>
        <v>8.8188414920633701E-2</v>
      </c>
      <c r="AX9" s="615">
        <f t="shared" si="19"/>
        <v>7.3878249501081544E-2</v>
      </c>
      <c r="AY9" s="615">
        <f t="shared" si="20"/>
        <v>8.0962620115533027E-2</v>
      </c>
      <c r="AZ9" s="615">
        <f t="shared" si="21"/>
        <v>6.4142108560946071E-2</v>
      </c>
      <c r="BA9" s="615">
        <f t="shared" si="22"/>
        <v>7.7787353612097807E-2</v>
      </c>
      <c r="BB9" s="615">
        <f t="shared" si="23"/>
        <v>7.2619823454763407E-2</v>
      </c>
      <c r="BC9" s="615">
        <f t="shared" si="24"/>
        <v>9.4703379028289222E-2</v>
      </c>
      <c r="BD9" s="615">
        <f t="shared" si="25"/>
        <v>0.10428551445591223</v>
      </c>
    </row>
    <row r="10" spans="1:56" ht="15">
      <c r="A10" s="538" t="str">
        <f>VLOOKUP(CONCATENATE($C10," - ",$B10),[2]ACHIEV!$B$12:$C$100,2,FALSE)</f>
        <v>LO12Med</v>
      </c>
      <c r="B10" s="538" t="str">
        <f>'SC-NR'!$C$7</f>
        <v>NR</v>
      </c>
      <c r="C10" s="538" t="str">
        <f>'SC-NR'!$C$8</f>
        <v>Dishwasher</v>
      </c>
      <c r="D10" s="538" t="s">
        <v>1350</v>
      </c>
      <c r="E10" s="538" t="str">
        <f>'SC-NR'!$A$9</f>
        <v>Water Heating</v>
      </c>
      <c r="F10" s="614">
        <f t="shared" si="1"/>
        <v>6.8070900757051642E-4</v>
      </c>
      <c r="G10" s="546">
        <f>'SC-NR'!A84</f>
        <v>3.5557059945100065</v>
      </c>
      <c r="H10" s="546">
        <f>'SC-NR'!B84</f>
        <v>48.658285133252164</v>
      </c>
      <c r="I10" t="str">
        <f>'SC-NR'!C84</f>
        <v>Manufactured</v>
      </c>
      <c r="J10" s="34" t="str">
        <f>'SC-NR'!D84</f>
        <v>Energy Star Dishwasher - Any DHW</v>
      </c>
      <c r="K10" s="514">
        <f ca="1">'SC-NR'!E84</f>
        <v>1.0680029667840972E-3</v>
      </c>
      <c r="L10" s="514">
        <f ca="1">'SC-NR'!F84</f>
        <v>2.1131784670404639E-3</v>
      </c>
      <c r="M10" s="514">
        <f ca="1">'SC-NR'!G84</f>
        <v>3.1358924360082451E-3</v>
      </c>
      <c r="N10" s="514">
        <f ca="1">'SC-NR'!H84</f>
        <v>4.1365055945999808E-3</v>
      </c>
      <c r="O10" s="514">
        <f ca="1">'SC-NR'!I84</f>
        <v>5.1153735190584016E-3</v>
      </c>
      <c r="P10" s="514">
        <f ca="1">'SC-NR'!J84</f>
        <v>5.971632597891267E-3</v>
      </c>
      <c r="Q10" s="514">
        <f ca="1">'SC-NR'!K84</f>
        <v>6.6287673945559346E-3</v>
      </c>
      <c r="R10" s="514">
        <f ca="1">'SC-NR'!L84</f>
        <v>7.1285248331359533E-3</v>
      </c>
      <c r="S10" s="514">
        <f ca="1">'SC-NR'!M84</f>
        <v>7.503943186591683E-3</v>
      </c>
      <c r="T10" s="514">
        <f ca="1">'SC-NR'!N84</f>
        <v>7.7811682874594536E-3</v>
      </c>
      <c r="U10" s="514">
        <f ca="1">'SC-NR'!O84</f>
        <v>7.9808909682874893E-3</v>
      </c>
      <c r="V10" s="514">
        <f ca="1">'SC-NR'!P84</f>
        <v>8.1194847241941783E-3</v>
      </c>
      <c r="W10" s="514">
        <f ca="1">'SC-NR'!Q84</f>
        <v>8.2099061161048422E-3</v>
      </c>
      <c r="X10" s="514">
        <f ca="1">'SC-NR'!R84</f>
        <v>8.2624073950037773E-3</v>
      </c>
      <c r="Y10" s="514">
        <f ca="1">'SC-NR'!S84</f>
        <v>8.2851005084345116E-3</v>
      </c>
      <c r="Z10" s="514">
        <f ca="1">'SC-NR'!T84</f>
        <v>8.7287693619053953E-3</v>
      </c>
      <c r="AA10" s="514">
        <f ca="1">'SC-NR'!U84</f>
        <v>8.5979164732683782E-3</v>
      </c>
      <c r="AB10" s="514">
        <f ca="1">'SC-NR'!V84</f>
        <v>8.477417552195967E-3</v>
      </c>
      <c r="AC10" s="514">
        <f ca="1">'SC-NR'!W84</f>
        <v>8.3552027479865173E-3</v>
      </c>
      <c r="AD10" s="514">
        <f ca="1">'SC-NR'!X84</f>
        <v>8.2115926833042571E-3</v>
      </c>
      <c r="AE10" s="514">
        <f ca="1">'SC-NR'!Y84</f>
        <v>0.1244350713402806</v>
      </c>
      <c r="AF10" s="615">
        <f t="shared" si="2"/>
        <v>0.23344310596774925</v>
      </c>
      <c r="AG10" s="615">
        <f t="shared" si="3"/>
        <v>0.20872530995851063</v>
      </c>
      <c r="AH10" s="615">
        <f t="shared" si="4"/>
        <v>0.23931692046848702</v>
      </c>
      <c r="AI10" s="615">
        <f t="shared" si="5"/>
        <v>0.207474530098605</v>
      </c>
      <c r="AJ10" s="615">
        <f t="shared" si="6"/>
        <v>0.19843382899768067</v>
      </c>
      <c r="AK10" s="615">
        <f t="shared" si="7"/>
        <v>0.19412174922352995</v>
      </c>
      <c r="AL10" s="615">
        <f t="shared" si="8"/>
        <v>0.16598073699505142</v>
      </c>
      <c r="AM10" s="615">
        <f t="shared" si="9"/>
        <v>0.17363864551754932</v>
      </c>
      <c r="AN10" s="615">
        <f t="shared" si="10"/>
        <v>0.16183688934593823</v>
      </c>
      <c r="AO10" s="615">
        <f t="shared" si="11"/>
        <v>0.19473984471358194</v>
      </c>
      <c r="AP10" s="615">
        <f t="shared" si="12"/>
        <v>0.19932804538613083</v>
      </c>
      <c r="AQ10" s="615">
        <f t="shared" si="13"/>
        <v>0.23173934650167499</v>
      </c>
      <c r="AR10" s="615"/>
      <c r="AS10" s="615">
        <f t="shared" si="14"/>
        <v>0.11957225991186747</v>
      </c>
      <c r="AT10" s="615">
        <f t="shared" si="15"/>
        <v>0.10015607351596681</v>
      </c>
      <c r="AU10" s="615">
        <f t="shared" si="16"/>
        <v>9.5523562492732902E-2</v>
      </c>
      <c r="AV10" s="615">
        <f t="shared" si="17"/>
        <v>9.8738331528047729E-2</v>
      </c>
      <c r="AW10" s="615">
        <f t="shared" si="18"/>
        <v>9.8564993692252481E-2</v>
      </c>
      <c r="AX10" s="615">
        <f t="shared" si="19"/>
        <v>8.2481603895873362E-2</v>
      </c>
      <c r="AY10" s="615">
        <f t="shared" si="20"/>
        <v>9.0317405541494172E-2</v>
      </c>
      <c r="AZ10" s="615">
        <f t="shared" si="21"/>
        <v>7.148661564111837E-2</v>
      </c>
      <c r="BA10" s="615">
        <f t="shared" si="22"/>
        <v>8.6836079555160095E-2</v>
      </c>
      <c r="BB10" s="615">
        <f t="shared" si="23"/>
        <v>8.1061959117889729E-2</v>
      </c>
      <c r="BC10" s="615">
        <f t="shared" si="24"/>
        <v>0.1057591836205643</v>
      </c>
      <c r="BD10" s="615">
        <f t="shared" si="25"/>
        <v>0.11642897282254996</v>
      </c>
    </row>
    <row r="12" spans="1:56">
      <c r="J12" s="34"/>
    </row>
    <row r="13" spans="1:56">
      <c r="J13" s="34"/>
    </row>
    <row r="14" spans="1:56">
      <c r="J14" s="34"/>
    </row>
    <row r="15" spans="1:56">
      <c r="J15" s="34"/>
    </row>
    <row r="16" spans="1:56">
      <c r="J16" s="34"/>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sheetPr codeName="Sheet16"/>
  <dimension ref="A1:AA178"/>
  <sheetViews>
    <sheetView topLeftCell="A19" workbookViewId="0">
      <selection activeCell="C33" sqref="C33"/>
    </sheetView>
  </sheetViews>
  <sheetFormatPr defaultRowHeight="12.75"/>
  <cols>
    <col min="1" max="2" width="9.140625" style="2"/>
    <col min="3" max="3" width="71" style="34" customWidth="1"/>
    <col min="4" max="4" width="33.7109375" style="34" customWidth="1"/>
    <col min="5" max="5" width="67.140625" style="34" customWidth="1"/>
    <col min="6" max="6" width="26.42578125" style="34" customWidth="1"/>
    <col min="7" max="7" width="20.140625" style="34" customWidth="1"/>
    <col min="8" max="9" width="9.140625" style="34"/>
    <col min="10" max="27" width="9.140625" style="2"/>
    <col min="28" max="16384" width="9.140625" style="34"/>
  </cols>
  <sheetData>
    <row r="1" spans="3:26" s="2" customFormat="1" ht="13.5" thickBot="1">
      <c r="C1" s="1"/>
      <c r="D1" s="1"/>
      <c r="E1" s="1"/>
      <c r="F1" s="1"/>
      <c r="G1" s="1"/>
      <c r="H1" s="1"/>
      <c r="I1" s="1"/>
      <c r="J1" s="1"/>
      <c r="K1" s="1"/>
      <c r="L1" s="1"/>
      <c r="M1" s="1"/>
      <c r="N1" s="1"/>
      <c r="O1" s="1"/>
      <c r="P1" s="1"/>
      <c r="Q1" s="1"/>
    </row>
    <row r="2" spans="3:26" ht="15.75" thickBot="1">
      <c r="C2" s="3"/>
      <c r="D2" s="4" t="s">
        <v>0</v>
      </c>
      <c r="E2" s="4" t="s">
        <v>1</v>
      </c>
      <c r="F2" s="5" t="s">
        <v>2</v>
      </c>
      <c r="G2" s="5" t="s">
        <v>3</v>
      </c>
      <c r="H2" s="5" t="s">
        <v>4</v>
      </c>
      <c r="I2" s="5" t="s">
        <v>5</v>
      </c>
      <c r="J2" s="6"/>
      <c r="K2" s="6"/>
      <c r="L2" s="1"/>
      <c r="M2" s="1"/>
      <c r="N2" s="1"/>
      <c r="O2" s="1"/>
      <c r="P2" s="1"/>
      <c r="Q2" s="1"/>
    </row>
    <row r="3" spans="3:26" ht="16.5" thickTop="1" thickBot="1">
      <c r="C3" s="7" t="s">
        <v>6</v>
      </c>
      <c r="D3" s="8"/>
      <c r="E3" s="8"/>
      <c r="F3" s="9"/>
      <c r="G3" s="9"/>
      <c r="H3" s="9"/>
      <c r="I3" s="9"/>
      <c r="J3" s="6"/>
      <c r="K3" s="6"/>
      <c r="L3" s="1"/>
      <c r="M3" s="1"/>
      <c r="N3" s="1"/>
      <c r="O3" s="1"/>
      <c r="P3" s="1"/>
      <c r="Q3" s="1"/>
    </row>
    <row r="4" spans="3:26" ht="16.5" thickTop="1" thickBot="1">
      <c r="C4" s="10" t="s">
        <v>7</v>
      </c>
      <c r="D4" s="11">
        <v>0</v>
      </c>
      <c r="E4" s="12">
        <v>355</v>
      </c>
      <c r="F4" s="13">
        <v>6.5</v>
      </c>
      <c r="G4" s="14" t="s">
        <v>8</v>
      </c>
      <c r="H4" s="14" t="s">
        <v>9</v>
      </c>
      <c r="I4" s="15" t="s">
        <v>10</v>
      </c>
      <c r="J4" s="16"/>
      <c r="K4" s="16"/>
      <c r="L4" s="17"/>
      <c r="M4" s="17"/>
      <c r="N4" s="17"/>
      <c r="O4" s="17"/>
      <c r="P4" s="17"/>
      <c r="Q4" s="17"/>
    </row>
    <row r="5" spans="3:26" ht="16.5" thickTop="1" thickBot="1">
      <c r="C5" s="7"/>
      <c r="D5" s="8"/>
      <c r="E5" s="8"/>
      <c r="F5" s="9"/>
      <c r="G5" s="18"/>
      <c r="H5" s="18"/>
      <c r="I5" s="18"/>
      <c r="J5" s="6"/>
      <c r="K5" s="6"/>
      <c r="L5" s="1"/>
      <c r="M5" s="1"/>
      <c r="N5" s="1"/>
      <c r="O5" s="1"/>
      <c r="P5" s="1"/>
      <c r="Q5" s="1"/>
    </row>
    <row r="6" spans="3:26" ht="16.5" thickTop="1" thickBot="1">
      <c r="C6" s="10" t="s">
        <v>11</v>
      </c>
      <c r="D6" s="11">
        <v>0</v>
      </c>
      <c r="E6" s="12">
        <v>295</v>
      </c>
      <c r="F6" s="13">
        <v>4.5</v>
      </c>
      <c r="G6" s="14" t="s">
        <v>8</v>
      </c>
      <c r="H6" s="14" t="s">
        <v>9</v>
      </c>
      <c r="I6" s="15" t="s">
        <v>10</v>
      </c>
      <c r="J6" s="6"/>
      <c r="K6" s="6"/>
      <c r="L6" s="1"/>
      <c r="M6" s="1"/>
      <c r="N6" s="1"/>
      <c r="O6" s="1"/>
      <c r="P6" s="1"/>
      <c r="Q6" s="1"/>
    </row>
    <row r="7" spans="3:26" ht="16.5" thickTop="1" thickBot="1">
      <c r="C7" s="7"/>
      <c r="D7" s="8"/>
      <c r="E7" s="8"/>
      <c r="F7" s="9"/>
      <c r="G7" s="18"/>
      <c r="H7" s="18"/>
      <c r="I7" s="18"/>
      <c r="J7" s="6"/>
      <c r="K7" s="6"/>
      <c r="L7" s="1"/>
      <c r="M7" s="1"/>
      <c r="N7" s="1"/>
      <c r="O7" s="1"/>
      <c r="P7" s="1"/>
      <c r="Q7" s="1"/>
    </row>
    <row r="8" spans="3:26" ht="16.5" thickTop="1" thickBot="1">
      <c r="C8" s="10" t="s">
        <v>12</v>
      </c>
      <c r="D8" s="19">
        <v>0.75</v>
      </c>
      <c r="E8" s="12">
        <v>295</v>
      </c>
      <c r="F8" s="13">
        <v>4.5</v>
      </c>
      <c r="G8" s="14"/>
      <c r="H8" s="14" t="s">
        <v>9</v>
      </c>
      <c r="I8" s="15" t="s">
        <v>10</v>
      </c>
      <c r="J8" s="1"/>
      <c r="K8" s="1"/>
      <c r="L8" s="1"/>
      <c r="M8" s="1"/>
      <c r="N8" s="1"/>
      <c r="O8" s="1"/>
      <c r="P8" s="1"/>
      <c r="Q8" s="1"/>
    </row>
    <row r="9" spans="3:26" ht="17.25" thickTop="1" thickBot="1">
      <c r="C9" s="678"/>
      <c r="D9" s="679"/>
      <c r="E9" s="679"/>
      <c r="F9" s="680"/>
      <c r="G9" s="20"/>
      <c r="H9" s="20"/>
      <c r="I9" s="20"/>
      <c r="J9" s="1"/>
      <c r="K9" s="21"/>
      <c r="L9" s="21"/>
      <c r="M9" s="21"/>
      <c r="N9" s="21"/>
      <c r="O9" s="21"/>
      <c r="P9" s="21"/>
      <c r="Q9" s="21"/>
    </row>
    <row r="10" spans="3:26" s="2" customFormat="1"/>
    <row r="11" spans="3:26" ht="15">
      <c r="C11" s="22" t="s">
        <v>13</v>
      </c>
      <c r="D11" s="23"/>
      <c r="E11" s="23"/>
      <c r="F11" s="23"/>
      <c r="G11" s="23"/>
      <c r="H11" s="23"/>
      <c r="I11" s="23"/>
      <c r="J11" s="24"/>
      <c r="K11" s="24"/>
      <c r="L11" s="24"/>
      <c r="M11" s="24"/>
      <c r="N11" s="24"/>
      <c r="O11" s="24"/>
      <c r="P11" s="24"/>
      <c r="Q11" s="24"/>
      <c r="R11" s="24"/>
      <c r="S11" s="24"/>
      <c r="T11" s="24"/>
      <c r="U11" s="24"/>
      <c r="V11" s="24"/>
      <c r="W11" s="24"/>
      <c r="X11" s="24"/>
      <c r="Y11" s="24"/>
      <c r="Z11" s="24"/>
    </row>
    <row r="12" spans="3:26" s="2" customFormat="1" ht="15">
      <c r="C12" s="25"/>
      <c r="D12" s="26" t="s">
        <v>14</v>
      </c>
      <c r="E12" s="26" t="s">
        <v>15</v>
      </c>
      <c r="F12" s="26" t="s">
        <v>16</v>
      </c>
      <c r="G12" s="26" t="s">
        <v>17</v>
      </c>
      <c r="H12" s="27" t="s">
        <v>18</v>
      </c>
      <c r="I12" s="24"/>
      <c r="J12" s="24"/>
      <c r="K12" s="24"/>
      <c r="L12" s="24"/>
      <c r="M12" s="24"/>
      <c r="N12" s="24"/>
      <c r="O12" s="24"/>
      <c r="P12" s="24"/>
      <c r="Q12" s="24"/>
      <c r="R12" s="24"/>
      <c r="S12" s="24"/>
      <c r="T12" s="24"/>
      <c r="U12" s="24"/>
      <c r="V12" s="24"/>
      <c r="W12" s="24"/>
      <c r="X12" s="24"/>
      <c r="Y12" s="24"/>
      <c r="Z12" s="24"/>
    </row>
    <row r="13" spans="3:26" ht="15">
      <c r="C13" s="28" t="s">
        <v>19</v>
      </c>
      <c r="D13" s="29"/>
      <c r="E13" s="29"/>
      <c r="F13" s="29"/>
      <c r="G13" s="29"/>
      <c r="H13" s="29"/>
      <c r="I13" s="29"/>
      <c r="J13" s="30"/>
      <c r="K13" s="30"/>
      <c r="L13" s="30"/>
      <c r="M13" s="30"/>
      <c r="N13" s="30"/>
      <c r="O13" s="30"/>
      <c r="P13" s="30"/>
      <c r="Q13" s="30"/>
      <c r="R13" s="30"/>
      <c r="S13" s="30"/>
      <c r="T13" s="30"/>
      <c r="U13" s="30"/>
      <c r="V13" s="30"/>
      <c r="W13" s="30"/>
      <c r="X13" s="30"/>
      <c r="Y13" s="30"/>
      <c r="Z13" s="30"/>
    </row>
    <row r="14" spans="3:26" s="2" customFormat="1" ht="15">
      <c r="C14" s="31" t="s">
        <v>20</v>
      </c>
      <c r="D14" s="32">
        <f>MIN('CEC Data'!K21:K383)</f>
        <v>180</v>
      </c>
      <c r="E14" s="32">
        <v>355</v>
      </c>
      <c r="F14" s="33">
        <f>ROUND($D$29/(D14),2)</f>
        <v>1.19</v>
      </c>
      <c r="G14" s="33">
        <v>0</v>
      </c>
      <c r="H14" s="31" t="str">
        <f>C14</f>
        <v>180 to 355  kWh/year - All - Baseline (meets Fed. criteria till May 2013)</v>
      </c>
      <c r="I14" s="31"/>
      <c r="J14" s="30"/>
      <c r="K14" s="31" t="s">
        <v>21</v>
      </c>
      <c r="L14" s="30"/>
      <c r="M14" s="30"/>
      <c r="N14" s="30"/>
      <c r="O14" s="30"/>
      <c r="P14" s="30"/>
      <c r="Q14" s="30"/>
      <c r="R14" s="30"/>
      <c r="S14" s="30"/>
      <c r="T14" s="30"/>
      <c r="U14" s="30"/>
      <c r="V14" s="30"/>
      <c r="W14" s="30"/>
      <c r="X14" s="30"/>
      <c r="Y14" s="30"/>
      <c r="Z14" s="30"/>
    </row>
    <row r="15" spans="3:26" s="2" customFormat="1" ht="15">
      <c r="C15" s="31" t="s">
        <v>22</v>
      </c>
      <c r="D15" s="32">
        <f>D14</f>
        <v>180</v>
      </c>
      <c r="E15" s="32">
        <v>295</v>
      </c>
      <c r="F15" s="33">
        <f>ROUND($D$29/(D15),2)</f>
        <v>1.19</v>
      </c>
      <c r="G15" s="33">
        <v>0</v>
      </c>
      <c r="H15" s="31" t="str">
        <f>C15</f>
        <v>180 to 295  kWh/year - Energy Star as of January 20, 2012</v>
      </c>
      <c r="I15" s="31"/>
      <c r="J15" s="30"/>
      <c r="K15" s="31"/>
      <c r="L15" s="30"/>
      <c r="M15" s="30"/>
      <c r="N15" s="30"/>
      <c r="O15" s="30"/>
      <c r="P15" s="30"/>
      <c r="Q15" s="30"/>
      <c r="R15" s="30"/>
      <c r="S15" s="30"/>
      <c r="T15" s="30"/>
      <c r="U15" s="30"/>
      <c r="V15" s="30"/>
      <c r="W15" s="30"/>
      <c r="X15" s="30"/>
      <c r="Y15" s="30"/>
      <c r="Z15" s="30"/>
    </row>
    <row r="16" spans="3:26" s="2" customFormat="1" ht="15">
      <c r="C16" s="31" t="s">
        <v>23</v>
      </c>
      <c r="D16" s="32">
        <f>D14</f>
        <v>180</v>
      </c>
      <c r="E16" s="32">
        <v>295</v>
      </c>
      <c r="F16" s="33">
        <f>ROUND($D$29/(D16),2)</f>
        <v>1.19</v>
      </c>
      <c r="G16" s="33">
        <v>0.75</v>
      </c>
      <c r="H16" s="31" t="str">
        <f>C16</f>
        <v>180 to 295  kWh/year - CEE Tier 1 as of January 20, 2012;  min EF= 0.75</v>
      </c>
      <c r="I16" s="31"/>
      <c r="J16" s="30"/>
      <c r="K16" s="31" t="s">
        <v>24</v>
      </c>
      <c r="L16" s="30"/>
      <c r="M16" s="30"/>
      <c r="N16" s="30"/>
      <c r="O16" s="30"/>
      <c r="P16" s="30"/>
      <c r="Q16" s="30"/>
      <c r="R16" s="30"/>
      <c r="S16" s="30"/>
      <c r="T16" s="30"/>
      <c r="U16" s="30"/>
      <c r="V16" s="30"/>
      <c r="W16" s="30"/>
      <c r="X16" s="30"/>
      <c r="Y16" s="30"/>
      <c r="Z16" s="30"/>
    </row>
    <row r="17" spans="3:27" s="2" customFormat="1" ht="15">
      <c r="C17" s="30"/>
      <c r="D17" s="26" t="s">
        <v>14</v>
      </c>
      <c r="E17" s="26" t="s">
        <v>15</v>
      </c>
      <c r="F17" s="26" t="s">
        <v>16</v>
      </c>
      <c r="G17" s="26" t="s">
        <v>17</v>
      </c>
      <c r="H17" s="26" t="s">
        <v>18</v>
      </c>
      <c r="I17" s="30"/>
      <c r="J17" s="30"/>
      <c r="K17" s="30"/>
      <c r="L17" s="27"/>
      <c r="M17" s="30"/>
      <c r="N17" s="30"/>
      <c r="O17" s="30"/>
      <c r="P17" s="30"/>
      <c r="Q17" s="30"/>
      <c r="R17" s="30"/>
      <c r="S17" s="30"/>
      <c r="T17" s="30"/>
      <c r="U17" s="30"/>
      <c r="V17" s="30"/>
      <c r="W17" s="30"/>
      <c r="X17" s="30"/>
      <c r="Y17" s="30"/>
      <c r="Z17" s="30"/>
      <c r="AA17" s="30"/>
    </row>
    <row r="18" spans="3:27" ht="15">
      <c r="C18" s="28" t="s">
        <v>25</v>
      </c>
      <c r="D18" s="29"/>
      <c r="E18" s="29"/>
      <c r="F18" s="29"/>
      <c r="G18" s="29"/>
      <c r="H18" s="29"/>
      <c r="I18" s="29"/>
      <c r="J18" s="30"/>
      <c r="K18" s="30"/>
      <c r="L18" s="30"/>
      <c r="M18" s="30"/>
      <c r="N18" s="30"/>
      <c r="O18" s="30"/>
      <c r="P18" s="30"/>
      <c r="Q18" s="30"/>
      <c r="R18" s="30"/>
      <c r="S18" s="30"/>
      <c r="T18" s="30"/>
      <c r="U18" s="30"/>
      <c r="V18" s="30"/>
      <c r="W18" s="30"/>
      <c r="X18" s="30"/>
      <c r="Y18" s="30"/>
      <c r="Z18" s="30"/>
      <c r="AA18" s="30"/>
    </row>
    <row r="19" spans="3:27" s="2" customFormat="1" ht="15">
      <c r="C19" s="31" t="s">
        <v>26</v>
      </c>
      <c r="D19" s="32">
        <v>180</v>
      </c>
      <c r="E19" s="32">
        <v>355</v>
      </c>
      <c r="F19" s="33">
        <f>D23+$D$24</f>
        <v>0.87853994490357945</v>
      </c>
      <c r="G19" s="33">
        <f>D23-D24</f>
        <v>0.67853994490357949</v>
      </c>
      <c r="H19" s="31" t="str">
        <f>C19</f>
        <v xml:space="preserve">180 to 355  kWh/year - All - Baseline (meets Fed. criteria for January 2010). </v>
      </c>
      <c r="I19" s="30"/>
      <c r="J19" s="30"/>
      <c r="K19" s="30"/>
      <c r="L19" s="33"/>
      <c r="M19" s="30"/>
      <c r="N19" s="30"/>
      <c r="O19" s="30"/>
      <c r="P19" s="30"/>
      <c r="Q19" s="30"/>
      <c r="R19" s="30"/>
      <c r="S19" s="30"/>
      <c r="T19" s="30"/>
      <c r="U19" s="30"/>
      <c r="V19" s="30"/>
      <c r="W19" s="30"/>
      <c r="X19" s="30"/>
      <c r="Y19" s="30"/>
      <c r="Z19" s="30"/>
      <c r="AA19" s="30"/>
    </row>
    <row r="20" spans="3:27" s="2" customFormat="1" ht="15">
      <c r="C20" s="35" t="s">
        <v>27</v>
      </c>
      <c r="D20" s="32">
        <v>180</v>
      </c>
      <c r="E20" s="32">
        <v>307</v>
      </c>
      <c r="F20" s="33">
        <f>D23+$D$24</f>
        <v>0.87853994490357945</v>
      </c>
      <c r="G20" s="33">
        <f>D23-D24</f>
        <v>0.67853994490357949</v>
      </c>
      <c r="H20" s="31" t="str">
        <f>C20</f>
        <v>180 to 307 kWh/year- All- Baseline (effective May 2013)</v>
      </c>
      <c r="I20" s="30"/>
      <c r="J20" s="30"/>
      <c r="K20" s="30"/>
      <c r="L20" s="33"/>
      <c r="M20" s="30"/>
      <c r="N20" s="30"/>
      <c r="O20" s="30"/>
      <c r="P20" s="30"/>
      <c r="Q20" s="30"/>
      <c r="R20" s="30"/>
      <c r="S20" s="30"/>
      <c r="T20" s="30"/>
      <c r="U20" s="30"/>
      <c r="V20" s="30"/>
      <c r="W20" s="30"/>
      <c r="X20" s="30"/>
      <c r="Y20" s="30"/>
      <c r="Z20" s="30"/>
      <c r="AA20" s="30"/>
    </row>
    <row r="21" spans="3:27" s="2" customFormat="1" ht="15">
      <c r="C21" s="30"/>
      <c r="D21" s="32"/>
      <c r="E21" s="32"/>
      <c r="F21" s="33"/>
      <c r="G21" s="33"/>
      <c r="H21" s="31"/>
      <c r="I21" s="30"/>
      <c r="J21" s="30"/>
      <c r="K21" s="30"/>
      <c r="L21" s="33"/>
      <c r="M21" s="30"/>
      <c r="N21" s="30"/>
      <c r="O21" s="30"/>
      <c r="P21" s="30"/>
      <c r="Q21" s="30"/>
      <c r="R21" s="30"/>
      <c r="S21" s="30"/>
      <c r="T21" s="30"/>
      <c r="U21" s="30"/>
      <c r="V21" s="30"/>
      <c r="W21" s="30"/>
      <c r="X21" s="30"/>
      <c r="Y21" s="30"/>
      <c r="Z21" s="30"/>
      <c r="AA21" s="30"/>
    </row>
    <row r="22" spans="3:27" s="2" customFormat="1" ht="15">
      <c r="C22" s="36" t="s">
        <v>28</v>
      </c>
      <c r="D22" s="37" t="s">
        <v>29</v>
      </c>
      <c r="E22" s="37" t="s">
        <v>30</v>
      </c>
      <c r="F22" s="33"/>
      <c r="G22" s="33"/>
      <c r="H22" s="30"/>
      <c r="I22" s="30"/>
      <c r="J22" s="30"/>
      <c r="K22" s="30"/>
      <c r="L22" s="33"/>
      <c r="M22" s="30"/>
      <c r="N22" s="30"/>
      <c r="O22" s="30"/>
      <c r="P22" s="30"/>
      <c r="Q22" s="30"/>
      <c r="R22" s="30"/>
      <c r="S22" s="30"/>
      <c r="T22" s="30"/>
      <c r="U22" s="30"/>
      <c r="V22" s="30"/>
      <c r="W22" s="30"/>
      <c r="X22" s="30"/>
      <c r="Y22" s="30"/>
      <c r="Z22" s="30"/>
      <c r="AA22" s="30"/>
    </row>
    <row r="23" spans="3:27" s="2" customFormat="1" ht="22.5" customHeight="1">
      <c r="C23" s="38" t="s">
        <v>31</v>
      </c>
      <c r="D23" s="39">
        <f>'CEC Data'!R13</f>
        <v>0.77853994490357947</v>
      </c>
      <c r="E23" s="40" t="s">
        <v>32</v>
      </c>
      <c r="F23" s="33"/>
      <c r="G23" s="33"/>
      <c r="H23" s="30"/>
      <c r="I23" s="30"/>
      <c r="J23" s="30"/>
      <c r="K23" s="30"/>
      <c r="L23" s="33"/>
      <c r="M23" s="30"/>
      <c r="N23" s="30"/>
      <c r="O23" s="30"/>
      <c r="P23" s="30"/>
      <c r="Q23" s="30"/>
      <c r="R23" s="30"/>
      <c r="S23" s="30"/>
      <c r="T23" s="30"/>
      <c r="U23" s="30"/>
      <c r="V23" s="30"/>
      <c r="W23" s="30"/>
      <c r="X23" s="30"/>
      <c r="Y23" s="30"/>
      <c r="Z23" s="30"/>
      <c r="AA23" s="30"/>
    </row>
    <row r="24" spans="3:27" s="2" customFormat="1" ht="24.75" customHeight="1">
      <c r="C24" s="41" t="s">
        <v>33</v>
      </c>
      <c r="D24" s="42">
        <v>0.1</v>
      </c>
      <c r="E24" s="43" t="s">
        <v>34</v>
      </c>
    </row>
    <row r="25" spans="3:27" s="2" customFormat="1" ht="15" customHeight="1">
      <c r="C25" s="44" t="s">
        <v>35</v>
      </c>
      <c r="D25" s="42">
        <f>2.64*52</f>
        <v>137.28</v>
      </c>
      <c r="E25" s="45" t="s">
        <v>924</v>
      </c>
      <c r="F25" s="46"/>
      <c r="G25" s="47"/>
      <c r="H25" s="1"/>
      <c r="I25" s="1"/>
      <c r="J25" s="1"/>
      <c r="K25" s="1"/>
      <c r="L25" s="1"/>
      <c r="M25" s="1"/>
      <c r="N25" s="1"/>
      <c r="O25" s="1"/>
      <c r="P25" s="1"/>
    </row>
    <row r="26" spans="3:27" s="2" customFormat="1" ht="15">
      <c r="C26" s="30"/>
      <c r="D26" s="48"/>
      <c r="E26" s="31"/>
      <c r="F26" s="30"/>
      <c r="G26" s="30"/>
      <c r="H26" s="49"/>
      <c r="I26" s="30"/>
      <c r="J26" s="30"/>
      <c r="K26" s="30"/>
      <c r="L26" s="30"/>
      <c r="M26" s="30"/>
      <c r="N26" s="30"/>
      <c r="O26" s="30"/>
      <c r="P26" s="30"/>
      <c r="Q26" s="30"/>
      <c r="R26" s="30"/>
      <c r="S26" s="30"/>
      <c r="T26" s="30"/>
      <c r="U26" s="30"/>
      <c r="V26" s="30"/>
      <c r="W26" s="30"/>
      <c r="X26" s="30"/>
      <c r="Y26" s="30"/>
      <c r="Z26" s="50"/>
      <c r="AA26" s="51"/>
    </row>
    <row r="27" spans="3:27" s="2" customFormat="1" ht="15">
      <c r="C27" s="52" t="s">
        <v>36</v>
      </c>
      <c r="D27" s="24"/>
      <c r="E27" s="24"/>
      <c r="F27" s="24"/>
      <c r="G27" s="24"/>
      <c r="H27" s="24"/>
      <c r="I27" s="24"/>
      <c r="J27" s="24"/>
      <c r="K27" s="24"/>
      <c r="L27" s="24"/>
      <c r="M27" s="24"/>
      <c r="N27" s="24"/>
      <c r="O27" s="24"/>
      <c r="P27" s="24"/>
      <c r="Q27" s="24"/>
      <c r="R27" s="24"/>
      <c r="S27" s="24"/>
      <c r="T27" s="24"/>
      <c r="U27" s="24"/>
      <c r="V27" s="24"/>
      <c r="W27" s="24"/>
      <c r="X27" s="24"/>
      <c r="Y27" s="24"/>
      <c r="Z27" s="24"/>
      <c r="AA27" s="24"/>
    </row>
    <row r="28" spans="3:27" s="2" customFormat="1" ht="15">
      <c r="C28" s="52"/>
      <c r="D28" s="52" t="s">
        <v>37</v>
      </c>
      <c r="E28" s="24"/>
      <c r="F28" s="24"/>
      <c r="G28" s="24"/>
      <c r="H28" s="24"/>
      <c r="I28" s="24"/>
      <c r="J28" s="24"/>
      <c r="K28" s="24"/>
      <c r="L28" s="24"/>
      <c r="M28" s="24"/>
      <c r="N28" s="24"/>
      <c r="O28" s="24"/>
      <c r="P28" s="24"/>
      <c r="Q28" s="24"/>
      <c r="R28" s="24"/>
      <c r="S28" s="24"/>
      <c r="T28" s="24"/>
      <c r="U28" s="24"/>
      <c r="V28" s="24"/>
      <c r="W28" s="24"/>
      <c r="X28" s="24"/>
      <c r="Y28" s="24"/>
      <c r="Z28" s="24"/>
      <c r="AA28" s="24"/>
    </row>
    <row r="29" spans="3:27" s="2" customFormat="1" ht="15">
      <c r="C29" s="52"/>
      <c r="D29" s="24">
        <v>215</v>
      </c>
      <c r="E29" s="53" t="s">
        <v>38</v>
      </c>
      <c r="F29" s="24"/>
      <c r="G29" s="24"/>
      <c r="H29" s="24"/>
      <c r="I29" s="24"/>
      <c r="J29" s="24"/>
      <c r="K29" s="24"/>
      <c r="L29" s="24"/>
      <c r="M29" s="24"/>
      <c r="N29" s="24"/>
      <c r="O29" s="24"/>
      <c r="P29" s="24"/>
      <c r="Q29" s="24"/>
      <c r="R29" s="24"/>
      <c r="S29" s="24"/>
      <c r="T29" s="24"/>
      <c r="U29" s="24"/>
      <c r="V29" s="24"/>
      <c r="W29" s="24"/>
      <c r="X29" s="24"/>
      <c r="Y29" s="24"/>
      <c r="Z29" s="24"/>
      <c r="AA29" s="24"/>
    </row>
    <row r="30" spans="3:27" s="2" customFormat="1" ht="15">
      <c r="C30" s="30"/>
      <c r="D30" s="27" t="s">
        <v>39</v>
      </c>
      <c r="E30" s="30"/>
      <c r="F30" s="30"/>
      <c r="G30" s="30"/>
      <c r="H30" s="30"/>
      <c r="I30" s="30"/>
      <c r="J30" s="30"/>
      <c r="K30" s="30"/>
      <c r="L30" s="30"/>
      <c r="M30" s="30"/>
      <c r="N30" s="30"/>
      <c r="O30" s="30"/>
      <c r="P30" s="30"/>
      <c r="Q30" s="30"/>
      <c r="R30" s="30"/>
      <c r="S30" s="30"/>
      <c r="T30" s="30"/>
      <c r="U30" s="30"/>
      <c r="V30" s="30"/>
      <c r="W30" s="30"/>
      <c r="X30" s="30"/>
      <c r="Y30" s="30"/>
      <c r="Z30" s="50"/>
      <c r="AA30" s="51"/>
    </row>
    <row r="31" spans="3:27" s="2" customFormat="1" ht="15">
      <c r="C31" s="30"/>
      <c r="D31" s="31">
        <v>15.4</v>
      </c>
      <c r="E31" s="31" t="s">
        <v>40</v>
      </c>
      <c r="F31" s="30"/>
      <c r="G31" s="30"/>
      <c r="H31" s="30"/>
      <c r="I31" s="30"/>
      <c r="J31" s="30"/>
      <c r="K31" s="30"/>
      <c r="L31" s="30"/>
      <c r="M31" s="30"/>
      <c r="N31" s="30"/>
      <c r="O31" s="30"/>
      <c r="P31" s="30"/>
      <c r="Q31" s="30"/>
      <c r="R31" s="30"/>
      <c r="S31" s="30"/>
      <c r="T31" s="30"/>
      <c r="U31" s="30"/>
      <c r="V31" s="30"/>
      <c r="W31" s="30"/>
      <c r="X31" s="30"/>
      <c r="Y31" s="30"/>
      <c r="Z31" s="50"/>
      <c r="AA31" s="51"/>
    </row>
    <row r="32" spans="3:27" s="2" customFormat="1" ht="15">
      <c r="C32" s="30"/>
      <c r="D32" s="54" t="s">
        <v>41</v>
      </c>
      <c r="E32" s="55"/>
      <c r="F32" s="55"/>
      <c r="G32" s="30"/>
      <c r="H32" s="30"/>
      <c r="I32" s="30"/>
      <c r="J32" s="30"/>
      <c r="K32" s="30"/>
      <c r="L32" s="30"/>
      <c r="M32" s="30"/>
      <c r="N32" s="30"/>
      <c r="O32" s="30"/>
      <c r="P32" s="30"/>
      <c r="Q32" s="30"/>
      <c r="R32" s="30"/>
      <c r="S32" s="30"/>
      <c r="T32" s="30"/>
      <c r="U32" s="30"/>
      <c r="V32" s="30"/>
      <c r="W32" s="30"/>
      <c r="X32" s="30"/>
      <c r="Y32" s="30"/>
      <c r="Z32" s="50"/>
      <c r="AA32" s="51"/>
    </row>
    <row r="33" spans="4:25" s="2" customFormat="1" ht="15">
      <c r="D33" s="56">
        <v>10.029999999999999</v>
      </c>
      <c r="E33" s="57" t="s">
        <v>42</v>
      </c>
      <c r="F33" s="57" t="s">
        <v>43</v>
      </c>
      <c r="G33" s="30"/>
      <c r="H33" s="30"/>
      <c r="I33" s="30"/>
      <c r="J33" s="30"/>
      <c r="K33" s="30"/>
      <c r="L33" s="30"/>
      <c r="M33" s="30"/>
      <c r="N33" s="30"/>
      <c r="O33" s="30"/>
      <c r="P33" s="30"/>
      <c r="Q33" s="30"/>
      <c r="R33" s="30"/>
      <c r="S33" s="30"/>
      <c r="T33" s="30"/>
      <c r="U33" s="30"/>
      <c r="V33" s="30"/>
      <c r="W33" s="30"/>
      <c r="X33" s="30"/>
      <c r="Y33" s="30"/>
    </row>
    <row r="34" spans="4:25" s="2" customFormat="1" ht="15">
      <c r="D34" s="48">
        <v>5.29</v>
      </c>
      <c r="E34" s="57" t="s">
        <v>44</v>
      </c>
      <c r="F34" s="57" t="s">
        <v>43</v>
      </c>
      <c r="G34" s="30"/>
      <c r="H34" s="30"/>
      <c r="I34" s="30"/>
      <c r="J34" s="30"/>
      <c r="K34" s="30"/>
      <c r="L34" s="30"/>
      <c r="M34" s="30"/>
      <c r="N34" s="30"/>
      <c r="O34" s="30"/>
      <c r="P34" s="30"/>
      <c r="Q34" s="30"/>
      <c r="R34" s="30"/>
      <c r="S34" s="30"/>
      <c r="T34" s="30"/>
      <c r="U34" s="30"/>
      <c r="V34" s="30"/>
      <c r="W34" s="30"/>
      <c r="X34" s="30"/>
      <c r="Y34" s="30"/>
    </row>
    <row r="35" spans="4:25" s="2" customFormat="1" ht="15">
      <c r="D35" s="56">
        <v>0.15</v>
      </c>
      <c r="E35" s="57" t="s">
        <v>45</v>
      </c>
      <c r="F35" s="57" t="s">
        <v>46</v>
      </c>
      <c r="G35" s="30"/>
      <c r="H35" s="30"/>
      <c r="I35" s="30"/>
      <c r="J35" s="30"/>
      <c r="K35" s="30"/>
      <c r="L35" s="30"/>
      <c r="M35" s="30"/>
      <c r="N35" s="30"/>
      <c r="O35" s="30"/>
      <c r="P35" s="30"/>
      <c r="Q35" s="30"/>
      <c r="R35" s="30"/>
      <c r="S35" s="30"/>
      <c r="T35" s="30"/>
      <c r="U35" s="30"/>
      <c r="V35" s="30"/>
      <c r="W35" s="30"/>
      <c r="X35" s="30"/>
      <c r="Y35" s="30"/>
    </row>
    <row r="36" spans="4:25" s="2" customFormat="1" ht="15">
      <c r="D36" s="56">
        <v>9.2364999999999995</v>
      </c>
      <c r="E36" s="57" t="s">
        <v>42</v>
      </c>
      <c r="F36" s="57" t="s">
        <v>47</v>
      </c>
      <c r="G36" s="30"/>
      <c r="H36" s="30"/>
      <c r="I36" s="30"/>
      <c r="J36" s="30"/>
      <c r="K36" s="30"/>
      <c r="L36" s="30"/>
      <c r="M36" s="30"/>
      <c r="N36" s="30"/>
      <c r="O36" s="30"/>
      <c r="P36" s="30"/>
      <c r="Q36" s="30"/>
      <c r="R36" s="30"/>
      <c r="S36" s="30"/>
      <c r="T36" s="30"/>
      <c r="U36" s="30"/>
      <c r="V36" s="30"/>
      <c r="W36" s="30"/>
      <c r="X36" s="30"/>
      <c r="Y36" s="30"/>
    </row>
    <row r="37" spans="4:25" s="2" customFormat="1" ht="15">
      <c r="D37" s="58">
        <v>9.2364999999999999E-3</v>
      </c>
      <c r="E37" s="57" t="s">
        <v>48</v>
      </c>
      <c r="F37" s="57" t="s">
        <v>49</v>
      </c>
      <c r="G37" s="30"/>
      <c r="H37" s="30"/>
      <c r="I37" s="30"/>
      <c r="J37" s="30"/>
      <c r="K37" s="30"/>
      <c r="L37" s="30"/>
      <c r="M37" s="30"/>
      <c r="N37" s="30"/>
      <c r="O37" s="30"/>
      <c r="P37" s="30"/>
      <c r="Q37" s="30"/>
      <c r="R37" s="30"/>
      <c r="S37" s="30"/>
      <c r="T37" s="30"/>
      <c r="U37" s="30"/>
      <c r="V37" s="30"/>
      <c r="W37" s="30"/>
      <c r="X37" s="30"/>
      <c r="Y37" s="30"/>
    </row>
    <row r="39" spans="4:25" ht="15">
      <c r="D39" s="59" t="s">
        <v>50</v>
      </c>
      <c r="E39" s="60"/>
      <c r="F39" s="60"/>
      <c r="G39" s="60"/>
      <c r="H39" s="60"/>
      <c r="I39" s="60"/>
      <c r="J39" s="30"/>
      <c r="K39" s="30"/>
      <c r="L39" s="30"/>
      <c r="M39" s="30"/>
      <c r="N39" s="30"/>
      <c r="O39" s="30"/>
      <c r="P39" s="30"/>
      <c r="Q39" s="30"/>
      <c r="R39" s="30"/>
      <c r="S39" s="30"/>
      <c r="T39" s="30"/>
      <c r="U39" s="30"/>
      <c r="V39" s="30"/>
      <c r="W39" s="30"/>
      <c r="X39" s="30"/>
      <c r="Y39" s="30"/>
    </row>
    <row r="40" spans="4:25" ht="15">
      <c r="D40" s="61" t="s">
        <v>1094</v>
      </c>
      <c r="E40" s="62">
        <v>1.038</v>
      </c>
      <c r="F40" s="53" t="s">
        <v>1095</v>
      </c>
      <c r="G40" s="60"/>
      <c r="H40" s="60"/>
      <c r="I40" s="60"/>
      <c r="J40" s="30"/>
      <c r="K40" s="30"/>
      <c r="L40" s="30"/>
      <c r="M40" s="30"/>
      <c r="N40" s="30"/>
      <c r="O40" s="30"/>
      <c r="P40" s="30"/>
      <c r="Q40" s="30"/>
      <c r="R40" s="30"/>
      <c r="S40" s="30"/>
      <c r="T40" s="30"/>
      <c r="U40" s="30"/>
      <c r="V40" s="30"/>
      <c r="W40" s="30"/>
      <c r="X40" s="30"/>
      <c r="Y40" s="30"/>
    </row>
    <row r="42" spans="4:25" ht="15">
      <c r="D42" s="63" t="s">
        <v>925</v>
      </c>
      <c r="E42" s="64"/>
      <c r="F42" s="60"/>
      <c r="G42" s="60"/>
      <c r="H42" s="60"/>
      <c r="I42" s="60"/>
      <c r="J42" s="30"/>
      <c r="K42" s="30"/>
      <c r="L42" s="681" t="s">
        <v>51</v>
      </c>
      <c r="M42" s="682"/>
      <c r="N42" s="682"/>
      <c r="O42" s="682"/>
      <c r="P42" s="682"/>
      <c r="Q42" s="683"/>
      <c r="R42" s="30"/>
      <c r="S42" s="30"/>
      <c r="T42" s="30"/>
      <c r="U42" s="30"/>
      <c r="V42" s="30"/>
      <c r="W42" s="30"/>
      <c r="X42" s="30"/>
      <c r="Y42" s="30"/>
    </row>
    <row r="43" spans="4:25" ht="15">
      <c r="D43" s="65">
        <f>[2]SATS!$F$47</f>
        <v>0.88900000000000001</v>
      </c>
      <c r="E43" s="66" t="s">
        <v>933</v>
      </c>
      <c r="F43" s="60"/>
      <c r="G43" s="60"/>
      <c r="H43" s="60"/>
      <c r="I43" s="60"/>
      <c r="J43" s="30"/>
      <c r="K43" s="30"/>
      <c r="L43" s="684"/>
      <c r="M43" s="685"/>
      <c r="N43" s="685"/>
      <c r="O43" s="685"/>
      <c r="P43" s="685"/>
      <c r="Q43" s="686"/>
      <c r="R43" s="30"/>
      <c r="S43" s="30"/>
      <c r="T43" s="30"/>
      <c r="U43" s="30"/>
      <c r="V43" s="30"/>
      <c r="W43" s="30"/>
      <c r="X43" s="30"/>
      <c r="Y43" s="30"/>
    </row>
    <row r="44" spans="4:25" ht="15">
      <c r="D44" s="65">
        <f>1-D43</f>
        <v>0.11099999999999999</v>
      </c>
      <c r="E44" s="66" t="s">
        <v>934</v>
      </c>
      <c r="F44" s="60"/>
      <c r="G44" s="60"/>
      <c r="H44" s="60"/>
      <c r="I44" s="60"/>
      <c r="J44" s="30"/>
      <c r="K44" s="30"/>
      <c r="L44" s="684"/>
      <c r="M44" s="685"/>
      <c r="N44" s="685"/>
      <c r="O44" s="685"/>
      <c r="P44" s="685"/>
      <c r="Q44" s="686"/>
      <c r="R44" s="30"/>
      <c r="S44" s="30"/>
      <c r="T44" s="30"/>
      <c r="U44" s="30"/>
      <c r="V44" s="30"/>
      <c r="W44" s="30"/>
      <c r="X44" s="30"/>
      <c r="Y44" s="30"/>
    </row>
    <row r="45" spans="4:25" ht="15">
      <c r="D45" s="67"/>
      <c r="E45" s="67"/>
      <c r="F45" s="60"/>
      <c r="G45" s="60"/>
      <c r="H45" s="60"/>
      <c r="I45" s="60"/>
      <c r="J45" s="30"/>
      <c r="K45" s="30"/>
      <c r="L45" s="687"/>
      <c r="M45" s="688"/>
      <c r="N45" s="688"/>
      <c r="O45" s="688"/>
      <c r="P45" s="688"/>
      <c r="Q45" s="689"/>
      <c r="R45" s="30"/>
      <c r="S45" s="30"/>
      <c r="T45" s="30"/>
      <c r="U45" s="30"/>
      <c r="V45" s="30"/>
      <c r="W45" s="30"/>
      <c r="X45" s="30"/>
      <c r="Y45" s="30"/>
    </row>
    <row r="46" spans="4:25" ht="15">
      <c r="D46" s="68"/>
      <c r="E46" s="67"/>
      <c r="F46" s="67"/>
      <c r="G46" s="60"/>
      <c r="H46" s="60"/>
      <c r="I46" s="60"/>
      <c r="J46" s="30"/>
      <c r="K46" s="30"/>
      <c r="L46" s="30"/>
      <c r="M46" s="30"/>
      <c r="N46" s="30"/>
      <c r="O46" s="30"/>
      <c r="P46" s="30"/>
      <c r="Q46" s="30"/>
      <c r="R46" s="30"/>
      <c r="S46" s="30"/>
      <c r="T46" s="69"/>
      <c r="U46" s="69"/>
      <c r="V46" s="69"/>
      <c r="W46" s="69"/>
      <c r="X46" s="69"/>
      <c r="Y46" s="69"/>
    </row>
    <row r="47" spans="4:25" ht="15">
      <c r="D47" s="70" t="s">
        <v>52</v>
      </c>
      <c r="E47" s="70"/>
      <c r="F47" s="70"/>
      <c r="G47" s="60"/>
      <c r="H47" s="60"/>
      <c r="I47" s="60"/>
      <c r="J47" s="30"/>
      <c r="K47" s="30"/>
      <c r="L47" s="30"/>
      <c r="M47" s="30"/>
      <c r="N47" s="30"/>
      <c r="O47" s="30"/>
      <c r="P47" s="30"/>
      <c r="Q47" s="30"/>
      <c r="R47" s="30"/>
      <c r="S47" s="30"/>
      <c r="T47" s="69"/>
      <c r="U47" s="69"/>
      <c r="V47" s="69"/>
      <c r="W47" s="69"/>
      <c r="X47" s="69"/>
      <c r="Y47" s="69"/>
    </row>
    <row r="48" spans="4:25" ht="15">
      <c r="D48" s="71">
        <v>1</v>
      </c>
      <c r="E48" s="72" t="s">
        <v>53</v>
      </c>
      <c r="F48" s="72"/>
      <c r="G48" s="60"/>
      <c r="H48" s="60"/>
      <c r="I48" s="60"/>
      <c r="J48" s="30"/>
      <c r="K48" s="30"/>
      <c r="L48" s="30"/>
      <c r="M48" s="30"/>
      <c r="N48" s="30"/>
      <c r="O48" s="30"/>
      <c r="P48" s="30"/>
      <c r="Q48" s="30"/>
      <c r="R48" s="30"/>
      <c r="S48" s="30"/>
      <c r="T48" s="69"/>
      <c r="U48" s="69"/>
      <c r="V48" s="69"/>
      <c r="W48" s="69"/>
      <c r="X48" s="69"/>
      <c r="Y48" s="69"/>
    </row>
    <row r="49" spans="3:25" ht="15">
      <c r="C49" s="60"/>
      <c r="D49" s="71">
        <v>0.75</v>
      </c>
      <c r="E49" s="72" t="s">
        <v>54</v>
      </c>
      <c r="F49" s="72"/>
      <c r="G49" s="60"/>
      <c r="H49" s="60"/>
      <c r="I49" s="60"/>
      <c r="J49" s="30"/>
      <c r="K49" s="30"/>
      <c r="L49" s="30"/>
      <c r="M49" s="30"/>
      <c r="N49" s="30"/>
      <c r="O49" s="30"/>
      <c r="P49" s="30"/>
      <c r="Q49" s="30"/>
      <c r="R49" s="30"/>
      <c r="S49" s="30"/>
      <c r="T49" s="69"/>
      <c r="U49" s="69"/>
      <c r="V49" s="69"/>
      <c r="W49" s="69"/>
      <c r="X49" s="69"/>
      <c r="Y49" s="69"/>
    </row>
    <row r="50" spans="3:25" ht="15">
      <c r="C50" s="60"/>
      <c r="D50" s="71">
        <v>0.81</v>
      </c>
      <c r="E50" s="72" t="s">
        <v>55</v>
      </c>
      <c r="F50" s="72"/>
      <c r="G50" s="60"/>
      <c r="H50" s="60"/>
      <c r="I50" s="60"/>
      <c r="J50" s="30"/>
      <c r="K50" s="30"/>
      <c r="L50" s="30"/>
      <c r="M50" s="30"/>
      <c r="N50" s="30"/>
      <c r="O50" s="30"/>
      <c r="P50" s="30"/>
      <c r="Q50" s="30"/>
      <c r="R50" s="30"/>
      <c r="S50" s="30"/>
      <c r="T50" s="30"/>
      <c r="U50" s="30"/>
      <c r="V50" s="30"/>
      <c r="W50" s="30"/>
      <c r="X50" s="30"/>
      <c r="Y50" s="30"/>
    </row>
    <row r="51" spans="3:25" ht="15">
      <c r="C51" s="60"/>
      <c r="D51" s="73">
        <v>70</v>
      </c>
      <c r="E51" s="72" t="s">
        <v>56</v>
      </c>
      <c r="F51" s="72"/>
      <c r="G51" s="60"/>
      <c r="H51" s="60"/>
      <c r="I51" s="60"/>
      <c r="J51" s="30"/>
      <c r="K51" s="30"/>
      <c r="L51" s="30"/>
      <c r="M51" s="30"/>
      <c r="N51" s="30"/>
      <c r="O51" s="30"/>
      <c r="P51" s="30"/>
      <c r="Q51" s="30"/>
      <c r="R51" s="30"/>
      <c r="S51" s="30"/>
      <c r="T51" s="30"/>
      <c r="U51" s="30"/>
      <c r="V51" s="30"/>
      <c r="W51" s="30"/>
      <c r="X51" s="30"/>
      <c r="Y51" s="30"/>
    </row>
    <row r="52" spans="3:25" ht="15">
      <c r="C52" s="60"/>
      <c r="D52" s="73">
        <v>2.3999999999999998E-3</v>
      </c>
      <c r="E52" s="72" t="s">
        <v>57</v>
      </c>
      <c r="F52" s="72"/>
      <c r="G52" s="60"/>
      <c r="H52" s="60"/>
      <c r="I52" s="60"/>
      <c r="J52" s="30"/>
      <c r="K52" s="30"/>
      <c r="L52" s="30"/>
      <c r="M52" s="30"/>
      <c r="N52" s="30"/>
      <c r="O52" s="30"/>
      <c r="P52" s="30"/>
      <c r="Q52" s="30"/>
      <c r="R52" s="30"/>
      <c r="S52" s="30"/>
      <c r="T52" s="30"/>
      <c r="U52" s="30"/>
      <c r="V52" s="30"/>
      <c r="W52" s="30"/>
      <c r="X52" s="30"/>
      <c r="Y52" s="30"/>
    </row>
    <row r="53" spans="3:25" ht="15">
      <c r="C53" s="60"/>
      <c r="D53" s="73">
        <v>8.1999999999999993</v>
      </c>
      <c r="E53" s="72" t="s">
        <v>58</v>
      </c>
      <c r="F53" s="72"/>
      <c r="G53" s="60"/>
      <c r="H53" s="60"/>
      <c r="I53" s="60"/>
      <c r="J53" s="30"/>
      <c r="K53" s="30"/>
      <c r="L53" s="30"/>
      <c r="M53" s="30"/>
      <c r="N53" s="30"/>
      <c r="O53" s="30"/>
      <c r="P53" s="30"/>
      <c r="Q53" s="30"/>
      <c r="R53" s="30"/>
      <c r="S53" s="30"/>
      <c r="T53" s="30"/>
      <c r="U53" s="30"/>
      <c r="V53" s="30"/>
      <c r="W53" s="30"/>
      <c r="X53" s="30"/>
      <c r="Y53" s="30"/>
    </row>
    <row r="54" spans="3:25" ht="15">
      <c r="C54" s="60"/>
      <c r="D54" s="53">
        <v>3.4129560000000003E-2</v>
      </c>
      <c r="E54" s="53" t="s">
        <v>59</v>
      </c>
      <c r="F54" s="60"/>
      <c r="G54" s="60"/>
      <c r="H54" s="60"/>
      <c r="I54" s="60"/>
      <c r="J54" s="30"/>
      <c r="K54" s="30"/>
      <c r="L54" s="30"/>
      <c r="M54" s="30"/>
      <c r="N54" s="30"/>
      <c r="O54" s="30"/>
      <c r="P54" s="30"/>
      <c r="Q54" s="30"/>
      <c r="R54" s="30"/>
      <c r="S54" s="30"/>
      <c r="T54" s="30"/>
      <c r="U54" s="30"/>
      <c r="V54" s="30"/>
      <c r="W54" s="30"/>
      <c r="X54" s="30"/>
      <c r="Y54" s="30"/>
    </row>
    <row r="55" spans="3:25" ht="15">
      <c r="C55" s="60"/>
      <c r="D55" s="59" t="s">
        <v>60</v>
      </c>
      <c r="E55" s="60"/>
      <c r="F55" s="60"/>
      <c r="G55" s="60"/>
      <c r="H55" s="60"/>
      <c r="I55" s="60"/>
      <c r="J55" s="30"/>
      <c r="K55" s="30"/>
      <c r="L55" s="30"/>
      <c r="M55" s="30"/>
      <c r="N55" s="30"/>
      <c r="O55" s="30"/>
      <c r="P55" s="30"/>
      <c r="Q55" s="30"/>
      <c r="R55" s="30"/>
      <c r="S55" s="30"/>
      <c r="T55" s="30"/>
      <c r="U55" s="30"/>
      <c r="V55" s="30"/>
      <c r="W55" s="30"/>
      <c r="X55" s="30"/>
      <c r="Y55" s="30"/>
    </row>
    <row r="56" spans="3:25" ht="15">
      <c r="C56" s="60"/>
      <c r="D56" s="74">
        <v>37893</v>
      </c>
      <c r="E56" s="53" t="s">
        <v>61</v>
      </c>
      <c r="F56" s="60"/>
      <c r="G56" s="60"/>
      <c r="H56" s="60"/>
      <c r="I56" s="60"/>
      <c r="J56" s="30"/>
      <c r="K56" s="30"/>
      <c r="L56" s="30"/>
      <c r="M56" s="30"/>
      <c r="N56" s="30"/>
      <c r="O56" s="30"/>
      <c r="P56" s="30"/>
      <c r="Q56" s="30"/>
      <c r="R56" s="30"/>
      <c r="S56" s="30"/>
      <c r="T56" s="30"/>
      <c r="U56" s="30"/>
      <c r="V56" s="30"/>
      <c r="W56" s="30"/>
      <c r="X56" s="30"/>
      <c r="Y56" s="30"/>
    </row>
    <row r="57" spans="3:25" ht="15">
      <c r="C57" s="60"/>
      <c r="D57" s="60"/>
      <c r="E57" s="53" t="s">
        <v>62</v>
      </c>
      <c r="F57" s="60"/>
      <c r="G57" s="60"/>
      <c r="H57" s="60"/>
      <c r="I57" s="60"/>
      <c r="J57" s="30"/>
      <c r="K57" s="30"/>
      <c r="L57" s="30"/>
      <c r="M57" s="30"/>
      <c r="N57" s="30"/>
      <c r="O57" s="30"/>
      <c r="P57" s="30"/>
      <c r="Q57" s="30"/>
      <c r="R57" s="30"/>
      <c r="S57" s="30"/>
      <c r="T57" s="30"/>
      <c r="U57" s="30"/>
      <c r="V57" s="30"/>
      <c r="W57" s="30"/>
      <c r="X57" s="30"/>
      <c r="Y57" s="30"/>
    </row>
    <row r="58" spans="3:25" ht="15">
      <c r="C58" s="60"/>
      <c r="D58" s="59" t="s">
        <v>63</v>
      </c>
      <c r="E58" s="60"/>
      <c r="F58" s="60"/>
      <c r="G58" s="60"/>
      <c r="H58" s="60"/>
      <c r="I58" s="60"/>
      <c r="J58" s="30"/>
      <c r="K58" s="30"/>
      <c r="L58" s="30"/>
      <c r="M58" s="30"/>
      <c r="N58" s="30"/>
      <c r="O58" s="30"/>
      <c r="P58" s="30"/>
      <c r="Q58" s="30"/>
      <c r="R58" s="30"/>
      <c r="S58" s="30"/>
      <c r="T58" s="30"/>
      <c r="U58" s="30"/>
      <c r="V58" s="30"/>
      <c r="W58" s="30"/>
      <c r="X58" s="30"/>
      <c r="Y58" s="30"/>
    </row>
    <row r="59" spans="3:25" ht="15">
      <c r="C59" s="60"/>
      <c r="D59" s="75">
        <v>0.68</v>
      </c>
      <c r="E59" s="76" t="s">
        <v>64</v>
      </c>
      <c r="F59" s="60"/>
      <c r="G59" s="60"/>
      <c r="H59" s="60"/>
      <c r="I59" s="60"/>
      <c r="J59" s="30"/>
      <c r="K59" s="30"/>
      <c r="L59" s="30"/>
      <c r="M59" s="30"/>
      <c r="N59" s="30"/>
      <c r="O59" s="30"/>
      <c r="P59" s="30"/>
      <c r="Q59" s="30"/>
      <c r="R59" s="30"/>
      <c r="S59" s="30"/>
      <c r="T59" s="30"/>
      <c r="U59" s="30"/>
      <c r="V59" s="30"/>
      <c r="W59" s="30"/>
      <c r="X59" s="30"/>
      <c r="Y59" s="30"/>
    </row>
    <row r="60" spans="3:25" ht="15">
      <c r="C60" s="60"/>
      <c r="D60" s="75">
        <v>0.70066666666666322</v>
      </c>
      <c r="E60" s="76" t="s">
        <v>65</v>
      </c>
      <c r="F60" s="60"/>
      <c r="G60" s="60"/>
      <c r="H60" s="60"/>
      <c r="I60" s="60"/>
      <c r="J60" s="30"/>
      <c r="K60" s="30"/>
      <c r="L60" s="30"/>
      <c r="M60" s="30"/>
      <c r="N60" s="30"/>
      <c r="O60" s="30"/>
      <c r="P60" s="30"/>
      <c r="Q60" s="30"/>
      <c r="R60" s="30"/>
      <c r="S60" s="30"/>
      <c r="T60" s="30"/>
      <c r="U60" s="30"/>
      <c r="V60" s="30"/>
      <c r="W60" s="30"/>
      <c r="X60" s="30"/>
      <c r="Y60" s="30"/>
    </row>
    <row r="62" spans="3:25" ht="15">
      <c r="C62" s="77" t="s">
        <v>66</v>
      </c>
      <c r="D62" s="78"/>
      <c r="E62" s="78"/>
      <c r="F62" s="78"/>
      <c r="G62" s="78"/>
      <c r="H62" s="78"/>
      <c r="I62" s="60"/>
      <c r="J62" s="30"/>
      <c r="K62" s="30"/>
      <c r="L62" s="30"/>
      <c r="M62" s="30"/>
      <c r="N62" s="30"/>
      <c r="O62" s="30"/>
      <c r="P62" s="30"/>
      <c r="Q62" s="30"/>
      <c r="R62" s="30"/>
      <c r="S62" s="30"/>
      <c r="T62" s="30"/>
      <c r="U62" s="30"/>
      <c r="V62" s="30"/>
      <c r="W62" s="30"/>
      <c r="X62" s="30"/>
      <c r="Y62" s="30"/>
    </row>
    <row r="63" spans="3:25" ht="15">
      <c r="C63" s="79" t="s">
        <v>67</v>
      </c>
      <c r="D63" s="80"/>
      <c r="E63" s="60"/>
      <c r="F63" s="60"/>
      <c r="G63" s="60"/>
      <c r="H63" s="60"/>
      <c r="I63" s="60"/>
      <c r="J63" s="30"/>
      <c r="K63" s="30"/>
      <c r="L63" s="30"/>
      <c r="M63" s="30"/>
      <c r="N63" s="30"/>
      <c r="O63" s="30"/>
      <c r="P63" s="30"/>
      <c r="Q63" s="30"/>
      <c r="R63" s="30"/>
      <c r="S63" s="30"/>
      <c r="T63" s="30"/>
      <c r="U63" s="30"/>
      <c r="V63" s="30"/>
      <c r="W63" s="30"/>
      <c r="X63" s="30"/>
      <c r="Y63" s="30"/>
    </row>
    <row r="64" spans="3:25" ht="15">
      <c r="C64" s="81" t="s">
        <v>68</v>
      </c>
      <c r="D64" s="82">
        <v>0.93</v>
      </c>
      <c r="E64" s="60"/>
      <c r="F64" s="60"/>
      <c r="G64" s="60"/>
      <c r="H64" s="60"/>
      <c r="I64" s="60"/>
      <c r="J64" s="30"/>
      <c r="K64" s="30"/>
      <c r="L64" s="30"/>
      <c r="M64" s="30"/>
      <c r="N64" s="30"/>
      <c r="O64" s="30"/>
      <c r="P64" s="30"/>
      <c r="Q64" s="30"/>
      <c r="R64" s="30"/>
      <c r="S64" s="30"/>
      <c r="T64" s="30"/>
      <c r="U64" s="30"/>
      <c r="V64" s="30"/>
      <c r="W64" s="30"/>
      <c r="X64" s="30"/>
      <c r="Y64" s="30"/>
    </row>
    <row r="65" spans="3:26" ht="15">
      <c r="C65" s="81" t="s">
        <v>69</v>
      </c>
      <c r="D65" s="82">
        <v>0.94</v>
      </c>
      <c r="E65" s="60"/>
      <c r="F65" s="60"/>
      <c r="G65" s="60"/>
      <c r="H65" s="60"/>
      <c r="I65" s="60"/>
      <c r="J65" s="30"/>
      <c r="K65" s="30"/>
      <c r="L65" s="30"/>
      <c r="M65" s="30"/>
      <c r="N65" s="30"/>
      <c r="O65" s="30"/>
      <c r="P65" s="30"/>
      <c r="Q65" s="30"/>
      <c r="R65" s="30"/>
      <c r="S65" s="30"/>
      <c r="T65" s="30"/>
      <c r="U65" s="30"/>
      <c r="V65" s="30"/>
      <c r="W65" s="30"/>
      <c r="X65" s="30"/>
      <c r="Y65" s="30"/>
    </row>
    <row r="66" spans="3:26" ht="15">
      <c r="C66" s="81" t="s">
        <v>70</v>
      </c>
      <c r="D66" s="82">
        <v>0.95199999999999996</v>
      </c>
      <c r="E66" s="60"/>
      <c r="F66" s="60"/>
      <c r="G66" s="60"/>
      <c r="H66" s="60"/>
      <c r="I66" s="60"/>
      <c r="J66" s="30"/>
      <c r="K66" s="30"/>
      <c r="L66" s="30"/>
      <c r="M66" s="30"/>
      <c r="N66" s="30"/>
      <c r="O66" s="30"/>
      <c r="P66" s="30"/>
      <c r="Q66" s="30"/>
      <c r="R66" s="30"/>
      <c r="S66" s="30"/>
      <c r="T66" s="30"/>
      <c r="U66" s="30"/>
      <c r="V66" s="30"/>
      <c r="W66" s="30"/>
      <c r="X66" s="30"/>
      <c r="Y66" s="30"/>
    </row>
    <row r="67" spans="3:26" ht="15">
      <c r="C67" s="81" t="s">
        <v>71</v>
      </c>
      <c r="D67" s="82">
        <v>0.9741192004278646</v>
      </c>
      <c r="E67" s="60"/>
      <c r="F67" s="60"/>
      <c r="G67" s="60"/>
      <c r="H67" s="60"/>
      <c r="I67" s="60"/>
      <c r="J67" s="30"/>
      <c r="K67" s="30"/>
      <c r="L67" s="30"/>
      <c r="M67" s="30"/>
      <c r="N67" s="30"/>
      <c r="O67" s="30"/>
      <c r="P67" s="30"/>
      <c r="Q67" s="30"/>
      <c r="R67" s="30"/>
      <c r="S67" s="30"/>
      <c r="T67" s="30"/>
      <c r="U67" s="30"/>
      <c r="V67" s="30"/>
      <c r="W67" s="30"/>
      <c r="X67" s="30"/>
      <c r="Y67" s="30"/>
      <c r="Z67" s="30"/>
    </row>
    <row r="68" spans="3:26" ht="15">
      <c r="C68" s="81" t="s">
        <v>72</v>
      </c>
      <c r="D68" s="82">
        <v>1.0315663716814159</v>
      </c>
      <c r="E68" s="60"/>
      <c r="F68" s="60"/>
      <c r="G68" s="60"/>
      <c r="H68" s="60"/>
      <c r="I68" s="60"/>
      <c r="J68" s="30"/>
      <c r="K68" s="30"/>
      <c r="L68" s="30"/>
      <c r="M68" s="30"/>
      <c r="N68" s="30"/>
      <c r="O68" s="30"/>
      <c r="P68" s="30"/>
      <c r="Q68" s="30"/>
      <c r="R68" s="30"/>
      <c r="S68" s="30"/>
      <c r="T68" s="30"/>
      <c r="U68" s="30"/>
      <c r="V68" s="30"/>
      <c r="W68" s="30"/>
      <c r="X68" s="30"/>
      <c r="Y68" s="30"/>
      <c r="Z68" s="30"/>
    </row>
    <row r="69" spans="3:26" ht="15">
      <c r="C69" s="81" t="s">
        <v>73</v>
      </c>
      <c r="D69" s="82">
        <v>1.0649083700279549</v>
      </c>
      <c r="E69" s="60"/>
      <c r="F69" s="60"/>
      <c r="G69" s="60"/>
      <c r="H69" s="60"/>
      <c r="I69" s="60"/>
      <c r="J69" s="30"/>
      <c r="K69" s="30"/>
      <c r="L69" s="30"/>
      <c r="M69" s="30"/>
      <c r="N69" s="30"/>
      <c r="O69" s="30"/>
      <c r="P69" s="30"/>
      <c r="Q69" s="30"/>
      <c r="R69" s="30"/>
      <c r="S69" s="30"/>
      <c r="T69" s="30"/>
      <c r="U69" s="30"/>
      <c r="V69" s="30"/>
      <c r="W69" s="30"/>
      <c r="X69" s="30"/>
      <c r="Y69" s="30"/>
      <c r="Z69" s="30"/>
    </row>
    <row r="73" spans="3:26" ht="15">
      <c r="C73" s="83" t="s">
        <v>74</v>
      </c>
      <c r="D73" s="84"/>
      <c r="E73" s="60"/>
      <c r="F73" s="60"/>
      <c r="G73" s="60"/>
      <c r="H73" s="60"/>
      <c r="I73" s="60"/>
      <c r="J73" s="30"/>
      <c r="K73" s="30"/>
      <c r="L73" s="30"/>
      <c r="M73" s="30"/>
      <c r="N73" s="30"/>
      <c r="O73" s="30"/>
      <c r="P73" s="30"/>
      <c r="Q73" s="30"/>
      <c r="R73" s="30"/>
      <c r="S73" s="30"/>
      <c r="T73" s="30"/>
      <c r="U73" s="30"/>
      <c r="V73" s="30"/>
      <c r="W73" s="30"/>
      <c r="X73" s="30"/>
      <c r="Y73" s="30"/>
      <c r="Z73" s="30"/>
    </row>
    <row r="74" spans="3:26" ht="15">
      <c r="C74" s="85" t="s">
        <v>75</v>
      </c>
      <c r="D74" s="85" t="s">
        <v>76</v>
      </c>
      <c r="E74" s="60"/>
      <c r="F74" s="60"/>
      <c r="G74" s="60"/>
      <c r="H74" s="60"/>
      <c r="I74" s="60"/>
      <c r="J74" s="30"/>
      <c r="K74" s="30"/>
      <c r="L74" s="30"/>
      <c r="M74" s="30"/>
      <c r="N74" s="30"/>
      <c r="O74" s="30"/>
      <c r="P74" s="30"/>
      <c r="Q74" s="30"/>
      <c r="R74" s="30"/>
      <c r="S74" s="30"/>
      <c r="T74" s="30"/>
      <c r="U74" s="30"/>
      <c r="V74" s="30"/>
      <c r="W74" s="30"/>
      <c r="X74" s="30"/>
      <c r="Y74" s="30"/>
      <c r="Z74" s="30"/>
    </row>
    <row r="75" spans="3:26" ht="15">
      <c r="C75" s="86">
        <v>1</v>
      </c>
      <c r="D75" s="86" t="s">
        <v>77</v>
      </c>
      <c r="E75" s="60"/>
      <c r="F75" s="60"/>
      <c r="G75" s="60"/>
      <c r="H75" s="60"/>
      <c r="I75" s="60"/>
      <c r="J75" s="30"/>
      <c r="K75" s="30"/>
      <c r="L75" s="681" t="s">
        <v>78</v>
      </c>
      <c r="M75" s="682"/>
      <c r="N75" s="682"/>
      <c r="O75" s="682"/>
      <c r="P75" s="682"/>
      <c r="Q75" s="683"/>
      <c r="R75" s="30"/>
      <c r="S75" s="30"/>
      <c r="T75" s="30"/>
      <c r="U75" s="30"/>
      <c r="V75" s="30"/>
      <c r="W75" s="30"/>
      <c r="X75" s="30"/>
      <c r="Y75" s="30"/>
      <c r="Z75" s="30"/>
    </row>
    <row r="76" spans="3:26" ht="15">
      <c r="C76" s="86">
        <v>2</v>
      </c>
      <c r="D76" s="86" t="s">
        <v>79</v>
      </c>
      <c r="E76" s="60"/>
      <c r="F76" s="60"/>
      <c r="G76" s="60"/>
      <c r="H76" s="60"/>
      <c r="I76" s="60"/>
      <c r="J76" s="30"/>
      <c r="K76" s="30"/>
      <c r="L76" s="684"/>
      <c r="M76" s="685"/>
      <c r="N76" s="685"/>
      <c r="O76" s="685"/>
      <c r="P76" s="685"/>
      <c r="Q76" s="686"/>
      <c r="R76" s="30"/>
      <c r="S76" s="30"/>
      <c r="T76" s="30"/>
      <c r="U76" s="30"/>
      <c r="V76" s="30"/>
      <c r="W76" s="30"/>
      <c r="X76" s="30"/>
      <c r="Y76" s="30"/>
      <c r="Z76" s="30"/>
    </row>
    <row r="77" spans="3:26" ht="15">
      <c r="C77" s="86">
        <v>3</v>
      </c>
      <c r="D77" s="86" t="s">
        <v>80</v>
      </c>
      <c r="E77" s="60"/>
      <c r="F77" s="60"/>
      <c r="G77" s="60"/>
      <c r="H77" s="60"/>
      <c r="I77" s="60"/>
      <c r="J77" s="30"/>
      <c r="K77" s="30"/>
      <c r="L77" s="684"/>
      <c r="M77" s="685"/>
      <c r="N77" s="685"/>
      <c r="O77" s="685"/>
      <c r="P77" s="685"/>
      <c r="Q77" s="686"/>
      <c r="R77" s="30"/>
      <c r="S77" s="30"/>
      <c r="T77" s="30"/>
      <c r="U77" s="30"/>
      <c r="V77" s="30"/>
      <c r="W77" s="30"/>
      <c r="X77" s="30"/>
      <c r="Y77" s="30"/>
      <c r="Z77" s="30"/>
    </row>
    <row r="78" spans="3:26" ht="15">
      <c r="C78" s="86">
        <v>4</v>
      </c>
      <c r="D78" s="86" t="s">
        <v>81</v>
      </c>
      <c r="E78" s="60"/>
      <c r="F78" s="60"/>
      <c r="G78" s="60"/>
      <c r="H78" s="60"/>
      <c r="I78" s="60"/>
      <c r="J78" s="30"/>
      <c r="K78" s="30"/>
      <c r="L78" s="684"/>
      <c r="M78" s="685"/>
      <c r="N78" s="685"/>
      <c r="O78" s="685"/>
      <c r="P78" s="685"/>
      <c r="Q78" s="686"/>
      <c r="R78" s="30"/>
      <c r="S78" s="30"/>
      <c r="T78" s="30"/>
      <c r="U78" s="30"/>
      <c r="V78" s="30"/>
      <c r="W78" s="30"/>
      <c r="X78" s="30"/>
      <c r="Y78" s="30"/>
      <c r="Z78" s="30"/>
    </row>
    <row r="79" spans="3:26" ht="15">
      <c r="C79" s="86">
        <v>5</v>
      </c>
      <c r="D79" s="86" t="s">
        <v>82</v>
      </c>
      <c r="E79" s="60"/>
      <c r="F79" s="60"/>
      <c r="G79" s="60"/>
      <c r="H79" s="60"/>
      <c r="I79" s="60"/>
      <c r="J79" s="30"/>
      <c r="K79" s="30"/>
      <c r="L79" s="687"/>
      <c r="M79" s="688"/>
      <c r="N79" s="688"/>
      <c r="O79" s="688"/>
      <c r="P79" s="688"/>
      <c r="Q79" s="689"/>
      <c r="R79" s="30"/>
      <c r="S79" s="30"/>
      <c r="T79" s="30"/>
      <c r="U79" s="30"/>
      <c r="V79" s="30"/>
      <c r="W79" s="30"/>
      <c r="X79" s="30"/>
      <c r="Y79" s="30"/>
      <c r="Z79" s="30"/>
    </row>
    <row r="80" spans="3:26" ht="15">
      <c r="C80" s="86">
        <v>6</v>
      </c>
      <c r="D80" s="86" t="s">
        <v>83</v>
      </c>
      <c r="E80" s="60"/>
      <c r="F80" s="60"/>
      <c r="G80" s="60"/>
      <c r="H80" s="60"/>
      <c r="I80" s="60"/>
      <c r="J80" s="30"/>
      <c r="K80" s="30"/>
      <c r="L80" s="30"/>
      <c r="M80" s="30"/>
      <c r="N80" s="30"/>
      <c r="O80" s="30"/>
      <c r="P80" s="30"/>
      <c r="Q80" s="30"/>
      <c r="R80" s="30"/>
      <c r="S80" s="30"/>
      <c r="T80" s="87"/>
      <c r="U80" s="87"/>
      <c r="V80" s="87"/>
      <c r="W80" s="87"/>
      <c r="X80" s="87"/>
      <c r="Y80" s="87"/>
      <c r="Z80" s="87"/>
    </row>
    <row r="81" spans="3:26" ht="15">
      <c r="C81" s="86">
        <v>7</v>
      </c>
      <c r="D81" s="86" t="s">
        <v>84</v>
      </c>
      <c r="E81" s="60"/>
      <c r="F81" s="60"/>
      <c r="G81" s="60"/>
      <c r="H81" s="60"/>
      <c r="I81" s="60"/>
      <c r="J81" s="30"/>
      <c r="K81" s="30"/>
      <c r="L81" s="30"/>
      <c r="M81" s="30"/>
      <c r="N81" s="30"/>
      <c r="O81" s="30"/>
      <c r="P81" s="30"/>
      <c r="Q81" s="30"/>
      <c r="R81" s="30"/>
      <c r="S81" s="30"/>
      <c r="T81" s="87"/>
      <c r="U81" s="87"/>
      <c r="V81" s="87"/>
      <c r="W81" s="87"/>
      <c r="X81" s="87"/>
      <c r="Y81" s="87"/>
      <c r="Z81" s="87"/>
    </row>
    <row r="82" spans="3:26" ht="15">
      <c r="C82" s="86">
        <v>8</v>
      </c>
      <c r="D82" s="86" t="s">
        <v>85</v>
      </c>
      <c r="E82" s="60"/>
      <c r="F82" s="60"/>
      <c r="G82" s="60"/>
      <c r="H82" s="60"/>
      <c r="I82" s="60"/>
      <c r="J82" s="30"/>
      <c r="K82" s="30"/>
      <c r="L82" s="30"/>
      <c r="M82" s="30"/>
      <c r="N82" s="30"/>
      <c r="O82" s="30"/>
      <c r="P82" s="30"/>
      <c r="Q82" s="30"/>
      <c r="R82" s="30"/>
      <c r="S82" s="30"/>
      <c r="T82" s="87"/>
      <c r="U82" s="87"/>
      <c r="V82" s="87"/>
      <c r="W82" s="87"/>
      <c r="X82" s="87"/>
      <c r="Y82" s="87"/>
      <c r="Z82" s="87"/>
    </row>
    <row r="83" spans="3:26" ht="15">
      <c r="C83" s="86">
        <v>9</v>
      </c>
      <c r="D83" s="86" t="s">
        <v>86</v>
      </c>
      <c r="E83" s="60"/>
      <c r="F83" s="60"/>
      <c r="G83" s="60"/>
      <c r="H83" s="60"/>
      <c r="I83" s="60"/>
      <c r="J83" s="30"/>
      <c r="K83" s="30"/>
      <c r="L83" s="30"/>
      <c r="M83" s="30"/>
      <c r="N83" s="30"/>
      <c r="O83" s="30"/>
      <c r="P83" s="30"/>
      <c r="Q83" s="30"/>
      <c r="R83" s="30"/>
      <c r="S83" s="30"/>
      <c r="T83" s="87"/>
      <c r="U83" s="87"/>
      <c r="V83" s="87"/>
      <c r="W83" s="87"/>
      <c r="X83" s="87"/>
      <c r="Y83" s="87"/>
      <c r="Z83" s="87"/>
    </row>
    <row r="84" spans="3:26" ht="15">
      <c r="C84" s="86">
        <v>10</v>
      </c>
      <c r="D84" s="86" t="s">
        <v>87</v>
      </c>
      <c r="E84" s="60"/>
      <c r="F84" s="60"/>
      <c r="G84" s="60"/>
      <c r="H84" s="60"/>
      <c r="I84" s="60"/>
      <c r="J84" s="30"/>
      <c r="K84" s="30"/>
      <c r="L84" s="30"/>
      <c r="M84" s="30"/>
      <c r="N84" s="30"/>
      <c r="O84" s="30"/>
      <c r="P84" s="30"/>
      <c r="Q84" s="30"/>
      <c r="R84" s="30"/>
      <c r="S84" s="30"/>
      <c r="T84" s="87"/>
      <c r="U84" s="87"/>
      <c r="V84" s="87"/>
      <c r="W84" s="87"/>
      <c r="X84" s="87"/>
      <c r="Y84" s="87"/>
      <c r="Z84" s="87"/>
    </row>
    <row r="85" spans="3:26" ht="15">
      <c r="C85" s="86">
        <v>11</v>
      </c>
      <c r="D85" s="86" t="s">
        <v>88</v>
      </c>
      <c r="E85" s="60"/>
      <c r="F85" s="60"/>
      <c r="G85" s="60"/>
      <c r="H85" s="60"/>
      <c r="I85" s="60"/>
      <c r="J85" s="30"/>
      <c r="K85" s="30"/>
      <c r="L85" s="30"/>
      <c r="M85" s="30"/>
      <c r="N85" s="30"/>
      <c r="O85" s="30"/>
      <c r="P85" s="30"/>
      <c r="Q85" s="30"/>
      <c r="R85" s="30"/>
      <c r="S85" s="30"/>
      <c r="T85" s="30"/>
      <c r="U85" s="30"/>
      <c r="V85" s="30"/>
      <c r="W85" s="30"/>
      <c r="X85" s="30"/>
      <c r="Y85" s="30"/>
      <c r="Z85" s="30"/>
    </row>
    <row r="86" spans="3:26" ht="15">
      <c r="C86" s="86">
        <v>12</v>
      </c>
      <c r="D86" s="86" t="s">
        <v>89</v>
      </c>
      <c r="E86" s="60"/>
      <c r="F86" s="60"/>
      <c r="G86" s="60"/>
      <c r="H86" s="60"/>
      <c r="I86" s="60"/>
      <c r="J86" s="30"/>
      <c r="K86" s="30"/>
      <c r="L86" s="30"/>
      <c r="M86" s="30"/>
      <c r="N86" s="30"/>
      <c r="O86" s="30"/>
      <c r="P86" s="30"/>
      <c r="Q86" s="30"/>
      <c r="R86" s="30"/>
      <c r="S86" s="30"/>
      <c r="T86" s="30"/>
      <c r="U86" s="30"/>
      <c r="V86" s="30"/>
      <c r="W86" s="30"/>
      <c r="X86" s="30"/>
      <c r="Y86" s="30"/>
      <c r="Z86" s="30"/>
    </row>
    <row r="87" spans="3:26" ht="15">
      <c r="C87" s="86">
        <v>13</v>
      </c>
      <c r="D87" s="86" t="s">
        <v>90</v>
      </c>
      <c r="E87" s="60"/>
      <c r="F87" s="60"/>
      <c r="G87" s="60"/>
      <c r="H87" s="60"/>
      <c r="I87" s="60"/>
      <c r="J87" s="30"/>
      <c r="K87" s="30"/>
      <c r="L87" s="30"/>
      <c r="M87" s="30"/>
      <c r="N87" s="30"/>
      <c r="O87" s="30"/>
      <c r="P87" s="30"/>
      <c r="Q87" s="30"/>
      <c r="R87" s="30"/>
      <c r="S87" s="30"/>
      <c r="T87" s="30"/>
      <c r="U87" s="30"/>
      <c r="V87" s="30"/>
      <c r="W87" s="30"/>
      <c r="X87" s="30"/>
      <c r="Y87" s="30"/>
      <c r="Z87" s="30"/>
    </row>
    <row r="88" spans="3:26" ht="15">
      <c r="C88" s="86">
        <v>14</v>
      </c>
      <c r="D88" s="86" t="s">
        <v>91</v>
      </c>
      <c r="E88" s="60"/>
      <c r="F88" s="60"/>
      <c r="G88" s="60"/>
      <c r="H88" s="60"/>
      <c r="I88" s="60"/>
      <c r="J88" s="30"/>
      <c r="K88" s="30"/>
      <c r="L88" s="30"/>
      <c r="M88" s="30"/>
      <c r="N88" s="30"/>
      <c r="O88" s="30"/>
      <c r="P88" s="30"/>
      <c r="Q88" s="30"/>
      <c r="R88" s="30"/>
      <c r="S88" s="30"/>
      <c r="T88" s="30"/>
      <c r="U88" s="30"/>
      <c r="V88" s="30"/>
      <c r="W88" s="30"/>
      <c r="X88" s="30"/>
      <c r="Y88" s="30"/>
      <c r="Z88" s="30"/>
    </row>
    <row r="89" spans="3:26" ht="15">
      <c r="C89" s="86">
        <v>15</v>
      </c>
      <c r="D89" s="86" t="s">
        <v>92</v>
      </c>
      <c r="E89" s="60"/>
      <c r="F89" s="60"/>
      <c r="G89" s="60"/>
      <c r="H89" s="60"/>
      <c r="I89" s="60"/>
      <c r="J89" s="30"/>
      <c r="K89" s="30"/>
      <c r="L89" s="30"/>
      <c r="M89" s="30"/>
      <c r="N89" s="30"/>
      <c r="O89" s="30"/>
      <c r="P89" s="30"/>
      <c r="Q89" s="30"/>
      <c r="R89" s="30"/>
      <c r="S89" s="30"/>
      <c r="T89" s="30"/>
      <c r="U89" s="30"/>
      <c r="V89" s="30"/>
      <c r="W89" s="30"/>
      <c r="X89" s="30"/>
      <c r="Y89" s="30"/>
      <c r="Z89" s="30"/>
    </row>
    <row r="90" spans="3:26" ht="15">
      <c r="C90" s="86">
        <v>16</v>
      </c>
      <c r="D90" s="86" t="s">
        <v>93</v>
      </c>
      <c r="E90" s="60"/>
      <c r="F90" s="60"/>
      <c r="G90" s="60"/>
      <c r="H90" s="60"/>
      <c r="I90" s="60"/>
      <c r="J90" s="30"/>
      <c r="K90" s="30"/>
      <c r="L90" s="30"/>
      <c r="M90" s="30"/>
      <c r="N90" s="30"/>
      <c r="O90" s="30"/>
      <c r="P90" s="30"/>
      <c r="Q90" s="30"/>
      <c r="R90" s="30"/>
      <c r="S90" s="30"/>
      <c r="T90" s="30"/>
      <c r="U90" s="30"/>
      <c r="V90" s="30"/>
      <c r="W90" s="30"/>
      <c r="X90" s="30"/>
      <c r="Y90" s="30"/>
      <c r="Z90" s="30"/>
    </row>
    <row r="91" spans="3:26" ht="15">
      <c r="C91" s="86">
        <v>17</v>
      </c>
      <c r="D91" s="86" t="s">
        <v>94</v>
      </c>
      <c r="E91" s="60"/>
      <c r="F91" s="60"/>
      <c r="G91" s="60"/>
      <c r="H91" s="60"/>
      <c r="I91" s="60"/>
      <c r="J91" s="30"/>
      <c r="K91" s="30"/>
      <c r="L91" s="30"/>
      <c r="M91" s="30"/>
      <c r="N91" s="30"/>
      <c r="O91" s="30"/>
      <c r="P91" s="30"/>
      <c r="Q91" s="30"/>
      <c r="R91" s="30"/>
      <c r="S91" s="30"/>
      <c r="T91" s="30"/>
      <c r="U91" s="30"/>
      <c r="V91" s="30"/>
      <c r="W91" s="30"/>
      <c r="X91" s="30"/>
      <c r="Y91" s="30"/>
      <c r="Z91" s="30"/>
    </row>
    <row r="92" spans="3:26" ht="15">
      <c r="C92" s="86">
        <v>18</v>
      </c>
      <c r="D92" s="86" t="s">
        <v>95</v>
      </c>
      <c r="E92" s="60"/>
      <c r="F92" s="60"/>
      <c r="G92" s="60"/>
      <c r="H92" s="60"/>
      <c r="I92" s="60"/>
      <c r="J92" s="30"/>
      <c r="K92" s="30"/>
      <c r="L92" s="30"/>
      <c r="M92" s="30"/>
      <c r="N92" s="30"/>
      <c r="O92" s="30"/>
      <c r="P92" s="30"/>
      <c r="Q92" s="30"/>
      <c r="R92" s="30"/>
      <c r="S92" s="30"/>
      <c r="T92" s="30"/>
      <c r="U92" s="30"/>
      <c r="V92" s="30"/>
      <c r="W92" s="30"/>
      <c r="X92" s="30"/>
      <c r="Y92" s="30"/>
      <c r="Z92" s="30"/>
    </row>
    <row r="93" spans="3:26" ht="15">
      <c r="C93" s="86">
        <v>19</v>
      </c>
      <c r="D93" s="86" t="s">
        <v>96</v>
      </c>
      <c r="E93" s="60"/>
      <c r="F93" s="60"/>
      <c r="G93" s="60"/>
      <c r="H93" s="60"/>
      <c r="I93" s="60"/>
      <c r="J93" s="30"/>
      <c r="K93" s="30"/>
      <c r="L93" s="30"/>
      <c r="M93" s="30"/>
      <c r="N93" s="30"/>
      <c r="O93" s="30"/>
      <c r="P93" s="30"/>
      <c r="Q93" s="30"/>
      <c r="R93" s="30"/>
      <c r="S93" s="30"/>
      <c r="T93" s="30"/>
      <c r="U93" s="30"/>
      <c r="V93" s="30"/>
      <c r="W93" s="30"/>
      <c r="X93" s="30"/>
      <c r="Y93" s="30"/>
      <c r="Z93" s="30"/>
    </row>
    <row r="94" spans="3:26" ht="15">
      <c r="C94" s="86">
        <v>20</v>
      </c>
      <c r="D94" s="86" t="s">
        <v>97</v>
      </c>
      <c r="E94" s="60"/>
      <c r="F94" s="60"/>
      <c r="G94" s="60"/>
      <c r="H94" s="60"/>
      <c r="I94" s="60"/>
      <c r="J94" s="30"/>
      <c r="K94" s="30"/>
      <c r="L94" s="30"/>
      <c r="M94" s="30"/>
      <c r="N94" s="30"/>
      <c r="O94" s="30"/>
      <c r="P94" s="30"/>
      <c r="Q94" s="30"/>
      <c r="R94" s="30"/>
      <c r="S94" s="30"/>
      <c r="T94" s="30"/>
      <c r="U94" s="30"/>
      <c r="V94" s="30"/>
      <c r="W94" s="30"/>
      <c r="X94" s="30"/>
      <c r="Y94" s="30"/>
      <c r="Z94" s="30"/>
    </row>
    <row r="95" spans="3:26" ht="15">
      <c r="C95" s="86">
        <v>21</v>
      </c>
      <c r="D95" s="86" t="s">
        <v>98</v>
      </c>
      <c r="E95" s="60"/>
      <c r="F95" s="60"/>
      <c r="G95" s="60"/>
      <c r="H95" s="60"/>
      <c r="I95" s="60"/>
      <c r="J95" s="30"/>
      <c r="K95" s="30"/>
      <c r="L95" s="30"/>
      <c r="M95" s="30"/>
      <c r="N95" s="30"/>
      <c r="O95" s="30"/>
      <c r="P95" s="30"/>
      <c r="Q95" s="30"/>
      <c r="R95" s="30"/>
      <c r="S95" s="30"/>
      <c r="T95" s="30"/>
      <c r="U95" s="30"/>
      <c r="V95" s="30"/>
      <c r="W95" s="30"/>
      <c r="X95" s="30"/>
      <c r="Y95" s="30"/>
      <c r="Z95" s="30"/>
    </row>
    <row r="96" spans="3:26" ht="15">
      <c r="C96" s="86">
        <v>22</v>
      </c>
      <c r="D96" s="86" t="s">
        <v>99</v>
      </c>
      <c r="E96" s="60"/>
      <c r="F96" s="60"/>
      <c r="G96" s="60"/>
      <c r="H96" s="60"/>
      <c r="I96" s="60"/>
      <c r="J96" s="30"/>
      <c r="K96" s="30"/>
      <c r="L96" s="30"/>
      <c r="M96" s="30"/>
      <c r="N96" s="30"/>
      <c r="O96" s="30"/>
      <c r="P96" s="30"/>
      <c r="Q96" s="30"/>
      <c r="R96" s="30"/>
      <c r="S96" s="30"/>
      <c r="T96" s="30"/>
      <c r="U96" s="30"/>
      <c r="V96" s="30"/>
      <c r="W96" s="30"/>
      <c r="X96" s="30"/>
      <c r="Y96" s="30"/>
      <c r="Z96" s="30"/>
    </row>
    <row r="97" spans="3:26" ht="15">
      <c r="C97" s="86">
        <v>23</v>
      </c>
      <c r="D97" s="86" t="s">
        <v>100</v>
      </c>
      <c r="E97" s="60"/>
      <c r="F97" s="60"/>
      <c r="G97" s="60"/>
      <c r="H97" s="60"/>
      <c r="I97" s="60"/>
      <c r="J97" s="30"/>
      <c r="K97" s="30"/>
      <c r="L97" s="30"/>
      <c r="M97" s="30"/>
      <c r="N97" s="30"/>
      <c r="O97" s="30"/>
      <c r="P97" s="30"/>
      <c r="Q97" s="30"/>
      <c r="R97" s="30"/>
      <c r="S97" s="30"/>
      <c r="T97" s="30"/>
      <c r="U97" s="30"/>
      <c r="V97" s="30"/>
      <c r="W97" s="30"/>
      <c r="X97" s="30"/>
      <c r="Y97" s="30"/>
      <c r="Z97" s="30"/>
    </row>
    <row r="98" spans="3:26" ht="15">
      <c r="C98" s="86">
        <v>24</v>
      </c>
      <c r="D98" s="86" t="s">
        <v>101</v>
      </c>
      <c r="E98" s="60"/>
      <c r="F98" s="60"/>
      <c r="G98" s="60"/>
      <c r="H98" s="60"/>
      <c r="I98" s="60"/>
      <c r="J98" s="30"/>
      <c r="K98" s="30"/>
      <c r="L98" s="30"/>
      <c r="M98" s="30"/>
      <c r="N98" s="30"/>
      <c r="O98" s="30"/>
      <c r="P98" s="30"/>
      <c r="Q98" s="30"/>
      <c r="R98" s="30"/>
      <c r="S98" s="30"/>
      <c r="T98" s="30"/>
      <c r="U98" s="30"/>
      <c r="V98" s="30"/>
      <c r="W98" s="30"/>
      <c r="X98" s="30"/>
      <c r="Y98" s="30"/>
      <c r="Z98" s="30"/>
    </row>
    <row r="99" spans="3:26" ht="15">
      <c r="C99" s="86">
        <v>25</v>
      </c>
      <c r="D99" s="86" t="s">
        <v>102</v>
      </c>
    </row>
    <row r="100" spans="3:26" ht="15">
      <c r="C100" s="86">
        <v>26</v>
      </c>
      <c r="D100" s="86" t="s">
        <v>103</v>
      </c>
    </row>
    <row r="101" spans="3:26" ht="15">
      <c r="C101" s="86">
        <v>27</v>
      </c>
      <c r="D101" s="86" t="s">
        <v>104</v>
      </c>
    </row>
    <row r="102" spans="3:26" ht="15">
      <c r="C102" s="86">
        <v>28</v>
      </c>
      <c r="D102" s="86" t="s">
        <v>105</v>
      </c>
    </row>
    <row r="103" spans="3:26" ht="15">
      <c r="C103" s="86">
        <v>29</v>
      </c>
      <c r="D103" s="86" t="s">
        <v>106</v>
      </c>
    </row>
    <row r="104" spans="3:26" ht="15">
      <c r="C104" s="86">
        <v>30</v>
      </c>
      <c r="D104" s="86" t="s">
        <v>107</v>
      </c>
    </row>
    <row r="105" spans="3:26" ht="15">
      <c r="C105" s="86">
        <v>31</v>
      </c>
      <c r="D105" s="86" t="s">
        <v>108</v>
      </c>
    </row>
    <row r="106" spans="3:26" ht="15">
      <c r="C106" s="86">
        <v>32</v>
      </c>
      <c r="D106" s="86" t="s">
        <v>109</v>
      </c>
    </row>
    <row r="107" spans="3:26" ht="15">
      <c r="C107" s="86">
        <v>33</v>
      </c>
      <c r="D107" s="86" t="s">
        <v>110</v>
      </c>
    </row>
    <row r="108" spans="3:26" ht="15">
      <c r="C108" s="86">
        <v>34</v>
      </c>
      <c r="D108" s="86" t="s">
        <v>111</v>
      </c>
    </row>
    <row r="109" spans="3:26" ht="15">
      <c r="C109" s="86">
        <v>35</v>
      </c>
      <c r="D109" s="86" t="s">
        <v>112</v>
      </c>
    </row>
    <row r="110" spans="3:26" ht="15">
      <c r="C110" s="86">
        <v>36</v>
      </c>
      <c r="D110" s="86" t="s">
        <v>113</v>
      </c>
    </row>
    <row r="111" spans="3:26" ht="15">
      <c r="C111" s="86">
        <v>37</v>
      </c>
      <c r="D111" s="86" t="s">
        <v>114</v>
      </c>
    </row>
    <row r="112" spans="3:26" ht="15">
      <c r="C112" s="86">
        <v>38</v>
      </c>
      <c r="D112" s="86" t="s">
        <v>115</v>
      </c>
    </row>
    <row r="113" spans="3:4" ht="15">
      <c r="C113" s="86">
        <v>39</v>
      </c>
      <c r="D113" s="86" t="s">
        <v>116</v>
      </c>
    </row>
    <row r="114" spans="3:4" ht="15">
      <c r="C114" s="86">
        <v>40</v>
      </c>
      <c r="D114" s="86" t="s">
        <v>117</v>
      </c>
    </row>
    <row r="115" spans="3:4" ht="15">
      <c r="C115" s="86">
        <v>41</v>
      </c>
      <c r="D115" s="86" t="s">
        <v>118</v>
      </c>
    </row>
    <row r="116" spans="3:4" ht="15">
      <c r="C116" s="86">
        <v>42</v>
      </c>
      <c r="D116" s="86" t="s">
        <v>119</v>
      </c>
    </row>
    <row r="117" spans="3:4" ht="15">
      <c r="C117" s="86">
        <v>43</v>
      </c>
      <c r="D117" s="86" t="s">
        <v>120</v>
      </c>
    </row>
    <row r="118" spans="3:4" ht="15">
      <c r="C118" s="86">
        <v>44</v>
      </c>
      <c r="D118" s="86" t="s">
        <v>121</v>
      </c>
    </row>
    <row r="119" spans="3:4" ht="15">
      <c r="C119" s="86">
        <v>45</v>
      </c>
      <c r="D119" s="86" t="s">
        <v>122</v>
      </c>
    </row>
    <row r="120" spans="3:4" ht="15">
      <c r="C120" s="86">
        <v>46</v>
      </c>
      <c r="D120" s="86" t="s">
        <v>123</v>
      </c>
    </row>
    <row r="121" spans="3:4" ht="15">
      <c r="C121" s="86">
        <v>47</v>
      </c>
      <c r="D121" s="86" t="s">
        <v>124</v>
      </c>
    </row>
    <row r="122" spans="3:4" ht="15">
      <c r="C122" s="86">
        <v>48</v>
      </c>
      <c r="D122" s="86" t="s">
        <v>125</v>
      </c>
    </row>
    <row r="123" spans="3:4" ht="15">
      <c r="C123" s="86">
        <v>49</v>
      </c>
      <c r="D123" s="86" t="s">
        <v>126</v>
      </c>
    </row>
    <row r="124" spans="3:4" ht="15">
      <c r="C124" s="86">
        <v>50</v>
      </c>
      <c r="D124" s="86" t="s">
        <v>127</v>
      </c>
    </row>
    <row r="125" spans="3:4" ht="15">
      <c r="C125" s="86">
        <v>51</v>
      </c>
      <c r="D125" s="86" t="s">
        <v>128</v>
      </c>
    </row>
    <row r="126" spans="3:4" ht="15">
      <c r="C126" s="86">
        <v>52</v>
      </c>
      <c r="D126" s="86" t="s">
        <v>129</v>
      </c>
    </row>
    <row r="127" spans="3:4" ht="15">
      <c r="C127" s="86">
        <v>53</v>
      </c>
      <c r="D127" s="86" t="s">
        <v>130</v>
      </c>
    </row>
    <row r="128" spans="3:4" ht="15">
      <c r="C128" s="86">
        <v>54</v>
      </c>
      <c r="D128" s="86" t="s">
        <v>131</v>
      </c>
    </row>
    <row r="129" spans="3:4" ht="15">
      <c r="C129" s="86">
        <v>55</v>
      </c>
      <c r="D129" s="86" t="s">
        <v>132</v>
      </c>
    </row>
    <row r="130" spans="3:4" ht="15">
      <c r="C130" s="86">
        <v>56</v>
      </c>
      <c r="D130" s="86" t="s">
        <v>133</v>
      </c>
    </row>
    <row r="131" spans="3:4" ht="15">
      <c r="C131" s="86">
        <v>57</v>
      </c>
      <c r="D131" s="86" t="s">
        <v>134</v>
      </c>
    </row>
    <row r="132" spans="3:4" ht="15">
      <c r="C132" s="86">
        <v>58</v>
      </c>
      <c r="D132" s="86" t="s">
        <v>135</v>
      </c>
    </row>
    <row r="133" spans="3:4" ht="15">
      <c r="C133" s="86">
        <v>59</v>
      </c>
      <c r="D133" s="86" t="s">
        <v>136</v>
      </c>
    </row>
    <row r="134" spans="3:4" ht="15">
      <c r="C134" s="86">
        <v>60</v>
      </c>
      <c r="D134" s="86" t="s">
        <v>137</v>
      </c>
    </row>
    <row r="135" spans="3:4" ht="15">
      <c r="C135" s="86">
        <v>61</v>
      </c>
      <c r="D135" s="86" t="s">
        <v>138</v>
      </c>
    </row>
    <row r="136" spans="3:4" ht="15">
      <c r="C136" s="86">
        <v>62</v>
      </c>
      <c r="D136" s="86" t="s">
        <v>139</v>
      </c>
    </row>
    <row r="137" spans="3:4" ht="15">
      <c r="C137" s="86">
        <v>63</v>
      </c>
      <c r="D137" s="86" t="s">
        <v>140</v>
      </c>
    </row>
    <row r="138" spans="3:4" ht="15">
      <c r="C138" s="86">
        <v>64</v>
      </c>
      <c r="D138" s="86" t="s">
        <v>141</v>
      </c>
    </row>
    <row r="139" spans="3:4" ht="15">
      <c r="C139" s="86">
        <v>65</v>
      </c>
      <c r="D139" s="86" t="s">
        <v>142</v>
      </c>
    </row>
    <row r="140" spans="3:4" ht="15">
      <c r="C140" s="86">
        <v>66</v>
      </c>
      <c r="D140" s="86" t="s">
        <v>143</v>
      </c>
    </row>
    <row r="141" spans="3:4" ht="15">
      <c r="C141" s="86">
        <v>67</v>
      </c>
      <c r="D141" s="86" t="s">
        <v>144</v>
      </c>
    </row>
    <row r="142" spans="3:4" ht="15">
      <c r="C142" s="86">
        <v>68</v>
      </c>
      <c r="D142" s="86" t="s">
        <v>145</v>
      </c>
    </row>
    <row r="143" spans="3:4" ht="15">
      <c r="C143" s="86">
        <v>69</v>
      </c>
      <c r="D143" s="86" t="s">
        <v>146</v>
      </c>
    </row>
    <row r="144" spans="3:4" ht="15">
      <c r="C144" s="86">
        <v>70</v>
      </c>
      <c r="D144" s="86" t="s">
        <v>147</v>
      </c>
    </row>
    <row r="145" spans="3:4" ht="15">
      <c r="C145" s="86">
        <v>71</v>
      </c>
      <c r="D145" s="86" t="s">
        <v>148</v>
      </c>
    </row>
    <row r="146" spans="3:4" ht="15">
      <c r="C146" s="86">
        <v>72</v>
      </c>
      <c r="D146" s="86" t="s">
        <v>149</v>
      </c>
    </row>
    <row r="147" spans="3:4" ht="15">
      <c r="C147" s="86">
        <v>73</v>
      </c>
      <c r="D147" s="86" t="s">
        <v>150</v>
      </c>
    </row>
    <row r="148" spans="3:4" ht="15">
      <c r="C148" s="86">
        <v>74</v>
      </c>
      <c r="D148" s="86" t="s">
        <v>151</v>
      </c>
    </row>
    <row r="149" spans="3:4" ht="15">
      <c r="C149" s="86">
        <v>75</v>
      </c>
      <c r="D149" s="86" t="s">
        <v>152</v>
      </c>
    </row>
    <row r="150" spans="3:4" ht="15">
      <c r="C150" s="86">
        <v>76</v>
      </c>
      <c r="D150" s="86" t="s">
        <v>153</v>
      </c>
    </row>
    <row r="151" spans="3:4" ht="15">
      <c r="C151" s="86">
        <v>77</v>
      </c>
      <c r="D151" s="86" t="s">
        <v>154</v>
      </c>
    </row>
    <row r="152" spans="3:4" ht="15">
      <c r="C152" s="86">
        <v>78</v>
      </c>
      <c r="D152" s="86" t="s">
        <v>155</v>
      </c>
    </row>
    <row r="153" spans="3:4" ht="15">
      <c r="C153" s="86">
        <v>79</v>
      </c>
      <c r="D153" s="86" t="s">
        <v>156</v>
      </c>
    </row>
    <row r="154" spans="3:4" ht="15">
      <c r="C154" s="86">
        <v>80</v>
      </c>
      <c r="D154" s="86" t="s">
        <v>157</v>
      </c>
    </row>
    <row r="155" spans="3:4" ht="15">
      <c r="C155" s="86">
        <v>81</v>
      </c>
      <c r="D155" s="86" t="s">
        <v>158</v>
      </c>
    </row>
    <row r="156" spans="3:4" ht="15">
      <c r="C156" s="86">
        <v>82</v>
      </c>
      <c r="D156" s="86" t="s">
        <v>159</v>
      </c>
    </row>
    <row r="157" spans="3:4" ht="15">
      <c r="C157" s="86">
        <v>83</v>
      </c>
      <c r="D157" s="86" t="s">
        <v>160</v>
      </c>
    </row>
    <row r="158" spans="3:4" ht="15">
      <c r="C158" s="86">
        <v>84</v>
      </c>
      <c r="D158" s="86" t="s">
        <v>161</v>
      </c>
    </row>
    <row r="159" spans="3:4" ht="15">
      <c r="C159" s="86">
        <v>85</v>
      </c>
      <c r="D159" s="86" t="s">
        <v>162</v>
      </c>
    </row>
    <row r="160" spans="3:4" ht="15">
      <c r="C160" s="86">
        <v>86</v>
      </c>
      <c r="D160" s="86" t="s">
        <v>163</v>
      </c>
    </row>
    <row r="161" spans="3:4" ht="15">
      <c r="C161" s="86">
        <v>87</v>
      </c>
      <c r="D161" s="86" t="s">
        <v>164</v>
      </c>
    </row>
    <row r="162" spans="3:4" ht="15">
      <c r="C162" s="86">
        <v>88</v>
      </c>
      <c r="D162" s="86" t="s">
        <v>165</v>
      </c>
    </row>
    <row r="163" spans="3:4" ht="15">
      <c r="C163" s="86">
        <v>89</v>
      </c>
      <c r="D163" s="86" t="s">
        <v>166</v>
      </c>
    </row>
    <row r="164" spans="3:4" ht="15">
      <c r="C164" s="86">
        <v>90</v>
      </c>
      <c r="D164" s="86" t="s">
        <v>167</v>
      </c>
    </row>
    <row r="165" spans="3:4" ht="15">
      <c r="C165" s="86">
        <v>91</v>
      </c>
      <c r="D165" s="86" t="s">
        <v>168</v>
      </c>
    </row>
    <row r="166" spans="3:4" ht="15">
      <c r="C166" s="86">
        <v>92</v>
      </c>
      <c r="D166" s="86" t="s">
        <v>169</v>
      </c>
    </row>
    <row r="167" spans="3:4" ht="15">
      <c r="C167" s="86">
        <v>93</v>
      </c>
      <c r="D167" s="86" t="s">
        <v>170</v>
      </c>
    </row>
    <row r="168" spans="3:4" ht="15">
      <c r="C168" s="86">
        <v>94</v>
      </c>
      <c r="D168" s="86" t="s">
        <v>171</v>
      </c>
    </row>
    <row r="169" spans="3:4" ht="15">
      <c r="C169" s="86">
        <v>95</v>
      </c>
      <c r="D169" s="86" t="s">
        <v>172</v>
      </c>
    </row>
    <row r="170" spans="3:4" ht="15">
      <c r="C170" s="86">
        <v>96</v>
      </c>
      <c r="D170" s="86" t="s">
        <v>173</v>
      </c>
    </row>
    <row r="171" spans="3:4" ht="15">
      <c r="C171" s="86">
        <v>97</v>
      </c>
      <c r="D171" s="86" t="s">
        <v>174</v>
      </c>
    </row>
    <row r="172" spans="3:4" ht="15">
      <c r="C172" s="86">
        <v>98</v>
      </c>
      <c r="D172" s="86" t="s">
        <v>175</v>
      </c>
    </row>
    <row r="173" spans="3:4" ht="15">
      <c r="C173" s="86">
        <v>99</v>
      </c>
      <c r="D173" s="86" t="s">
        <v>176</v>
      </c>
    </row>
    <row r="174" spans="3:4" ht="15">
      <c r="C174" s="86">
        <v>100</v>
      </c>
      <c r="D174" s="86" t="s">
        <v>177</v>
      </c>
    </row>
    <row r="175" spans="3:4" ht="15">
      <c r="C175" s="86">
        <v>101</v>
      </c>
      <c r="D175" s="86" t="s">
        <v>178</v>
      </c>
    </row>
    <row r="176" spans="3:4" ht="15">
      <c r="C176" s="86">
        <v>102</v>
      </c>
      <c r="D176" s="86" t="s">
        <v>179</v>
      </c>
    </row>
    <row r="177" spans="3:4" ht="15">
      <c r="C177" s="86">
        <v>103</v>
      </c>
      <c r="D177" s="86" t="s">
        <v>180</v>
      </c>
    </row>
    <row r="178" spans="3:4" ht="15">
      <c r="C178" s="86">
        <v>104</v>
      </c>
      <c r="D178" s="86" t="s">
        <v>181</v>
      </c>
    </row>
  </sheetData>
  <mergeCells count="3">
    <mergeCell ref="C9:F9"/>
    <mergeCell ref="L42:Q45"/>
    <mergeCell ref="L75:Q79"/>
  </mergeCells>
  <hyperlinks>
    <hyperlink ref="I8" r:id="rId1"/>
    <hyperlink ref="I6" r:id="rId2"/>
    <hyperlink ref="I4" r:id="rId3"/>
  </hyperlinks>
  <pageMargins left="0.7" right="0.7" top="0.75" bottom="0.75" header="0.3" footer="0.3"/>
  <pageSetup orientation="portrait" r:id="rId4"/>
  <drawing r:id="rId5"/>
  <legacyDrawing r:id="rId6"/>
</worksheet>
</file>

<file path=xl/worksheets/sheet3.xml><?xml version="1.0" encoding="utf-8"?>
<worksheet xmlns="http://schemas.openxmlformats.org/spreadsheetml/2006/main" xmlns:r="http://schemas.openxmlformats.org/officeDocument/2006/relationships">
  <sheetPr codeName="Sheet1"/>
  <dimension ref="A1:CB141"/>
  <sheetViews>
    <sheetView workbookViewId="0">
      <selection activeCell="M7" sqref="M7"/>
    </sheetView>
  </sheetViews>
  <sheetFormatPr defaultRowHeight="12.75"/>
  <cols>
    <col min="1" max="1" width="35" style="34" customWidth="1"/>
    <col min="2" max="2" width="29.28515625" style="34" customWidth="1"/>
    <col min="3" max="4" width="19.85546875" style="34" customWidth="1"/>
    <col min="5" max="5" width="10.7109375" style="34" customWidth="1"/>
    <col min="6" max="25" width="9.5703125" style="34" bestFit="1" customWidth="1"/>
    <col min="26" max="28" width="9.140625" style="34"/>
    <col min="29" max="29" width="21.7109375" style="34" customWidth="1"/>
    <col min="30" max="30" width="35.85546875" style="34" customWidth="1"/>
    <col min="31" max="31" width="35.28515625" style="34" customWidth="1"/>
    <col min="32" max="32" width="15" style="34" customWidth="1"/>
    <col min="33" max="33" width="17.7109375" style="34" customWidth="1"/>
    <col min="34" max="34" width="15.140625" style="34" customWidth="1"/>
    <col min="35" max="35" width="15.7109375" style="34" customWidth="1"/>
    <col min="36" max="36" width="21.28515625" style="34" customWidth="1"/>
    <col min="37" max="37" width="17.7109375" style="34" bestFit="1" customWidth="1"/>
    <col min="38" max="38" width="15.42578125" style="34" bestFit="1" customWidth="1"/>
    <col min="39" max="39" width="14.28515625" style="34" bestFit="1" customWidth="1"/>
    <col min="40" max="40" width="14.28515625" style="34" customWidth="1"/>
    <col min="41" max="41" width="12.5703125" style="34" customWidth="1"/>
    <col min="42" max="42" width="14" style="34" bestFit="1" customWidth="1"/>
    <col min="43" max="44" width="10.85546875" style="34" bestFit="1" customWidth="1"/>
    <col min="45" max="45" width="13.42578125" style="34" customWidth="1"/>
    <col min="46" max="46" width="11.85546875" style="34" bestFit="1" customWidth="1"/>
    <col min="47" max="47" width="11" style="34" bestFit="1" customWidth="1"/>
    <col min="48" max="48" width="14.28515625" style="34" bestFit="1" customWidth="1"/>
    <col min="49" max="49" width="10.7109375" style="34" customWidth="1"/>
    <col min="50" max="50" width="13.85546875" style="34" bestFit="1" customWidth="1"/>
    <col min="51" max="51" width="11.7109375" style="34" bestFit="1" customWidth="1"/>
    <col min="52" max="52" width="15.28515625" style="34" bestFit="1" customWidth="1"/>
    <col min="53" max="55" width="12.28515625" style="34" bestFit="1" customWidth="1"/>
    <col min="56" max="56" width="12.5703125" style="34" bestFit="1" customWidth="1"/>
    <col min="57" max="59" width="14.28515625" style="34" bestFit="1" customWidth="1"/>
    <col min="60" max="60" width="13.7109375" style="34" bestFit="1" customWidth="1"/>
    <col min="61" max="61" width="14" style="34" bestFit="1" customWidth="1"/>
    <col min="62" max="62" width="12.85546875" style="34" bestFit="1" customWidth="1"/>
    <col min="63" max="63" width="15.28515625" style="34" bestFit="1" customWidth="1"/>
    <col min="64" max="64" width="12.28515625" style="34" bestFit="1" customWidth="1"/>
    <col min="65" max="65" width="10.85546875" style="34" bestFit="1" customWidth="1"/>
    <col min="66" max="66" width="12.28515625" style="34" bestFit="1" customWidth="1"/>
    <col min="67" max="67" width="12.5703125" style="34" bestFit="1" customWidth="1"/>
    <col min="68" max="16384" width="9.140625" style="34"/>
  </cols>
  <sheetData>
    <row r="1" spans="1:69">
      <c r="A1" s="529" t="s">
        <v>973</v>
      </c>
      <c r="B1" s="619" t="s">
        <v>974</v>
      </c>
      <c r="C1" s="619"/>
      <c r="D1" s="619"/>
      <c r="E1" s="619"/>
      <c r="F1" s="619"/>
      <c r="G1" s="619"/>
      <c r="H1" s="619"/>
      <c r="I1" s="619"/>
      <c r="J1" s="619"/>
      <c r="K1" s="619"/>
      <c r="L1" s="619"/>
      <c r="M1" s="619"/>
      <c r="N1" s="619"/>
      <c r="O1" s="619"/>
      <c r="P1" s="619"/>
      <c r="Q1" s="619"/>
      <c r="R1" s="619"/>
      <c r="S1" s="619"/>
      <c r="T1" s="619"/>
    </row>
    <row r="2" spans="1:69">
      <c r="A2" s="530" t="s">
        <v>975</v>
      </c>
      <c r="B2" s="619"/>
      <c r="C2" s="619"/>
      <c r="D2" s="619"/>
      <c r="E2" s="619"/>
      <c r="F2" s="619"/>
      <c r="G2" s="619"/>
      <c r="H2" s="619"/>
      <c r="I2" s="619"/>
      <c r="J2" s="619"/>
      <c r="K2" s="619"/>
      <c r="L2" s="619"/>
      <c r="M2" s="619"/>
      <c r="N2" s="619"/>
      <c r="O2" s="619"/>
      <c r="P2" s="619"/>
      <c r="Q2" s="619"/>
      <c r="R2" s="619"/>
      <c r="S2" s="619"/>
      <c r="T2" s="619"/>
    </row>
    <row r="3" spans="1:69">
      <c r="B3" s="619"/>
      <c r="C3" s="619"/>
      <c r="D3" s="619"/>
      <c r="E3" s="619"/>
      <c r="F3" s="619"/>
      <c r="G3" s="619"/>
      <c r="H3" s="619"/>
      <c r="I3" s="619"/>
      <c r="J3" s="619"/>
      <c r="K3" s="619"/>
      <c r="L3" s="619"/>
      <c r="M3" s="619"/>
      <c r="N3" s="619"/>
      <c r="O3" s="619"/>
      <c r="P3" s="619"/>
      <c r="Q3" s="619"/>
      <c r="R3" s="619"/>
      <c r="S3" s="619"/>
      <c r="T3" s="619"/>
    </row>
    <row r="4" spans="1:69">
      <c r="B4" s="619"/>
      <c r="C4" s="619"/>
      <c r="D4" s="619"/>
      <c r="E4" s="619"/>
      <c r="F4" s="619"/>
      <c r="G4" s="619"/>
      <c r="H4" s="619"/>
      <c r="I4" s="619"/>
      <c r="J4" s="619"/>
      <c r="K4" s="619"/>
      <c r="L4" s="619"/>
      <c r="M4" s="619"/>
      <c r="N4" s="619"/>
      <c r="O4" s="619"/>
      <c r="P4" s="619"/>
      <c r="Q4" s="619"/>
      <c r="R4" s="619"/>
      <c r="S4" s="619"/>
      <c r="T4" s="619"/>
    </row>
    <row r="5" spans="1:69">
      <c r="B5" s="619"/>
      <c r="C5" s="619"/>
      <c r="D5" s="619"/>
      <c r="E5" s="619"/>
      <c r="F5" s="619"/>
      <c r="G5" s="619"/>
      <c r="H5" s="619"/>
      <c r="I5" s="619"/>
      <c r="J5" s="619"/>
      <c r="K5" s="619"/>
      <c r="L5" s="619"/>
      <c r="M5" s="619"/>
      <c r="N5" s="619"/>
      <c r="O5" s="619"/>
      <c r="P5" s="619"/>
      <c r="Q5" s="619"/>
      <c r="R5" s="619"/>
      <c r="S5" s="619"/>
      <c r="T5" s="619"/>
    </row>
    <row r="6" spans="1:69">
      <c r="B6" s="619"/>
      <c r="C6" s="619"/>
      <c r="D6" s="619"/>
      <c r="E6" s="619"/>
      <c r="F6" s="619"/>
      <c r="G6" s="619"/>
      <c r="H6" s="619"/>
      <c r="I6" s="619"/>
      <c r="J6" s="619"/>
      <c r="K6" s="619"/>
      <c r="L6" s="619"/>
      <c r="M6" s="619"/>
      <c r="N6" s="619"/>
      <c r="O6" s="619"/>
      <c r="P6" s="619"/>
      <c r="Q6" s="619"/>
      <c r="R6" s="619"/>
      <c r="S6" s="619"/>
      <c r="T6" s="619"/>
    </row>
    <row r="7" spans="1:69">
      <c r="A7" s="616"/>
      <c r="B7" s="616" t="s">
        <v>976</v>
      </c>
      <c r="C7" s="531" t="s">
        <v>977</v>
      </c>
      <c r="D7" s="531" t="s">
        <v>977</v>
      </c>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row>
    <row r="8" spans="1:69">
      <c r="A8" s="616" t="s">
        <v>1352</v>
      </c>
      <c r="B8" s="616" t="s">
        <v>978</v>
      </c>
      <c r="C8" s="531" t="str">
        <f>[2]MLIST!$B$12</f>
        <v>Dishwasher</v>
      </c>
      <c r="D8" s="531" t="str">
        <f>[1]!switch_ForecastState</f>
        <v>Region</v>
      </c>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row>
    <row r="9" spans="1:69">
      <c r="A9" s="616" t="str">
        <f>INDEX([2]ACHIEV!$A$19:$B$100,MATCH(CONCATENATE($C$8," - ",$C$7),[2]ACHIEV!$B$19:$B$100,0),1)</f>
        <v>Water Heating</v>
      </c>
      <c r="B9" s="617" t="s">
        <v>979</v>
      </c>
      <c r="C9" s="531">
        <f>[2]FILES!$H$4</f>
        <v>2035</v>
      </c>
      <c r="D9" s="531" t="str">
        <f>[1]!switch_ForecastScenario</f>
        <v>Base</v>
      </c>
      <c r="E9" s="533"/>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row>
    <row r="10" spans="1:69">
      <c r="A10" s="616"/>
      <c r="B10" s="616" t="s">
        <v>1354</v>
      </c>
      <c r="C10" s="618">
        <f ca="1">MIN(SUM(E49:X49),Y49)</f>
        <v>0.16475427844716631</v>
      </c>
      <c r="D10" s="534"/>
      <c r="E10" s="533"/>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row>
    <row r="11" spans="1:69" ht="15">
      <c r="A11" s="535" t="str">
        <f>CONCATENATE("# HOMES AVAILABLE FOR MEASURE -",$C$8)</f>
        <v># HOMES AVAILABLE FOR MEASURE -Dishwasher</v>
      </c>
      <c r="B11" s="535"/>
      <c r="C11" s="34" t="s">
        <v>980</v>
      </c>
      <c r="E11" s="542">
        <v>2016</v>
      </c>
      <c r="F11" s="542">
        <v>2017</v>
      </c>
      <c r="G11" s="542">
        <v>2018</v>
      </c>
      <c r="H11" s="542">
        <v>2019</v>
      </c>
      <c r="I11" s="542">
        <v>2020</v>
      </c>
      <c r="J11" s="542">
        <v>2021</v>
      </c>
      <c r="K11" s="542">
        <v>2022</v>
      </c>
      <c r="L11" s="542">
        <v>2023</v>
      </c>
      <c r="M11" s="542">
        <v>2024</v>
      </c>
      <c r="N11" s="542">
        <v>2025</v>
      </c>
      <c r="O11" s="542">
        <v>2026</v>
      </c>
      <c r="P11" s="542">
        <v>2027</v>
      </c>
      <c r="Q11" s="542">
        <v>2028</v>
      </c>
      <c r="R11" s="542">
        <v>2029</v>
      </c>
      <c r="S11" s="542">
        <v>2030</v>
      </c>
      <c r="T11" s="542">
        <v>2031</v>
      </c>
      <c r="U11" s="542">
        <v>2032</v>
      </c>
      <c r="V11" s="542">
        <v>2033</v>
      </c>
      <c r="W11" s="542">
        <v>2034</v>
      </c>
      <c r="X11" s="542">
        <v>2035</v>
      </c>
      <c r="Y11" s="542"/>
      <c r="Z11" s="542"/>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row>
    <row r="12" spans="1:69" ht="15">
      <c r="E12" s="544" t="str">
        <f>CONCATENATE("Homes_",E11)</f>
        <v>Homes_2016</v>
      </c>
      <c r="F12" s="544" t="str">
        <f t="shared" ref="F12:X12" si="0">CONCATENATE("Homes_",F11)</f>
        <v>Homes_2017</v>
      </c>
      <c r="G12" s="544" t="str">
        <f t="shared" si="0"/>
        <v>Homes_2018</v>
      </c>
      <c r="H12" s="544" t="str">
        <f t="shared" si="0"/>
        <v>Homes_2019</v>
      </c>
      <c r="I12" s="544" t="str">
        <f t="shared" si="0"/>
        <v>Homes_2020</v>
      </c>
      <c r="J12" s="544" t="str">
        <f t="shared" si="0"/>
        <v>Homes_2021</v>
      </c>
      <c r="K12" s="544" t="str">
        <f t="shared" si="0"/>
        <v>Homes_2022</v>
      </c>
      <c r="L12" s="544" t="str">
        <f t="shared" si="0"/>
        <v>Homes_2023</v>
      </c>
      <c r="M12" s="544" t="str">
        <f t="shared" si="0"/>
        <v>Homes_2024</v>
      </c>
      <c r="N12" s="544" t="str">
        <f t="shared" si="0"/>
        <v>Homes_2025</v>
      </c>
      <c r="O12" s="544" t="str">
        <f t="shared" si="0"/>
        <v>Homes_2026</v>
      </c>
      <c r="P12" s="544" t="str">
        <f t="shared" si="0"/>
        <v>Homes_2027</v>
      </c>
      <c r="Q12" s="544" t="str">
        <f t="shared" si="0"/>
        <v>Homes_2028</v>
      </c>
      <c r="R12" s="544" t="str">
        <f t="shared" si="0"/>
        <v>Homes_2029</v>
      </c>
      <c r="S12" s="544" t="str">
        <f t="shared" si="0"/>
        <v>Homes_2030</v>
      </c>
      <c r="T12" s="544" t="str">
        <f t="shared" si="0"/>
        <v>Homes_2031</v>
      </c>
      <c r="U12" s="544" t="str">
        <f t="shared" si="0"/>
        <v>Homes_2032</v>
      </c>
      <c r="V12" s="544" t="str">
        <f t="shared" si="0"/>
        <v>Homes_2033</v>
      </c>
      <c r="W12" s="544" t="str">
        <f t="shared" si="0"/>
        <v>Homes_2034</v>
      </c>
      <c r="X12" s="544" t="str">
        <f t="shared" si="0"/>
        <v>Homes_2035</v>
      </c>
      <c r="Y12" s="545"/>
      <c r="Z12" s="544"/>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row>
    <row r="13" spans="1:69">
      <c r="B13" s="34" t="s">
        <v>977</v>
      </c>
      <c r="C13" s="34" t="s">
        <v>930</v>
      </c>
      <c r="E13" s="137">
        <f ca="1">INDEX([1]!tbl_Forecast,MATCH($D$8&amp;$C13&amp;$D$7,[1]!rng_ForecastRowLookup,0),MATCH(E$11,[1]!rng_ForecastColumnLookup,0))</f>
        <v>62685.758999999998</v>
      </c>
      <c r="F13" s="137">
        <f ca="1">INDEX([1]!tbl_Forecast,MATCH($D$8&amp;$C13&amp;$D$7,[1]!rng_ForecastRowLookup,0),MATCH(F$11,[1]!rng_ForecastColumnLookup,0))</f>
        <v>59961.781000000003</v>
      </c>
      <c r="G13" s="137">
        <f ca="1">INDEX([1]!tbl_Forecast,MATCH($D$8&amp;$C13&amp;$D$7,[1]!rng_ForecastRowLookup,0),MATCH(G$11,[1]!rng_ForecastColumnLookup,0))</f>
        <v>56834.012000000002</v>
      </c>
      <c r="H13" s="137">
        <f ca="1">INDEX([1]!tbl_Forecast,MATCH($D$8&amp;$C13&amp;$D$7,[1]!rng_ForecastRowLookup,0),MATCH(H$11,[1]!rng_ForecastColumnLookup,0))</f>
        <v>54985.192999999999</v>
      </c>
      <c r="I13" s="137">
        <f ca="1">INDEX([1]!tbl_Forecast,MATCH($D$8&amp;$C13&amp;$D$7,[1]!rng_ForecastRowLookup,0),MATCH(I$11,[1]!rng_ForecastColumnLookup,0))</f>
        <v>53507.474000000002</v>
      </c>
      <c r="J13" s="137">
        <f ca="1">INDEX([1]!tbl_Forecast,MATCH($D$8&amp;$C13&amp;$D$7,[1]!rng_ForecastRowLookup,0),MATCH(J$11,[1]!rng_ForecastColumnLookup,0))</f>
        <v>50982.05</v>
      </c>
      <c r="K13" s="137">
        <f ca="1">INDEX([1]!tbl_Forecast,MATCH($D$8&amp;$C13&amp;$D$7,[1]!rng_ForecastRowLookup,0),MATCH(K$11,[1]!rng_ForecastColumnLookup,0))</f>
        <v>49561.669000000002</v>
      </c>
      <c r="L13" s="137">
        <f ca="1">INDEX([1]!tbl_Forecast,MATCH($D$8&amp;$C13&amp;$D$7,[1]!rng_ForecastRowLookup,0),MATCH(L$11,[1]!rng_ForecastColumnLookup,0))</f>
        <v>49324.517999999996</v>
      </c>
      <c r="M13" s="137">
        <f ca="1">INDEX([1]!tbl_Forecast,MATCH($D$8&amp;$C13&amp;$D$7,[1]!rng_ForecastRowLookup,0),MATCH(M$11,[1]!rng_ForecastColumnLookup,0))</f>
        <v>48815.77</v>
      </c>
      <c r="N13" s="137">
        <f ca="1">INDEX([1]!tbl_Forecast,MATCH($D$8&amp;$C13&amp;$D$7,[1]!rng_ForecastRowLookup,0),MATCH(N$11,[1]!rng_ForecastColumnLookup,0))</f>
        <v>49683.252</v>
      </c>
      <c r="O13" s="137">
        <f ca="1">INDEX([1]!tbl_Forecast,MATCH($D$8&amp;$C13&amp;$D$7,[1]!rng_ForecastRowLookup,0),MATCH(O$11,[1]!rng_ForecastColumnLookup,0))</f>
        <v>50030.137000000002</v>
      </c>
      <c r="P13" s="137">
        <f ca="1">INDEX([1]!tbl_Forecast,MATCH($D$8&amp;$C13&amp;$D$7,[1]!rng_ForecastRowLookup,0),MATCH(P$11,[1]!rng_ForecastColumnLookup,0))</f>
        <v>49387.762999999999</v>
      </c>
      <c r="Q13" s="137">
        <f ca="1">INDEX([1]!tbl_Forecast,MATCH($D$8&amp;$C13&amp;$D$7,[1]!rng_ForecastRowLookup,0),MATCH(Q$11,[1]!rng_ForecastColumnLookup,0))</f>
        <v>48079.345999999998</v>
      </c>
      <c r="R13" s="137">
        <f ca="1">INDEX([1]!tbl_Forecast,MATCH($D$8&amp;$C13&amp;$D$7,[1]!rng_ForecastRowLookup,0),MATCH(R$11,[1]!rng_ForecastColumnLookup,0))</f>
        <v>48129.050999999999</v>
      </c>
      <c r="S13" s="137">
        <f ca="1">INDEX([1]!tbl_Forecast,MATCH($D$8&amp;$C13&amp;$D$7,[1]!rng_ForecastRowLookup,0),MATCH(S$11,[1]!rng_ForecastColumnLookup,0))</f>
        <v>48690.569000000003</v>
      </c>
      <c r="T13" s="137">
        <f ca="1">INDEX([1]!tbl_Forecast,MATCH($D$8&amp;$C13&amp;$D$7,[1]!rng_ForecastRowLookup,0),MATCH(T$11,[1]!rng_ForecastColumnLookup,0))</f>
        <v>48482.864000000001</v>
      </c>
      <c r="U13" s="137">
        <f ca="1">INDEX([1]!tbl_Forecast,MATCH($D$8&amp;$C13&amp;$D$7,[1]!rng_ForecastRowLookup,0),MATCH(U$11,[1]!rng_ForecastColumnLookup,0))</f>
        <v>46879.000999999997</v>
      </c>
      <c r="V13" s="137">
        <f ca="1">INDEX([1]!tbl_Forecast,MATCH($D$8&amp;$C13&amp;$D$7,[1]!rng_ForecastRowLookup,0),MATCH(V$11,[1]!rng_ForecastColumnLookup,0))</f>
        <v>46798.777999999998</v>
      </c>
      <c r="W13" s="137">
        <f ca="1">INDEX([1]!tbl_Forecast,MATCH($D$8&amp;$C13&amp;$D$7,[1]!rng_ForecastRowLookup,0),MATCH(W$11,[1]!rng_ForecastColumnLookup,0))</f>
        <v>46917.627</v>
      </c>
      <c r="X13" s="137">
        <f ca="1">INDEX([1]!tbl_Forecast,MATCH($D$8&amp;$C13&amp;$D$7,[1]!rng_ForecastRowLookup,0),MATCH(X$11,[1]!rng_ForecastColumnLookup,0))</f>
        <v>47236.144999999997</v>
      </c>
      <c r="Y13" s="137"/>
      <c r="Z13" s="137"/>
      <c r="AA13" s="137">
        <f ca="1">SUM(E13:X13)</f>
        <v>1016972.7590000002</v>
      </c>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row>
    <row r="14" spans="1:69">
      <c r="B14" s="34" t="s">
        <v>977</v>
      </c>
      <c r="C14" s="34" t="s">
        <v>941</v>
      </c>
      <c r="E14" s="137">
        <f ca="1">INDEX([1]!tbl_Forecast,MATCH($D$8&amp;$C14&amp;$D$7,[1]!rng_ForecastRowLookup,0),MATCH(E$11,[1]!rng_ForecastColumnLookup,0))</f>
        <v>23280.347100904564</v>
      </c>
      <c r="F14" s="137">
        <f ca="1">INDEX([1]!tbl_Forecast,MATCH($D$8&amp;$C14&amp;$D$7,[1]!rng_ForecastRowLookup,0),MATCH(F$11,[1]!rng_ForecastColumnLookup,0))</f>
        <v>23017.418106038647</v>
      </c>
      <c r="G14" s="137">
        <f ca="1">INDEX([1]!tbl_Forecast,MATCH($D$8&amp;$C14&amp;$D$7,[1]!rng_ForecastRowLookup,0),MATCH(G$11,[1]!rng_ForecastColumnLookup,0))</f>
        <v>22811.60852767331</v>
      </c>
      <c r="H14" s="137">
        <f ca="1">INDEX([1]!tbl_Forecast,MATCH($D$8&amp;$C14&amp;$D$7,[1]!rng_ForecastRowLookup,0),MATCH(H$11,[1]!rng_ForecastColumnLookup,0))</f>
        <v>22085.916378202593</v>
      </c>
      <c r="I14" s="137">
        <f ca="1">INDEX([1]!tbl_Forecast,MATCH($D$8&amp;$C14&amp;$D$7,[1]!rng_ForecastRowLookup,0),MATCH(I$11,[1]!rng_ForecastColumnLookup,0))</f>
        <v>20817.853908138593</v>
      </c>
      <c r="J14" s="137">
        <f ca="1">INDEX([1]!tbl_Forecast,MATCH($D$8&amp;$C14&amp;$D$7,[1]!rng_ForecastRowLookup,0),MATCH(J$11,[1]!rng_ForecastColumnLookup,0))</f>
        <v>20070.279329962508</v>
      </c>
      <c r="K14" s="137">
        <f ca="1">INDEX([1]!tbl_Forecast,MATCH($D$8&amp;$C14&amp;$D$7,[1]!rng_ForecastRowLookup,0),MATCH(K$11,[1]!rng_ForecastColumnLookup,0))</f>
        <v>19887.831284331631</v>
      </c>
      <c r="L14" s="137">
        <f ca="1">INDEX([1]!tbl_Forecast,MATCH($D$8&amp;$C14&amp;$D$7,[1]!rng_ForecastRowLookup,0),MATCH(L$11,[1]!rng_ForecastColumnLookup,0))</f>
        <v>20257.583209811291</v>
      </c>
      <c r="M14" s="137">
        <f ca="1">INDEX([1]!tbl_Forecast,MATCH($D$8&amp;$C14&amp;$D$7,[1]!rng_ForecastRowLookup,0),MATCH(M$11,[1]!rng_ForecastColumnLookup,0))</f>
        <v>20750.368029493613</v>
      </c>
      <c r="N14" s="137">
        <f ca="1">INDEX([1]!tbl_Forecast,MATCH($D$8&amp;$C14&amp;$D$7,[1]!rng_ForecastRowLookup,0),MATCH(N$11,[1]!rng_ForecastColumnLookup,0))</f>
        <v>21314.334279744231</v>
      </c>
      <c r="O14" s="137">
        <f ca="1">INDEX([1]!tbl_Forecast,MATCH($D$8&amp;$C14&amp;$D$7,[1]!rng_ForecastRowLookup,0),MATCH(O$11,[1]!rng_ForecastColumnLookup,0))</f>
        <v>21403.286239774712</v>
      </c>
      <c r="P14" s="137">
        <f ca="1">INDEX([1]!tbl_Forecast,MATCH($D$8&amp;$C14&amp;$D$7,[1]!rng_ForecastRowLookup,0),MATCH(P$11,[1]!rng_ForecastColumnLookup,0))</f>
        <v>21409.137516518917</v>
      </c>
      <c r="Q14" s="137">
        <f ca="1">INDEX([1]!tbl_Forecast,MATCH($D$8&amp;$C14&amp;$D$7,[1]!rng_ForecastRowLookup,0),MATCH(Q$11,[1]!rng_ForecastColumnLookup,0))</f>
        <v>21443.358292282628</v>
      </c>
      <c r="R14" s="137">
        <f ca="1">INDEX([1]!tbl_Forecast,MATCH($D$8&amp;$C14&amp;$D$7,[1]!rng_ForecastRowLookup,0),MATCH(R$11,[1]!rng_ForecastColumnLookup,0))</f>
        <v>21209.865626522758</v>
      </c>
      <c r="S14" s="137">
        <f ca="1">INDEX([1]!tbl_Forecast,MATCH($D$8&amp;$C14&amp;$D$7,[1]!rng_ForecastRowLookup,0),MATCH(S$11,[1]!rng_ForecastColumnLookup,0))</f>
        <v>20954.17798283829</v>
      </c>
      <c r="T14" s="137">
        <f ca="1">INDEX([1]!tbl_Forecast,MATCH($D$8&amp;$C14&amp;$D$7,[1]!rng_ForecastRowLookup,0),MATCH(T$11,[1]!rng_ForecastColumnLookup,0))</f>
        <v>20525.44023202754</v>
      </c>
      <c r="U14" s="137">
        <f ca="1">INDEX([1]!tbl_Forecast,MATCH($D$8&amp;$C14&amp;$D$7,[1]!rng_ForecastRowLookup,0),MATCH(U$11,[1]!rng_ForecastColumnLookup,0))</f>
        <v>20175.505597554071</v>
      </c>
      <c r="V14" s="137">
        <f ca="1">INDEX([1]!tbl_Forecast,MATCH($D$8&amp;$C14&amp;$D$7,[1]!rng_ForecastRowLookup,0),MATCH(V$11,[1]!rng_ForecastColumnLookup,0))</f>
        <v>19919.723927484571</v>
      </c>
      <c r="W14" s="137">
        <f ca="1">INDEX([1]!tbl_Forecast,MATCH($D$8&amp;$C14&amp;$D$7,[1]!rng_ForecastRowLookup,0),MATCH(W$11,[1]!rng_ForecastColumnLookup,0))</f>
        <v>19536.194066416414</v>
      </c>
      <c r="X14" s="137">
        <f ca="1">INDEX([1]!tbl_Forecast,MATCH($D$8&amp;$C14&amp;$D$7,[1]!rng_ForecastRowLookup,0),MATCH(X$11,[1]!rng_ForecastColumnLookup,0))</f>
        <v>19462.287131015248</v>
      </c>
      <c r="Y14" s="137"/>
      <c r="Z14" s="137"/>
      <c r="AA14" s="137">
        <f t="shared" ref="AA14:AA16" ca="1" si="1">SUM(E14:X14)</f>
        <v>420332.51676673623</v>
      </c>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69">
      <c r="B15" s="34" t="s">
        <v>977</v>
      </c>
      <c r="C15" s="34" t="s">
        <v>942</v>
      </c>
      <c r="E15" s="137">
        <f ca="1">INDEX([1]!tbl_Forecast,MATCH($D$8&amp;$C15&amp;$D$7,[1]!rng_ForecastRowLookup,0),MATCH(E$11,[1]!rng_ForecastColumnLookup,0))</f>
        <v>5226.2387411561367</v>
      </c>
      <c r="F15" s="137">
        <f ca="1">INDEX([1]!tbl_Forecast,MATCH($D$8&amp;$C15&amp;$D$7,[1]!rng_ForecastRowLookup,0),MATCH(F$11,[1]!rng_ForecastColumnLookup,0))</f>
        <v>5239.95312759432</v>
      </c>
      <c r="G15" s="137">
        <f ca="1">INDEX([1]!tbl_Forecast,MATCH($D$8&amp;$C15&amp;$D$7,[1]!rng_ForecastRowLookup,0),MATCH(G$11,[1]!rng_ForecastColumnLookup,0))</f>
        <v>5271.2612760989568</v>
      </c>
      <c r="H15" s="137">
        <f ca="1">INDEX([1]!tbl_Forecast,MATCH($D$8&amp;$C15&amp;$D$7,[1]!rng_ForecastRowLookup,0),MATCH(H$11,[1]!rng_ForecastColumnLookup,0))</f>
        <v>4985.883552972361</v>
      </c>
      <c r="I15" s="137">
        <f ca="1">INDEX([1]!tbl_Forecast,MATCH($D$8&amp;$C15&amp;$D$7,[1]!rng_ForecastRowLookup,0),MATCH(I$11,[1]!rng_ForecastColumnLookup,0))</f>
        <v>4608.5912035798974</v>
      </c>
      <c r="J15" s="137">
        <f ca="1">INDEX([1]!tbl_Forecast,MATCH($D$8&amp;$C15&amp;$D$7,[1]!rng_ForecastRowLookup,0),MATCH(J$11,[1]!rng_ForecastColumnLookup,0))</f>
        <v>4509.6375960361838</v>
      </c>
      <c r="K15" s="137">
        <f ca="1">INDEX([1]!tbl_Forecast,MATCH($D$8&amp;$C15&amp;$D$7,[1]!rng_ForecastRowLookup,0),MATCH(K$11,[1]!rng_ForecastColumnLookup,0))</f>
        <v>4481.760351096189</v>
      </c>
      <c r="L15" s="137">
        <f ca="1">INDEX([1]!tbl_Forecast,MATCH($D$8&amp;$C15&amp;$D$7,[1]!rng_ForecastRowLookup,0),MATCH(L$11,[1]!rng_ForecastColumnLookup,0))</f>
        <v>4621.8312800578688</v>
      </c>
      <c r="M15" s="137">
        <f ca="1">INDEX([1]!tbl_Forecast,MATCH($D$8&amp;$C15&amp;$D$7,[1]!rng_ForecastRowLookup,0),MATCH(M$11,[1]!rng_ForecastColumnLookup,0))</f>
        <v>4700.9782942419988</v>
      </c>
      <c r="N15" s="137">
        <f ca="1">INDEX([1]!tbl_Forecast,MATCH($D$8&amp;$C15&amp;$D$7,[1]!rng_ForecastRowLookup,0),MATCH(N$11,[1]!rng_ForecastColumnLookup,0))</f>
        <v>4828.2391631488581</v>
      </c>
      <c r="O15" s="137">
        <f ca="1">INDEX([1]!tbl_Forecast,MATCH($D$8&amp;$C15&amp;$D$7,[1]!rng_ForecastRowLookup,0),MATCH(O$11,[1]!rng_ForecastColumnLookup,0))</f>
        <v>4790.0249139778334</v>
      </c>
      <c r="P15" s="137">
        <f ca="1">INDEX([1]!tbl_Forecast,MATCH($D$8&amp;$C15&amp;$D$7,[1]!rng_ForecastRowLookup,0),MATCH(P$11,[1]!rng_ForecastColumnLookup,0))</f>
        <v>4782.0649962402858</v>
      </c>
      <c r="Q15" s="137">
        <f ca="1">INDEX([1]!tbl_Forecast,MATCH($D$8&amp;$C15&amp;$D$7,[1]!rng_ForecastRowLookup,0),MATCH(Q$11,[1]!rng_ForecastColumnLookup,0))</f>
        <v>4748.3908346265653</v>
      </c>
      <c r="R15" s="137">
        <f ca="1">INDEX([1]!tbl_Forecast,MATCH($D$8&amp;$C15&amp;$D$7,[1]!rng_ForecastRowLookup,0),MATCH(R$11,[1]!rng_ForecastColumnLookup,0))</f>
        <v>4733.4823682495089</v>
      </c>
      <c r="S15" s="137">
        <f ca="1">INDEX([1]!tbl_Forecast,MATCH($D$8&amp;$C15&amp;$D$7,[1]!rng_ForecastRowLookup,0),MATCH(S$11,[1]!rng_ForecastColumnLookup,0))</f>
        <v>4698.697177079107</v>
      </c>
      <c r="T15" s="137">
        <f ca="1">INDEX([1]!tbl_Forecast,MATCH($D$8&amp;$C15&amp;$D$7,[1]!rng_ForecastRowLookup,0),MATCH(T$11,[1]!rng_ForecastColumnLookup,0))</f>
        <v>4599.2987885998937</v>
      </c>
      <c r="U15" s="137">
        <f ca="1">INDEX([1]!tbl_Forecast,MATCH($D$8&amp;$C15&amp;$D$7,[1]!rng_ForecastRowLookup,0),MATCH(U$11,[1]!rng_ForecastColumnLookup,0))</f>
        <v>4526.3104216428001</v>
      </c>
      <c r="V15" s="137">
        <f ca="1">INDEX([1]!tbl_Forecast,MATCH($D$8&amp;$C15&amp;$D$7,[1]!rng_ForecastRowLookup,0),MATCH(V$11,[1]!rng_ForecastColumnLookup,0))</f>
        <v>4422.0600452822764</v>
      </c>
      <c r="W15" s="137">
        <f ca="1">INDEX([1]!tbl_Forecast,MATCH($D$8&amp;$C15&amp;$D$7,[1]!rng_ForecastRowLookup,0),MATCH(W$11,[1]!rng_ForecastColumnLookup,0))</f>
        <v>4405.182362066379</v>
      </c>
      <c r="X15" s="137">
        <f ca="1">INDEX([1]!tbl_Forecast,MATCH($D$8&amp;$C15&amp;$D$7,[1]!rng_ForecastRowLookup,0),MATCH(X$11,[1]!rng_ForecastColumnLookup,0))</f>
        <v>4385.1136986120664</v>
      </c>
      <c r="Y15" s="137"/>
      <c r="Z15" s="137"/>
      <c r="AA15" s="137">
        <f t="shared" ca="1" si="1"/>
        <v>94565.000192359483</v>
      </c>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69">
      <c r="B16" s="34" t="s">
        <v>977</v>
      </c>
      <c r="C16" s="34" t="s">
        <v>931</v>
      </c>
      <c r="E16" s="137">
        <f ca="1">INDEX([1]!tbl_Forecast,MATCH($D$8&amp;$C16&amp;$D$7,[1]!rng_ForecastRowLookup,0),MATCH(E$11,[1]!rng_ForecastColumnLookup,0))</f>
        <v>1869.5754050925925</v>
      </c>
      <c r="F16" s="137">
        <f ca="1">INDEX([1]!tbl_Forecast,MATCH($D$8&amp;$C16&amp;$D$7,[1]!rng_ForecastRowLookup,0),MATCH(F$11,[1]!rng_ForecastColumnLookup,0))</f>
        <v>1881.796305941358</v>
      </c>
      <c r="G16" s="137">
        <f ca="1">INDEX([1]!tbl_Forecast,MATCH($D$8&amp;$C16&amp;$D$7,[1]!rng_ForecastRowLookup,0),MATCH(G$11,[1]!rng_ForecastColumnLookup,0))</f>
        <v>1949.1340235982509</v>
      </c>
      <c r="H16" s="137">
        <f ca="1">INDEX([1]!tbl_Forecast,MATCH($D$8&amp;$C16&amp;$D$7,[1]!rng_ForecastRowLookup,0),MATCH(H$11,[1]!rng_ForecastColumnLookup,0))</f>
        <v>2021.1963608646258</v>
      </c>
      <c r="I16" s="137">
        <f ca="1">INDEX([1]!tbl_Forecast,MATCH($D$8&amp;$C16&amp;$D$7,[1]!rng_ForecastRowLookup,0),MATCH(I$11,[1]!rng_ForecastColumnLookup,0))</f>
        <v>1959.5061710087307</v>
      </c>
      <c r="J16" s="137">
        <f ca="1">INDEX([1]!tbl_Forecast,MATCH($D$8&amp;$C16&amp;$D$7,[1]!rng_ForecastRowLookup,0),MATCH(J$11,[1]!rng_ForecastColumnLookup,0))</f>
        <v>1928.5764356212967</v>
      </c>
      <c r="K16" s="137">
        <f ca="1">INDEX([1]!tbl_Forecast,MATCH($D$8&amp;$C16&amp;$D$7,[1]!rng_ForecastRowLookup,0),MATCH(K$11,[1]!rng_ForecastColumnLookup,0))</f>
        <v>1934.9641170211423</v>
      </c>
      <c r="L16" s="137">
        <f ca="1">INDEX([1]!tbl_Forecast,MATCH($D$8&amp;$C16&amp;$D$7,[1]!rng_ForecastRowLookup,0),MATCH(L$11,[1]!rng_ForecastColumnLookup,0))</f>
        <v>1945.862235675901</v>
      </c>
      <c r="M16" s="137">
        <f ca="1">INDEX([1]!tbl_Forecast,MATCH($D$8&amp;$C16&amp;$D$7,[1]!rng_ForecastRowLookup,0),MATCH(M$11,[1]!rng_ForecastColumnLookup,0))</f>
        <v>1956.539890631658</v>
      </c>
      <c r="N16" s="137">
        <f ca="1">INDEX([1]!tbl_Forecast,MATCH($D$8&amp;$C16&amp;$D$7,[1]!rng_ForecastRowLookup,0),MATCH(N$11,[1]!rng_ForecastColumnLookup,0))</f>
        <v>1957.7742018038925</v>
      </c>
      <c r="O16" s="137">
        <f ca="1">INDEX([1]!tbl_Forecast,MATCH($D$8&amp;$C16&amp;$D$7,[1]!rng_ForecastRowLookup,0),MATCH(O$11,[1]!rng_ForecastColumnLookup,0))</f>
        <v>1947.2038419604366</v>
      </c>
      <c r="P16" s="137">
        <f ca="1">INDEX([1]!tbl_Forecast,MATCH($D$8&amp;$C16&amp;$D$7,[1]!rng_ForecastRowLookup,0),MATCH(P$11,[1]!rng_ForecastColumnLookup,0))</f>
        <v>1945.153453785721</v>
      </c>
      <c r="Q16" s="137">
        <f ca="1">INDEX([1]!tbl_Forecast,MATCH($D$8&amp;$C16&amp;$D$7,[1]!rng_ForecastRowLookup,0),MATCH(Q$11,[1]!rng_ForecastColumnLookup,0))</f>
        <v>1947.9162901464586</v>
      </c>
      <c r="R16" s="137">
        <f ca="1">INDEX([1]!tbl_Forecast,MATCH($D$8&amp;$C16&amp;$D$7,[1]!rng_ForecastRowLookup,0),MATCH(R$11,[1]!rng_ForecastColumnLookup,0))</f>
        <v>1950.0749856673444</v>
      </c>
      <c r="S16" s="137">
        <f ca="1">INDEX([1]!tbl_Forecast,MATCH($D$8&amp;$C16&amp;$D$7,[1]!rng_ForecastRowLookup,0),MATCH(S$11,[1]!rng_ForecastColumnLookup,0))</f>
        <v>1950.7771106659191</v>
      </c>
      <c r="T16" s="137">
        <f ca="1">INDEX([1]!tbl_Forecast,MATCH($D$8&amp;$C16&amp;$D$7,[1]!rng_ForecastRowLookup,0),MATCH(T$11,[1]!rng_ForecastColumnLookup,0))</f>
        <v>1949.8166473382953</v>
      </c>
      <c r="U16" s="137">
        <f ca="1">INDEX([1]!tbl_Forecast,MATCH($D$8&amp;$C16&amp;$D$7,[1]!rng_ForecastRowLookup,0),MATCH(U$11,[1]!rng_ForecastColumnLookup,0))</f>
        <v>1948.4903882606959</v>
      </c>
      <c r="V16" s="137">
        <f ca="1">INDEX([1]!tbl_Forecast,MATCH($D$8&amp;$C16&amp;$D$7,[1]!rng_ForecastRowLookup,0),MATCH(V$11,[1]!rng_ForecastColumnLookup,0))</f>
        <v>1948.7048126440727</v>
      </c>
      <c r="W16" s="137">
        <f ca="1">INDEX([1]!tbl_Forecast,MATCH($D$8&amp;$C16&amp;$D$7,[1]!rng_ForecastRowLookup,0),MATCH(W$11,[1]!rng_ForecastColumnLookup,0))</f>
        <v>1949.296705787131</v>
      </c>
      <c r="X16" s="137">
        <f ca="1">INDEX([1]!tbl_Forecast,MATCH($D$8&amp;$C16&amp;$D$7,[1]!rng_ForecastRowLookup,0),MATCH(X$11,[1]!rng_ForecastColumnLookup,0))</f>
        <v>1949.5267750605763</v>
      </c>
      <c r="Y16" s="137"/>
      <c r="Z16" s="137"/>
      <c r="AA16" s="137">
        <f t="shared" ca="1" si="1"/>
        <v>38891.88615857609</v>
      </c>
    </row>
    <row r="17" spans="1:27">
      <c r="E17" s="137"/>
      <c r="F17" s="137"/>
      <c r="G17" s="137"/>
      <c r="H17" s="137"/>
      <c r="I17" s="137"/>
      <c r="J17" s="137"/>
      <c r="K17" s="137"/>
      <c r="L17" s="137"/>
      <c r="M17" s="137"/>
      <c r="N17" s="137"/>
      <c r="O17" s="137"/>
      <c r="P17" s="137"/>
      <c r="Q17" s="137"/>
      <c r="R17" s="137"/>
      <c r="S17" s="137"/>
      <c r="T17" s="137"/>
      <c r="U17" s="137"/>
      <c r="V17" s="137"/>
      <c r="W17" s="137"/>
      <c r="X17" s="137"/>
      <c r="Y17" s="137"/>
    </row>
    <row r="18" spans="1:27">
      <c r="B18" s="34" t="s">
        <v>981</v>
      </c>
      <c r="C18" s="34" t="s">
        <v>982</v>
      </c>
      <c r="E18" s="137">
        <f t="shared" ref="E18:X18" ca="1" si="2">SUM(E13:E16)</f>
        <v>93061.920247153292</v>
      </c>
      <c r="F18" s="137">
        <f t="shared" ca="1" si="2"/>
        <v>90100.948539574325</v>
      </c>
      <c r="G18" s="137">
        <f t="shared" ca="1" si="2"/>
        <v>86866.015827370516</v>
      </c>
      <c r="H18" s="137">
        <f t="shared" ca="1" si="2"/>
        <v>84078.189292039577</v>
      </c>
      <c r="I18" s="137">
        <f t="shared" ca="1" si="2"/>
        <v>80893.425282727228</v>
      </c>
      <c r="J18" s="137">
        <f t="shared" ca="1" si="2"/>
        <v>77490.543361619988</v>
      </c>
      <c r="K18" s="137">
        <f t="shared" ca="1" si="2"/>
        <v>75866.224752448965</v>
      </c>
      <c r="L18" s="137">
        <f t="shared" ca="1" si="2"/>
        <v>76149.794725545056</v>
      </c>
      <c r="M18" s="137">
        <f t="shared" ca="1" si="2"/>
        <v>76223.656214367264</v>
      </c>
      <c r="N18" s="137">
        <f t="shared" ca="1" si="2"/>
        <v>77783.59964469698</v>
      </c>
      <c r="O18" s="137">
        <f t="shared" ca="1" si="2"/>
        <v>78170.651995712979</v>
      </c>
      <c r="P18" s="137">
        <f t="shared" ca="1" si="2"/>
        <v>77524.11896654492</v>
      </c>
      <c r="Q18" s="137">
        <f t="shared" ca="1" si="2"/>
        <v>76219.011417055648</v>
      </c>
      <c r="R18" s="137">
        <f t="shared" ca="1" si="2"/>
        <v>76022.473980439609</v>
      </c>
      <c r="S18" s="137">
        <f t="shared" ca="1" si="2"/>
        <v>76294.221270583323</v>
      </c>
      <c r="T18" s="137">
        <f t="shared" ca="1" si="2"/>
        <v>75557.419667965733</v>
      </c>
      <c r="U18" s="137">
        <f t="shared" ca="1" si="2"/>
        <v>73529.307407457556</v>
      </c>
      <c r="V18" s="137">
        <f t="shared" ca="1" si="2"/>
        <v>73089.266785410931</v>
      </c>
      <c r="W18" s="137">
        <f t="shared" ca="1" si="2"/>
        <v>72808.300134269928</v>
      </c>
      <c r="X18" s="137">
        <f t="shared" ca="1" si="2"/>
        <v>73033.072604687884</v>
      </c>
      <c r="Y18" s="137"/>
      <c r="AA18" s="137">
        <f ca="1">SUM(E18:X18)</f>
        <v>1570762.1621176719</v>
      </c>
    </row>
    <row r="19" spans="1:27">
      <c r="E19" s="137"/>
      <c r="F19" s="137"/>
      <c r="G19" s="137"/>
      <c r="H19" s="137"/>
      <c r="I19" s="137"/>
      <c r="J19" s="137"/>
      <c r="K19" s="137"/>
      <c r="L19" s="137"/>
      <c r="M19" s="137"/>
      <c r="N19" s="137"/>
      <c r="O19" s="137"/>
      <c r="P19" s="137"/>
      <c r="Q19" s="137"/>
      <c r="R19" s="137"/>
      <c r="S19" s="137"/>
      <c r="T19" s="137"/>
      <c r="U19" s="137"/>
      <c r="V19" s="137"/>
      <c r="W19" s="137"/>
      <c r="X19" s="137"/>
      <c r="Y19" s="137"/>
    </row>
    <row r="20" spans="1:27">
      <c r="E20" s="137"/>
      <c r="F20" s="137"/>
      <c r="G20" s="137"/>
      <c r="H20" s="137"/>
      <c r="I20" s="137"/>
      <c r="J20" s="137"/>
      <c r="K20" s="137"/>
      <c r="L20" s="137"/>
      <c r="M20" s="137"/>
      <c r="N20" s="137"/>
      <c r="O20" s="137"/>
      <c r="P20" s="137"/>
      <c r="Q20" s="137"/>
      <c r="R20" s="137"/>
      <c r="S20" s="137"/>
      <c r="T20" s="137"/>
      <c r="U20" s="137"/>
      <c r="V20" s="137"/>
      <c r="W20" s="137"/>
      <c r="X20" s="137"/>
      <c r="Y20" s="137"/>
    </row>
    <row r="21" spans="1:27" ht="15">
      <c r="A21" s="535" t="str">
        <f>CONCATENATE("# HOMES APPLICABLE BY YEAR FOR MEASURE - ",C22)</f>
        <v># HOMES APPLICABLE BY YEAR FOR MEASURE - Dishwasher - New</v>
      </c>
      <c r="B21" s="535"/>
      <c r="E21" s="137"/>
      <c r="F21" s="137"/>
      <c r="G21" s="137"/>
      <c r="H21" s="137"/>
      <c r="I21" s="137"/>
      <c r="J21" s="137"/>
      <c r="K21" s="137"/>
      <c r="L21" s="137"/>
      <c r="M21" s="137"/>
      <c r="N21" s="137"/>
      <c r="O21" s="137"/>
      <c r="P21" s="137"/>
      <c r="Q21" s="137"/>
      <c r="R21" s="137"/>
      <c r="S21" s="137"/>
      <c r="T21" s="137"/>
      <c r="U21" s="137"/>
      <c r="V21" s="137"/>
      <c r="W21" s="137"/>
      <c r="X21" s="137"/>
      <c r="Y21" s="137"/>
    </row>
    <row r="22" spans="1:27" ht="15">
      <c r="A22" s="536" t="s">
        <v>983</v>
      </c>
      <c r="B22" s="536" t="s">
        <v>984</v>
      </c>
      <c r="C22" s="536" t="str">
        <f>CONCATENATE(C8," - ",C7)</f>
        <v>Dishwasher - New</v>
      </c>
      <c r="D22" s="536"/>
    </row>
    <row r="23" spans="1:27">
      <c r="A23" s="537">
        <f>INDEX([2]!ResApplic,MATCH($C$22,[2]APPLIC!$B$9:$B$120,0)+1,MATCH($C23,[2]APPLIC!$C$8:$F$8,0)+1)</f>
        <v>1</v>
      </c>
      <c r="B23" s="537">
        <f>VLOOKUP($C$8,[2]!NewSat,MATCH($C23,[2]SATS!$C$10:$F$10,0)+1,FALSE)</f>
        <v>0.87764489634961651</v>
      </c>
      <c r="C23" s="34" t="str">
        <f>C13</f>
        <v>Single Family</v>
      </c>
      <c r="E23" s="137">
        <f ca="1">E13*$A23*$B23</f>
        <v>55015.836460152037</v>
      </c>
      <c r="F23" s="137">
        <f t="shared" ref="F23:X26" ca="1" si="3">F13*$A23*$B23</f>
        <v>52625.151070683409</v>
      </c>
      <c r="G23" s="137">
        <f t="shared" ca="1" si="3"/>
        <v>49880.080570872866</v>
      </c>
      <c r="H23" s="137">
        <f t="shared" ca="1" si="3"/>
        <v>48257.474011248662</v>
      </c>
      <c r="I23" s="137">
        <f t="shared" ca="1" si="3"/>
        <v>46960.5614726598</v>
      </c>
      <c r="J23" s="137">
        <f t="shared" ca="1" si="3"/>
        <v>44744.135987940972</v>
      </c>
      <c r="K23" s="137">
        <f t="shared" ca="1" si="3"/>
        <v>43497.545852419003</v>
      </c>
      <c r="L23" s="137">
        <f t="shared" ca="1" si="3"/>
        <v>43289.41148760479</v>
      </c>
      <c r="M23" s="137">
        <f t="shared" ca="1" si="3"/>
        <v>42842.911401876714</v>
      </c>
      <c r="N23" s="137">
        <f t="shared" ca="1" si="3"/>
        <v>43604.252551851874</v>
      </c>
      <c r="O23" s="137">
        <f t="shared" ca="1" si="3"/>
        <v>43908.694401722118</v>
      </c>
      <c r="P23" s="137">
        <f t="shared" ca="1" si="3"/>
        <v>43344.918139074427</v>
      </c>
      <c r="Q23" s="137">
        <f t="shared" ca="1" si="3"/>
        <v>42196.59263672735</v>
      </c>
      <c r="R23" s="137">
        <f t="shared" ca="1" si="3"/>
        <v>42240.215976300409</v>
      </c>
      <c r="S23" s="137">
        <f t="shared" ca="1" si="3"/>
        <v>42733.02938320885</v>
      </c>
      <c r="T23" s="137">
        <f t="shared" ca="1" si="3"/>
        <v>42550.738150012556</v>
      </c>
      <c r="U23" s="137">
        <f t="shared" ca="1" si="3"/>
        <v>41143.115973618565</v>
      </c>
      <c r="V23" s="137">
        <f t="shared" ca="1" si="3"/>
        <v>41072.708667098712</v>
      </c>
      <c r="W23" s="137">
        <f t="shared" ca="1" si="3"/>
        <v>41177.015885384972</v>
      </c>
      <c r="X23" s="137">
        <f t="shared" ca="1" si="3"/>
        <v>41456.561582480455</v>
      </c>
      <c r="Y23" s="137"/>
      <c r="AA23" s="137">
        <f t="shared" ref="AA23:AA26" ca="1" si="4">SUM(E23:Y23)</f>
        <v>892540.95166293846</v>
      </c>
    </row>
    <row r="24" spans="1:27">
      <c r="A24" s="537">
        <f>INDEX([2]!ResApplic,MATCH($C$22,[2]APPLIC!$B$9:$B$120,0)+1,MATCH($C24,[2]APPLIC!$C$8:$F$8,0)+1)</f>
        <v>1</v>
      </c>
      <c r="B24" s="537">
        <f>VLOOKUP($C$8,[2]!NewSat,MATCH($C24,[2]SATS!$C$10:$F$10,0)+1,FALSE)</f>
        <v>0.78113749066870952</v>
      </c>
      <c r="C24" s="34" t="str">
        <f>C14</f>
        <v>Multifamily - Low Rise</v>
      </c>
      <c r="E24" s="137">
        <f t="shared" ref="E24:T26" ca="1" si="5">E14*$A24*$B24</f>
        <v>18185.151916297156</v>
      </c>
      <c r="F24" s="137">
        <f t="shared" ca="1" si="5"/>
        <v>17979.768221023551</v>
      </c>
      <c r="G24" s="137">
        <f t="shared" ca="1" si="5"/>
        <v>17819.002643423664</v>
      </c>
      <c r="H24" s="137">
        <f t="shared" ca="1" si="5"/>
        <v>17252.137298788126</v>
      </c>
      <c r="I24" s="137">
        <f t="shared" ca="1" si="5"/>
        <v>16261.606162911168</v>
      </c>
      <c r="J24" s="137">
        <f t="shared" ca="1" si="5"/>
        <v>15677.647632826982</v>
      </c>
      <c r="K24" s="137">
        <f t="shared" ca="1" si="5"/>
        <v>15535.130624285468</v>
      </c>
      <c r="L24" s="137">
        <f t="shared" ca="1" si="5"/>
        <v>15823.957715524575</v>
      </c>
      <c r="M24" s="137">
        <f t="shared" ca="1" si="5"/>
        <v>16208.890413010855</v>
      </c>
      <c r="N24" s="137">
        <f t="shared" ca="1" si="5"/>
        <v>16649.425594553464</v>
      </c>
      <c r="O24" s="137">
        <f t="shared" ca="1" si="5"/>
        <v>16718.909305401739</v>
      </c>
      <c r="P24" s="137">
        <f t="shared" ca="1" si="5"/>
        <v>16723.479957034913</v>
      </c>
      <c r="Q24" s="137">
        <f t="shared" ca="1" si="5"/>
        <v>16750.211087943717</v>
      </c>
      <c r="R24" s="137">
        <f t="shared" ca="1" si="5"/>
        <v>16567.821212922503</v>
      </c>
      <c r="S24" s="137">
        <f t="shared" ca="1" si="5"/>
        <v>16368.094008539823</v>
      </c>
      <c r="T24" s="137">
        <f t="shared" ca="1" si="5"/>
        <v>16033.190877716568</v>
      </c>
      <c r="U24" s="137">
        <f t="shared" ca="1" si="3"/>
        <v>15759.843815445889</v>
      </c>
      <c r="V24" s="137">
        <f t="shared" ca="1" si="3"/>
        <v>15560.043163528748</v>
      </c>
      <c r="W24" s="137">
        <f t="shared" ca="1" si="3"/>
        <v>15260.453610257449</v>
      </c>
      <c r="X24" s="137">
        <f t="shared" ca="1" si="3"/>
        <v>15202.722132195169</v>
      </c>
      <c r="Y24" s="137"/>
      <c r="AA24" s="137">
        <f t="shared" ca="1" si="4"/>
        <v>328337.48739363154</v>
      </c>
    </row>
    <row r="25" spans="1:27">
      <c r="A25" s="537">
        <f>INDEX([2]!ResApplic,MATCH($C$22,[2]APPLIC!$B$9:$B$120,0)+1,MATCH($C25,[2]APPLIC!$C$8:$F$8,0)+1)</f>
        <v>1</v>
      </c>
      <c r="B25" s="537">
        <f>VLOOKUP($C$8,[2]!NewSat,MATCH($C25,[2]SATS!$C$10:$F$10,0)+1,FALSE)</f>
        <v>0.78113749066870952</v>
      </c>
      <c r="C25" s="34" t="str">
        <f>C15</f>
        <v>Multifamily - High Rise</v>
      </c>
      <c r="E25" s="137">
        <f t="shared" ca="1" si="5"/>
        <v>4082.4110159022998</v>
      </c>
      <c r="F25" s="137">
        <f t="shared" ca="1" si="3"/>
        <v>4093.1238373106835</v>
      </c>
      <c r="G25" s="137">
        <f t="shared" ca="1" si="3"/>
        <v>4117.5798058710789</v>
      </c>
      <c r="H25" s="137">
        <f t="shared" ca="1" si="3"/>
        <v>3894.6605673352201</v>
      </c>
      <c r="I25" s="137">
        <f t="shared" ca="1" si="3"/>
        <v>3599.9433682822887</v>
      </c>
      <c r="J25" s="137">
        <f t="shared" ca="1" si="3"/>
        <v>3522.6469955929761</v>
      </c>
      <c r="K25" s="137">
        <f t="shared" ca="1" si="3"/>
        <v>3500.8710344337915</v>
      </c>
      <c r="L25" s="137">
        <f t="shared" ca="1" si="3"/>
        <v>3610.2856883985532</v>
      </c>
      <c r="M25" s="137">
        <f t="shared" ca="1" si="3"/>
        <v>3672.1103884522654</v>
      </c>
      <c r="N25" s="137">
        <f t="shared" ca="1" si="3"/>
        <v>3771.5186242504892</v>
      </c>
      <c r="O25" s="137">
        <f t="shared" ca="1" si="3"/>
        <v>3741.6680415452461</v>
      </c>
      <c r="P25" s="137">
        <f t="shared" ca="1" si="3"/>
        <v>3735.4502513778089</v>
      </c>
      <c r="Q25" s="137">
        <f t="shared" ca="1" si="3"/>
        <v>3709.1461012744944</v>
      </c>
      <c r="R25" s="137">
        <f t="shared" ca="1" si="3"/>
        <v>3697.5005392590019</v>
      </c>
      <c r="S25" s="137">
        <f t="shared" ca="1" si="3"/>
        <v>3670.3285223157227</v>
      </c>
      <c r="T25" s="137">
        <f t="shared" ca="1" si="3"/>
        <v>3592.6847145625566</v>
      </c>
      <c r="U25" s="137">
        <f t="shared" ca="1" si="3"/>
        <v>3535.6707647496855</v>
      </c>
      <c r="V25" s="137">
        <f t="shared" ca="1" si="3"/>
        <v>3454.2368873581572</v>
      </c>
      <c r="W25" s="137">
        <f t="shared" ca="1" si="3"/>
        <v>3441.0530962425901</v>
      </c>
      <c r="X25" s="137">
        <f t="shared" ca="1" si="3"/>
        <v>3425.3767108308134</v>
      </c>
      <c r="Y25" s="137"/>
      <c r="AA25" s="137">
        <f t="shared" ca="1" si="4"/>
        <v>73868.266955345709</v>
      </c>
    </row>
    <row r="26" spans="1:27">
      <c r="A26" s="537">
        <f>INDEX([2]!ResApplic,MATCH($C$22,[2]APPLIC!$B$9:$B$120,0)+1,MATCH($C26,[2]APPLIC!$C$8:$F$8,0)+1)</f>
        <v>1</v>
      </c>
      <c r="B26" s="537">
        <f>VLOOKUP($C$8,[2]!NewSat,MATCH($C26,[2]SATS!$C$10:$F$10,0)+1,FALSE)</f>
        <v>0.76196535734220561</v>
      </c>
      <c r="C26" t="s">
        <v>931</v>
      </c>
      <c r="D26"/>
      <c r="E26" s="137">
        <f t="shared" ca="1" si="5"/>
        <v>1424.5516916195761</v>
      </c>
      <c r="F26" s="137">
        <f t="shared" ca="1" si="3"/>
        <v>1433.8635947018493</v>
      </c>
      <c r="G26" s="137">
        <f t="shared" ca="1" si="3"/>
        <v>1485.1726027988923</v>
      </c>
      <c r="H26" s="137">
        <f t="shared" ca="1" si="3"/>
        <v>1540.0816073649801</v>
      </c>
      <c r="I26" s="137">
        <f t="shared" ca="1" si="3"/>
        <v>1493.0758198069245</v>
      </c>
      <c r="J26" s="137">
        <f t="shared" ca="1" si="3"/>
        <v>1469.5084329299386</v>
      </c>
      <c r="K26" s="137">
        <f t="shared" ca="1" si="3"/>
        <v>1474.3756248703601</v>
      </c>
      <c r="L26" s="137">
        <f t="shared" ca="1" si="3"/>
        <v>1482.679613745491</v>
      </c>
      <c r="M26" s="137">
        <f t="shared" ca="1" si="3"/>
        <v>1490.815616919431</v>
      </c>
      <c r="N26" s="137">
        <f t="shared" ca="1" si="3"/>
        <v>1491.7561192728542</v>
      </c>
      <c r="O26" s="137">
        <f t="shared" ca="1" si="3"/>
        <v>1483.7018712574998</v>
      </c>
      <c r="P26" s="137">
        <f t="shared" ca="1" si="3"/>
        <v>1482.1395464992622</v>
      </c>
      <c r="Q26" s="137">
        <f t="shared" ca="1" si="3"/>
        <v>1484.2447320941496</v>
      </c>
      <c r="R26" s="137">
        <f t="shared" ca="1" si="3"/>
        <v>1485.8895832981145</v>
      </c>
      <c r="S26" s="137">
        <f t="shared" ca="1" si="3"/>
        <v>1486.4245782235523</v>
      </c>
      <c r="T26" s="137">
        <f t="shared" ca="1" si="3"/>
        <v>1485.6927384409055</v>
      </c>
      <c r="U26" s="137">
        <f t="shared" ca="1" si="3"/>
        <v>1484.6821749689141</v>
      </c>
      <c r="V26" s="137">
        <f t="shared" ca="1" si="3"/>
        <v>1484.8455589208168</v>
      </c>
      <c r="W26" s="137">
        <f t="shared" ca="1" si="3"/>
        <v>1485.2965609910755</v>
      </c>
      <c r="X26" s="137">
        <f t="shared" ca="1" si="3"/>
        <v>1485.4718658072297</v>
      </c>
      <c r="Y26" s="137"/>
      <c r="AA26" s="137">
        <f t="shared" ca="1" si="4"/>
        <v>29634.269934531818</v>
      </c>
    </row>
    <row r="27" spans="1:27">
      <c r="E27" s="137"/>
      <c r="F27" s="137"/>
      <c r="G27" s="137"/>
      <c r="H27" s="137"/>
      <c r="I27" s="137"/>
      <c r="J27" s="137"/>
      <c r="K27" s="137"/>
      <c r="L27" s="137"/>
      <c r="M27" s="137"/>
      <c r="N27" s="137"/>
      <c r="O27" s="137"/>
      <c r="P27" s="137"/>
      <c r="Q27" s="137"/>
      <c r="R27" s="137"/>
      <c r="S27" s="137"/>
      <c r="T27" s="137"/>
      <c r="U27" s="137"/>
      <c r="V27" s="137"/>
      <c r="W27" s="137"/>
      <c r="X27" s="137"/>
      <c r="Y27" s="137"/>
    </row>
    <row r="28" spans="1:27">
      <c r="E28" s="137">
        <f t="shared" ref="E28:X28" ca="1" si="6">SUM(E23:E26)</f>
        <v>78707.951083971071</v>
      </c>
      <c r="F28" s="137">
        <f t="shared" ca="1" si="6"/>
        <v>76131.906723719498</v>
      </c>
      <c r="G28" s="137">
        <f t="shared" ca="1" si="6"/>
        <v>73301.835622966493</v>
      </c>
      <c r="H28" s="137">
        <f t="shared" ca="1" si="6"/>
        <v>70944.353484736988</v>
      </c>
      <c r="I28" s="137">
        <f t="shared" ca="1" si="6"/>
        <v>68315.186823660173</v>
      </c>
      <c r="J28" s="137">
        <f t="shared" ca="1" si="6"/>
        <v>65413.939049290864</v>
      </c>
      <c r="K28" s="137">
        <f t="shared" ca="1" si="6"/>
        <v>64007.92313600862</v>
      </c>
      <c r="L28" s="137">
        <f t="shared" ca="1" si="6"/>
        <v>64206.3345052734</v>
      </c>
      <c r="M28" s="137">
        <f t="shared" ca="1" si="6"/>
        <v>64214.727820259272</v>
      </c>
      <c r="N28" s="137">
        <f t="shared" ca="1" si="6"/>
        <v>65516.952889928674</v>
      </c>
      <c r="O28" s="137">
        <f t="shared" ca="1" si="6"/>
        <v>65852.97361992659</v>
      </c>
      <c r="P28" s="137">
        <f t="shared" ca="1" si="6"/>
        <v>65285.987893986407</v>
      </c>
      <c r="Q28" s="137">
        <f t="shared" ca="1" si="6"/>
        <v>64140.194558039708</v>
      </c>
      <c r="R28" s="137">
        <f t="shared" ca="1" si="6"/>
        <v>63991.427311780033</v>
      </c>
      <c r="S28" s="137">
        <f t="shared" ca="1" si="6"/>
        <v>64257.876492287949</v>
      </c>
      <c r="T28" s="137">
        <f t="shared" ca="1" si="6"/>
        <v>63662.306480732586</v>
      </c>
      <c r="U28" s="137">
        <f t="shared" ca="1" si="6"/>
        <v>61923.31272878305</v>
      </c>
      <c r="V28" s="137">
        <f t="shared" ca="1" si="6"/>
        <v>61571.834276906433</v>
      </c>
      <c r="W28" s="137">
        <f t="shared" ca="1" si="6"/>
        <v>61363.819152876087</v>
      </c>
      <c r="X28" s="137">
        <f t="shared" ca="1" si="6"/>
        <v>61570.132291313668</v>
      </c>
      <c r="Y28" s="137"/>
      <c r="AA28" s="137">
        <f ca="1">SUM(E28:Y28)</f>
        <v>1324380.9759464476</v>
      </c>
    </row>
    <row r="29" spans="1:27">
      <c r="E29" s="137"/>
      <c r="F29" s="137"/>
      <c r="G29" s="137"/>
      <c r="H29" s="137"/>
      <c r="I29" s="137"/>
      <c r="J29" s="137"/>
      <c r="K29" s="137"/>
      <c r="L29" s="137"/>
      <c r="M29" s="137"/>
      <c r="N29" s="137"/>
      <c r="O29" s="137"/>
      <c r="P29" s="137"/>
      <c r="Q29" s="137"/>
      <c r="R29" s="137"/>
      <c r="S29" s="137"/>
      <c r="T29" s="137"/>
      <c r="U29" s="137"/>
      <c r="V29" s="137"/>
      <c r="W29" s="137"/>
      <c r="X29" s="137"/>
      <c r="Y29" s="137"/>
    </row>
    <row r="31" spans="1:27" ht="15.75" thickBot="1">
      <c r="A31" s="538" t="str">
        <f>CONCATENATE("# UNITS ACHIEVABLE BY YEAR FOR MEASURE - ",C32)</f>
        <v># UNITS ACHIEVABLE BY YEAR FOR MEASURE - Dishwasher - New</v>
      </c>
      <c r="B31" s="538"/>
      <c r="D31" s="539" t="s">
        <v>985</v>
      </c>
      <c r="E31" s="34">
        <v>3</v>
      </c>
      <c r="F31" s="34">
        <v>4</v>
      </c>
      <c r="G31" s="34">
        <v>5</v>
      </c>
      <c r="H31" s="34">
        <v>6</v>
      </c>
      <c r="I31" s="34">
        <v>7</v>
      </c>
      <c r="J31" s="34">
        <v>8</v>
      </c>
      <c r="K31" s="34">
        <v>9</v>
      </c>
      <c r="L31" s="34">
        <v>10</v>
      </c>
      <c r="M31" s="34">
        <v>11</v>
      </c>
      <c r="N31" s="34">
        <v>12</v>
      </c>
      <c r="O31" s="34">
        <v>13</v>
      </c>
      <c r="P31" s="34">
        <v>14</v>
      </c>
      <c r="Q31" s="34">
        <v>15</v>
      </c>
      <c r="R31" s="34">
        <v>16</v>
      </c>
      <c r="S31" s="34">
        <v>17</v>
      </c>
      <c r="T31" s="34">
        <v>18</v>
      </c>
      <c r="U31" s="34">
        <v>19</v>
      </c>
      <c r="V31" s="34">
        <v>20</v>
      </c>
      <c r="W31" s="34">
        <v>21</v>
      </c>
      <c r="X31" s="34">
        <v>22</v>
      </c>
    </row>
    <row r="32" spans="1:27" ht="15.75" thickBot="1">
      <c r="C32" s="536" t="str">
        <f>CONCATENATE(C8," - ",C7)</f>
        <v>Dishwasher - New</v>
      </c>
      <c r="D32" s="536"/>
      <c r="E32" s="540">
        <f>VLOOKUP($C$32,[2]ACHIEV!$B$9:$X$100,MATCH(E$11,$E$11:$Y$11,0)+2,FALSE)</f>
        <v>0.10937459468255628</v>
      </c>
      <c r="F32" s="540">
        <f>VLOOKUP($C$32,[2]ACHIEV!$B$9:$X$100,MATCH(F$11,$E$11:$Y$11,0)+2,FALSE)</f>
        <v>0.21874918936511256</v>
      </c>
      <c r="G32" s="540">
        <f>VLOOKUP($C$32,[2]ACHIEV!$B$9:$X$100,MATCH(G$11,$E$11:$Y$11,0)+2,FALSE)</f>
        <v>0.32812378404766884</v>
      </c>
      <c r="H32" s="540">
        <f>VLOOKUP($C$32,[2]ACHIEV!$B$9:$X$100,MATCH(H$11,$E$11:$Y$11,0)+2,FALSE)</f>
        <v>0.43749837873022512</v>
      </c>
      <c r="I32" s="540">
        <f>VLOOKUP($C$32,[2]ACHIEV!$B$9:$X$100,MATCH(I$11,$E$11:$Y$11,0)+2,FALSE)</f>
        <v>0.5468729734127814</v>
      </c>
      <c r="J32" s="540">
        <f>VLOOKUP($C$32,[2]ACHIEV!$B$9:$X$100,MATCH(J$11,$E$11:$Y$11,0)+2,FALSE)</f>
        <v>0.64531010862708205</v>
      </c>
      <c r="K32" s="540">
        <f>VLOOKUP($C$32,[2]ACHIEV!$B$9:$X$100,MATCH(K$11,$E$11:$Y$11,0)+2,FALSE)</f>
        <v>0.7240598167985226</v>
      </c>
      <c r="L32" s="540">
        <f>VLOOKUP($C$32,[2]ACHIEV!$B$9:$X$100,MATCH(L$11,$E$11:$Y$11,0)+2,FALSE)</f>
        <v>0.78705958333567505</v>
      </c>
      <c r="M32" s="540">
        <f>VLOOKUP($C$32,[2]ACHIEV!$B$9:$X$100,MATCH(M$11,$E$11:$Y$11,0)+2,FALSE)</f>
        <v>0.83745939656539703</v>
      </c>
      <c r="N32" s="540">
        <f>VLOOKUP($C$32,[2]ACHIEV!$B$9:$X$100,MATCH(N$11,$E$11:$Y$11,0)+2,FALSE)</f>
        <v>0.87777924714917455</v>
      </c>
      <c r="O32" s="540">
        <f>VLOOKUP($C$32,[2]ACHIEV!$B$9:$X$100,MATCH(O$11,$E$11:$Y$11,0)+2,FALSE)</f>
        <v>0.91003512761619654</v>
      </c>
      <c r="P32" s="540">
        <f>VLOOKUP($C$32,[2]ACHIEV!$B$9:$X$100,MATCH(P$11,$E$11:$Y$11,0)+2,FALSE)</f>
        <v>0.93583983198981413</v>
      </c>
      <c r="Q32" s="540">
        <f>VLOOKUP($C$32,[2]ACHIEV!$B$9:$X$100,MATCH(Q$11,$E$11:$Y$11,0)+2,FALSE)</f>
        <v>0.9564835954887082</v>
      </c>
      <c r="R32" s="540">
        <f>VLOOKUP($C$32,[2]ACHIEV!$B$9:$X$100,MATCH(R$11,$E$11:$Y$11,0)+2,FALSE)</f>
        <v>0.97299860628782353</v>
      </c>
      <c r="S32" s="540">
        <f>VLOOKUP($C$32,[2]ACHIEV!$B$9:$X$100,MATCH(S$11,$E$11:$Y$11,0)+2,FALSE)</f>
        <v>0.9862106149271157</v>
      </c>
      <c r="T32" s="540">
        <f>VLOOKUP($C$32,[2]ACHIEV!$B$9:$X$100,MATCH(T$11,$E$11:$Y$11,0)+2,FALSE)</f>
        <v>0.99678022183854953</v>
      </c>
      <c r="U32" s="540">
        <f>VLOOKUP($C$32,[2]ACHIEV!$B$9:$X$100,MATCH(U$11,$E$11:$Y$11,0)+2,FALSE)</f>
        <v>0.99685231466234414</v>
      </c>
      <c r="V32" s="540">
        <f>VLOOKUP($C$32,[2]ACHIEV!$B$9:$X$100,MATCH(V$11,$E$11:$Y$11,0)+2,FALSE)</f>
        <v>0.99687806209941365</v>
      </c>
      <c r="W32" s="540">
        <f>VLOOKUP($C$32,[2]ACHIEV!$B$9:$X$100,MATCH(W$11,$E$11:$Y$11,0)+2,FALSE)</f>
        <v>0.99688683963477831</v>
      </c>
      <c r="X32" s="540">
        <f>VLOOKUP($C$32,[2]ACHIEV!$B$9:$X$100,MATCH(X$11,$E$11:$Y$11,0)+2,FALSE)</f>
        <v>0.99688970187457115</v>
      </c>
      <c r="Y32" s="540"/>
      <c r="AA32" s="612">
        <v>0.85</v>
      </c>
    </row>
    <row r="33" spans="1:80">
      <c r="C33" s="34" t="str">
        <f>C23</f>
        <v>Single Family</v>
      </c>
      <c r="E33" s="137">
        <f ca="1">E23*E$32*$AA$32</f>
        <v>5114.7345918582914</v>
      </c>
      <c r="F33" s="137">
        <f t="shared" ref="F33:X33" ca="1" si="7">F23*F$32*$AA$32</f>
        <v>9784.9527663892932</v>
      </c>
      <c r="G33" s="137">
        <f t="shared" ca="1" si="7"/>
        <v>13911.814667689798</v>
      </c>
      <c r="H33" s="137">
        <f t="shared" ca="1" si="7"/>
        <v>17945.681645306671</v>
      </c>
      <c r="I33" s="137">
        <f t="shared" ca="1" si="7"/>
        <v>21829.242602834096</v>
      </c>
      <c r="J33" s="137">
        <f t="shared" ca="1" si="7"/>
        <v>24542.766766582652</v>
      </c>
      <c r="K33" s="137">
        <f t="shared" ca="1" si="7"/>
        <v>26770.601318924666</v>
      </c>
      <c r="L33" s="137">
        <f t="shared" ca="1" si="7"/>
        <v>28960.644243038689</v>
      </c>
      <c r="M33" s="137">
        <f t="shared" ca="1" si="7"/>
        <v>30497.318920262373</v>
      </c>
      <c r="N33" s="137">
        <f t="shared" ca="1" si="7"/>
        <v>32533.671780846958</v>
      </c>
      <c r="O33" s="137">
        <f t="shared" ca="1" si="7"/>
        <v>33964.686166332001</v>
      </c>
      <c r="P33" s="137">
        <f t="shared" ca="1" si="7"/>
        <v>34479.315772551112</v>
      </c>
      <c r="Q33" s="137">
        <f t="shared" ca="1" si="7"/>
        <v>34306.296346166928</v>
      </c>
      <c r="R33" s="137">
        <f t="shared" ca="1" si="7"/>
        <v>34934.720583101414</v>
      </c>
      <c r="S33" s="137">
        <f t="shared" ca="1" si="7"/>
        <v>35822.202107855963</v>
      </c>
      <c r="T33" s="137">
        <f t="shared" ca="1" si="7"/>
        <v>36051.674080679011</v>
      </c>
      <c r="U33" s="137">
        <f t="shared" ca="1" si="7"/>
        <v>34861.568832114492</v>
      </c>
      <c r="V33" s="137">
        <f t="shared" ca="1" si="7"/>
        <v>34802.809888046482</v>
      </c>
      <c r="W33" s="137">
        <f t="shared" ca="1" si="7"/>
        <v>34891.501446836613</v>
      </c>
      <c r="X33" s="137">
        <f t="shared" ca="1" si="7"/>
        <v>35128.476419198181</v>
      </c>
      <c r="Y33" s="137"/>
      <c r="AA33" s="137">
        <f t="shared" ref="AA33:AA36" ca="1" si="8">SUM(E33:Y33)</f>
        <v>561134.68094661576</v>
      </c>
    </row>
    <row r="34" spans="1:80">
      <c r="C34" s="34" t="str">
        <f>C24</f>
        <v>Multifamily - Low Rise</v>
      </c>
      <c r="E34" s="137">
        <f t="shared" ref="E34:X34" ca="1" si="9">E24*E$32*$AA$32</f>
        <v>1690.644577072856</v>
      </c>
      <c r="F34" s="137">
        <f t="shared" ca="1" si="9"/>
        <v>3343.1007648232862</v>
      </c>
      <c r="G34" s="137">
        <f t="shared" ca="1" si="9"/>
        <v>4969.8127890182486</v>
      </c>
      <c r="H34" s="137">
        <f t="shared" ca="1" si="9"/>
        <v>6415.6147831733933</v>
      </c>
      <c r="I34" s="137">
        <f t="shared" ca="1" si="9"/>
        <v>7559.0779775620149</v>
      </c>
      <c r="J34" s="137">
        <f t="shared" ca="1" si="9"/>
        <v>8599.4028224131907</v>
      </c>
      <c r="K34" s="137">
        <f t="shared" ca="1" si="9"/>
        <v>9561.1092586970663</v>
      </c>
      <c r="L34" s="137">
        <f t="shared" ca="1" si="9"/>
        <v>10586.237931356794</v>
      </c>
      <c r="M34" s="137">
        <f t="shared" ca="1" si="9"/>
        <v>11538.144446633512</v>
      </c>
      <c r="N34" s="137">
        <f t="shared" ca="1" si="9"/>
        <v>12422.342224275337</v>
      </c>
      <c r="O34" s="137">
        <f t="shared" ca="1" si="9"/>
        <v>12932.575548843153</v>
      </c>
      <c r="P34" s="137">
        <f t="shared" ca="1" si="9"/>
        <v>13302.92387228509</v>
      </c>
      <c r="Q34" s="137">
        <f t="shared" ca="1" si="9"/>
        <v>13618.106807602548</v>
      </c>
      <c r="R34" s="137">
        <f t="shared" ca="1" si="9"/>
        <v>13702.396906989517</v>
      </c>
      <c r="S34" s="137">
        <f t="shared" ca="1" si="9"/>
        <v>13721.029848744864</v>
      </c>
      <c r="T34" s="137">
        <f t="shared" ca="1" si="9"/>
        <v>13584.33242588961</v>
      </c>
      <c r="U34" s="137">
        <f t="shared" ca="1" si="9"/>
        <v>13353.701268222623</v>
      </c>
      <c r="V34" s="137">
        <f t="shared" ca="1" si="9"/>
        <v>13184.745823785503</v>
      </c>
      <c r="W34" s="137">
        <f t="shared" ca="1" si="9"/>
        <v>12931.003565284287</v>
      </c>
      <c r="X34" s="137">
        <f t="shared" ca="1" si="9"/>
        <v>12882.121563939088</v>
      </c>
      <c r="Y34" s="137"/>
      <c r="AA34" s="137">
        <f t="shared" ca="1" si="8"/>
        <v>209898.42520661195</v>
      </c>
    </row>
    <row r="35" spans="1:80">
      <c r="C35" s="34" t="s">
        <v>942</v>
      </c>
      <c r="E35" s="137">
        <f t="shared" ref="E35:X35" ca="1" si="10">E25*E$32*$AA$32</f>
        <v>379.53524266312928</v>
      </c>
      <c r="F35" s="137">
        <f t="shared" ca="1" si="10"/>
        <v>761.06239317532118</v>
      </c>
      <c r="G35" s="137">
        <f t="shared" ca="1" si="10"/>
        <v>1148.4144869675813</v>
      </c>
      <c r="H35" s="137">
        <f t="shared" ca="1" si="10"/>
        <v>1448.321531326643</v>
      </c>
      <c r="I35" s="137">
        <f t="shared" ca="1" si="10"/>
        <v>1673.404973840635</v>
      </c>
      <c r="J35" s="137">
        <f t="shared" ca="1" si="10"/>
        <v>1932.2197580738223</v>
      </c>
      <c r="K35" s="137">
        <f t="shared" ca="1" si="10"/>
        <v>2154.6140338532773</v>
      </c>
      <c r="L35" s="137">
        <f t="shared" ca="1" si="10"/>
        <v>2415.2834571886588</v>
      </c>
      <c r="M35" s="137">
        <f t="shared" ca="1" si="10"/>
        <v>2613.9568475295455</v>
      </c>
      <c r="N35" s="137">
        <f t="shared" ca="1" si="10"/>
        <v>2813.9766618131321</v>
      </c>
      <c r="O35" s="137">
        <f t="shared" ca="1" si="10"/>
        <v>2894.2919506323115</v>
      </c>
      <c r="P35" s="137">
        <f t="shared" ca="1" si="10"/>
        <v>2971.4156653073601</v>
      </c>
      <c r="Q35" s="137">
        <f t="shared" ca="1" si="10"/>
        <v>3015.5767892689596</v>
      </c>
      <c r="R35" s="137">
        <f t="shared" ca="1" si="10"/>
        <v>3058.0134407303622</v>
      </c>
      <c r="S35" s="137">
        <f t="shared" ca="1" si="10"/>
        <v>3076.7594066308925</v>
      </c>
      <c r="T35" s="137">
        <f t="shared" ca="1" si="10"/>
        <v>3043.9495067609864</v>
      </c>
      <c r="U35" s="137">
        <f t="shared" ca="1" si="10"/>
        <v>2995.8603478659988</v>
      </c>
      <c r="V35" s="137">
        <f t="shared" ca="1" si="10"/>
        <v>2926.9350281566235</v>
      </c>
      <c r="W35" s="137">
        <f t="shared" ca="1" si="10"/>
        <v>2915.7894642094325</v>
      </c>
      <c r="X35" s="137">
        <f t="shared" ca="1" si="10"/>
        <v>2902.5143528579943</v>
      </c>
      <c r="Y35" s="137"/>
      <c r="AA35" s="137">
        <f t="shared" ca="1" si="8"/>
        <v>47141.895338852664</v>
      </c>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row>
    <row r="36" spans="1:80">
      <c r="C36" s="34" t="str">
        <f>C26</f>
        <v>Manufactured</v>
      </c>
      <c r="E36" s="137">
        <f t="shared" ref="E36:X36" ca="1" si="11">E26*E$32*$AA$32</f>
        <v>132.43829929395488</v>
      </c>
      <c r="F36" s="137">
        <f t="shared" ca="1" si="11"/>
        <v>266.60802415099943</v>
      </c>
      <c r="G36" s="137">
        <f t="shared" ca="1" si="11"/>
        <v>414.22238623515329</v>
      </c>
      <c r="H36" s="137">
        <f t="shared" ca="1" si="11"/>
        <v>572.71572538425528</v>
      </c>
      <c r="I36" s="137">
        <f t="shared" ca="1" si="11"/>
        <v>694.04439114225818</v>
      </c>
      <c r="J36" s="137">
        <f t="shared" ca="1" si="11"/>
        <v>806.04534951006701</v>
      </c>
      <c r="K36" s="137">
        <f t="shared" ca="1" si="11"/>
        <v>907.40572311046401</v>
      </c>
      <c r="L36" s="137">
        <f t="shared" ca="1" si="11"/>
        <v>991.91361916260189</v>
      </c>
      <c r="M36" s="137">
        <f t="shared" ca="1" si="11"/>
        <v>1061.2229148952742</v>
      </c>
      <c r="N36" s="137">
        <f t="shared" ca="1" si="11"/>
        <v>1113.0176788096751</v>
      </c>
      <c r="O36" s="137">
        <f t="shared" ca="1" si="11"/>
        <v>1147.6876984910771</v>
      </c>
      <c r="P36" s="137">
        <f t="shared" ca="1" si="11"/>
        <v>1178.9884405541295</v>
      </c>
      <c r="Q36" s="137">
        <f t="shared" ca="1" si="11"/>
        <v>1206.7073772477986</v>
      </c>
      <c r="R36" s="137">
        <f t="shared" ca="1" si="11"/>
        <v>1228.9032195996613</v>
      </c>
      <c r="S36" s="137">
        <f t="shared" ca="1" si="11"/>
        <v>1246.038542732734</v>
      </c>
      <c r="T36" s="137">
        <f t="shared" ca="1" si="11"/>
        <v>1258.7727667959907</v>
      </c>
      <c r="U36" s="137">
        <f t="shared" ca="1" si="11"/>
        <v>1258.0075332573324</v>
      </c>
      <c r="V36" s="137">
        <f t="shared" ca="1" si="11"/>
        <v>1258.1784687998188</v>
      </c>
      <c r="W36" s="137">
        <f t="shared" ca="1" si="11"/>
        <v>1258.5717054157783</v>
      </c>
      <c r="X36" s="137">
        <f t="shared" ca="1" si="11"/>
        <v>1258.7238646304872</v>
      </c>
      <c r="Y36" s="137"/>
      <c r="AA36" s="137">
        <f t="shared" ca="1" si="8"/>
        <v>19260.213729219511</v>
      </c>
    </row>
    <row r="37" spans="1:80">
      <c r="E37" s="137"/>
      <c r="F37" s="137"/>
      <c r="G37" s="137"/>
      <c r="H37" s="137"/>
      <c r="I37" s="137"/>
      <c r="J37" s="137"/>
      <c r="K37" s="137"/>
      <c r="L37" s="137"/>
      <c r="M37" s="137"/>
      <c r="N37" s="137"/>
      <c r="O37" s="137"/>
      <c r="P37" s="137"/>
      <c r="Q37" s="137"/>
      <c r="R37" s="137"/>
      <c r="S37" s="137"/>
      <c r="T37" s="137"/>
      <c r="U37" s="137"/>
      <c r="V37" s="137"/>
      <c r="W37" s="137"/>
      <c r="X37" s="137"/>
      <c r="Y37" s="137"/>
    </row>
    <row r="38" spans="1:80">
      <c r="E38" s="137">
        <f t="shared" ref="E38:X38" ca="1" si="12">SUM(E33:E36)</f>
        <v>7317.3527108882308</v>
      </c>
      <c r="F38" s="137">
        <f t="shared" ca="1" si="12"/>
        <v>14155.7239485389</v>
      </c>
      <c r="G38" s="137">
        <f t="shared" ca="1" si="12"/>
        <v>20444.26432991078</v>
      </c>
      <c r="H38" s="137">
        <f t="shared" ca="1" si="12"/>
        <v>26382.333685190966</v>
      </c>
      <c r="I38" s="137">
        <f t="shared" ca="1" si="12"/>
        <v>31755.769945379005</v>
      </c>
      <c r="J38" s="137">
        <f t="shared" ca="1" si="12"/>
        <v>35880.43469657973</v>
      </c>
      <c r="K38" s="137">
        <f t="shared" ca="1" si="12"/>
        <v>39393.730334585482</v>
      </c>
      <c r="L38" s="137">
        <f t="shared" ca="1" si="12"/>
        <v>42954.079250746741</v>
      </c>
      <c r="M38" s="137">
        <f t="shared" ca="1" si="12"/>
        <v>45710.643129320706</v>
      </c>
      <c r="N38" s="137">
        <f t="shared" ca="1" si="12"/>
        <v>48883.008345745104</v>
      </c>
      <c r="O38" s="137">
        <f t="shared" ca="1" si="12"/>
        <v>50939.241364298541</v>
      </c>
      <c r="P38" s="137">
        <f t="shared" ca="1" si="12"/>
        <v>51932.643750697687</v>
      </c>
      <c r="Q38" s="137">
        <f t="shared" ca="1" si="12"/>
        <v>52146.687320286233</v>
      </c>
      <c r="R38" s="137">
        <f t="shared" ca="1" si="12"/>
        <v>52924.034150420957</v>
      </c>
      <c r="S38" s="137">
        <f t="shared" ca="1" si="12"/>
        <v>53866.029905964453</v>
      </c>
      <c r="T38" s="137">
        <f t="shared" ca="1" si="12"/>
        <v>53938.728780125602</v>
      </c>
      <c r="U38" s="137">
        <f t="shared" ca="1" si="12"/>
        <v>52469.137981460452</v>
      </c>
      <c r="V38" s="137">
        <f t="shared" ca="1" si="12"/>
        <v>52172.669208788429</v>
      </c>
      <c r="W38" s="137">
        <f t="shared" ca="1" si="12"/>
        <v>51996.866181746111</v>
      </c>
      <c r="X38" s="137">
        <f t="shared" ca="1" si="12"/>
        <v>52171.836200625752</v>
      </c>
      <c r="Y38" s="137"/>
      <c r="AA38" s="137">
        <f ca="1">SUM(E38:Y38)</f>
        <v>837435.21522129991</v>
      </c>
    </row>
    <row r="40" spans="1:80">
      <c r="AA40"/>
      <c r="AB40"/>
      <c r="AC40"/>
      <c r="AD40"/>
    </row>
    <row r="41" spans="1:80" ht="15">
      <c r="A41" s="535" t="s">
        <v>986</v>
      </c>
      <c r="C41" s="541" t="str">
        <f>C8</f>
        <v>Dishwasher</v>
      </c>
      <c r="D41" s="541"/>
      <c r="E41" s="541" t="s">
        <v>1115</v>
      </c>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row>
    <row r="42" spans="1:80" ht="15">
      <c r="A42" s="536" t="s">
        <v>987</v>
      </c>
      <c r="B42" s="536" t="s">
        <v>954</v>
      </c>
      <c r="C42" s="536">
        <v>1</v>
      </c>
      <c r="D42" s="536"/>
      <c r="E42" s="542">
        <f t="shared" ref="E42:X42" si="13">E11</f>
        <v>2016</v>
      </c>
      <c r="F42" s="542">
        <f t="shared" si="13"/>
        <v>2017</v>
      </c>
      <c r="G42" s="542">
        <f t="shared" si="13"/>
        <v>2018</v>
      </c>
      <c r="H42" s="542">
        <f t="shared" si="13"/>
        <v>2019</v>
      </c>
      <c r="I42" s="542">
        <f t="shared" si="13"/>
        <v>2020</v>
      </c>
      <c r="J42" s="542">
        <f t="shared" si="13"/>
        <v>2021</v>
      </c>
      <c r="K42" s="542">
        <f t="shared" si="13"/>
        <v>2022</v>
      </c>
      <c r="L42" s="542">
        <f t="shared" si="13"/>
        <v>2023</v>
      </c>
      <c r="M42" s="542">
        <f t="shared" si="13"/>
        <v>2024</v>
      </c>
      <c r="N42" s="542">
        <f t="shared" si="13"/>
        <v>2025</v>
      </c>
      <c r="O42" s="542">
        <f t="shared" si="13"/>
        <v>2026</v>
      </c>
      <c r="P42" s="542">
        <f t="shared" si="13"/>
        <v>2027</v>
      </c>
      <c r="Q42" s="542">
        <f t="shared" si="13"/>
        <v>2028</v>
      </c>
      <c r="R42" s="542">
        <f t="shared" si="13"/>
        <v>2029</v>
      </c>
      <c r="S42" s="542">
        <f t="shared" si="13"/>
        <v>2030</v>
      </c>
      <c r="T42" s="542">
        <f t="shared" si="13"/>
        <v>2031</v>
      </c>
      <c r="U42" s="542">
        <f t="shared" si="13"/>
        <v>2032</v>
      </c>
      <c r="V42" s="542">
        <f t="shared" si="13"/>
        <v>2033</v>
      </c>
      <c r="W42" s="542">
        <f t="shared" si="13"/>
        <v>2034</v>
      </c>
      <c r="X42" s="542">
        <f t="shared" si="13"/>
        <v>2035</v>
      </c>
      <c r="Y42" s="543" t="s">
        <v>1073</v>
      </c>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row>
    <row r="43" spans="1:80" ht="15">
      <c r="A43" s="536" t="s">
        <v>946</v>
      </c>
      <c r="B43" s="536" t="s">
        <v>988</v>
      </c>
      <c r="C43" s="536" t="s">
        <v>989</v>
      </c>
      <c r="D43" s="536" t="s">
        <v>990</v>
      </c>
      <c r="E43" s="550" t="str">
        <f>CONCATENATE("aMW_",E$11)</f>
        <v>aMW_2016</v>
      </c>
      <c r="F43" s="544" t="str">
        <f t="shared" ref="F43:X43" si="14">CONCATENATE("aMW_",F$11)</f>
        <v>aMW_2017</v>
      </c>
      <c r="G43" s="544" t="str">
        <f t="shared" si="14"/>
        <v>aMW_2018</v>
      </c>
      <c r="H43" s="544" t="str">
        <f t="shared" si="14"/>
        <v>aMW_2019</v>
      </c>
      <c r="I43" s="544" t="str">
        <f t="shared" si="14"/>
        <v>aMW_2020</v>
      </c>
      <c r="J43" s="544" t="str">
        <f t="shared" si="14"/>
        <v>aMW_2021</v>
      </c>
      <c r="K43" s="544" t="str">
        <f t="shared" si="14"/>
        <v>aMW_2022</v>
      </c>
      <c r="L43" s="544" t="str">
        <f t="shared" si="14"/>
        <v>aMW_2023</v>
      </c>
      <c r="M43" s="544" t="str">
        <f t="shared" si="14"/>
        <v>aMW_2024</v>
      </c>
      <c r="N43" s="544" t="str">
        <f t="shared" si="14"/>
        <v>aMW_2025</v>
      </c>
      <c r="O43" s="544" t="str">
        <f t="shared" si="14"/>
        <v>aMW_2026</v>
      </c>
      <c r="P43" s="544" t="str">
        <f t="shared" si="14"/>
        <v>aMW_2027</v>
      </c>
      <c r="Q43" s="544" t="str">
        <f t="shared" si="14"/>
        <v>aMW_2028</v>
      </c>
      <c r="R43" s="544" t="str">
        <f t="shared" si="14"/>
        <v>aMW_2029</v>
      </c>
      <c r="S43" s="544" t="str">
        <f t="shared" si="14"/>
        <v>aMW_2030</v>
      </c>
      <c r="T43" s="544" t="str">
        <f t="shared" si="14"/>
        <v>aMW_2031</v>
      </c>
      <c r="U43" s="544" t="str">
        <f t="shared" si="14"/>
        <v>aMW_2032</v>
      </c>
      <c r="V43" s="544" t="str">
        <f t="shared" si="14"/>
        <v>aMW_2033</v>
      </c>
      <c r="W43" s="544" t="str">
        <f t="shared" si="14"/>
        <v>aMW_2034</v>
      </c>
      <c r="X43" s="544" t="str">
        <f t="shared" si="14"/>
        <v>aMW_2035</v>
      </c>
      <c r="Y43" s="545"/>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row>
    <row r="44" spans="1:80">
      <c r="A44" s="564">
        <f t="shared" ref="A44:A47" si="15">VLOOKUP(CONCATENATE($C44," ",$D44),MeasureOutput,3,FALSE)</f>
        <v>0.99353523063608473</v>
      </c>
      <c r="B44" s="546">
        <f t="shared" ref="B44:B47" si="16">VLOOKUP(CONCATENATE($C44," ",$D44),MeasureOutput,11,FALSE)</f>
        <v>143.37488910178871</v>
      </c>
      <c r="C44" s="34" t="str">
        <f>C13</f>
        <v>Single Family</v>
      </c>
      <c r="D44" s="34" t="s">
        <v>938</v>
      </c>
      <c r="E44" s="143">
        <f ca="1">VLOOKUP($C44,$C$33:$Y$36,E$31,FALSE)*$C$42*$A44/8760/1000</f>
        <v>5.8009920232469047E-4</v>
      </c>
      <c r="F44" s="143">
        <f t="shared" ref="F44:U47" ca="1" si="17">VLOOKUP($C44,$C$33:$Y$36,F$31,FALSE)*$C$42*$A44/8760/1000</f>
        <v>1.1097825688947238E-3</v>
      </c>
      <c r="G44" s="143">
        <f t="shared" ca="1" si="17"/>
        <v>1.5778399537020146E-3</v>
      </c>
      <c r="H44" s="143">
        <f t="shared" ca="1" si="17"/>
        <v>2.0353501087204927E-3</v>
      </c>
      <c r="I44" s="143">
        <f t="shared" ca="1" si="17"/>
        <v>2.4758129662120799E-3</v>
      </c>
      <c r="J44" s="143">
        <f t="shared" ca="1" si="17"/>
        <v>2.78357345204159E-3</v>
      </c>
      <c r="K44" s="143">
        <f t="shared" ca="1" si="17"/>
        <v>3.0362483511032529E-3</v>
      </c>
      <c r="L44" s="143">
        <f t="shared" ca="1" si="17"/>
        <v>3.2846370270978361E-3</v>
      </c>
      <c r="M44" s="143">
        <f t="shared" ca="1" si="17"/>
        <v>3.4589224642951034E-3</v>
      </c>
      <c r="N44" s="143">
        <f t="shared" ca="1" si="17"/>
        <v>3.6898800338153498E-3</v>
      </c>
      <c r="O44" s="143">
        <f t="shared" ca="1" si="17"/>
        <v>3.8521817698343496E-3</v>
      </c>
      <c r="P44" s="143">
        <f t="shared" ca="1" si="17"/>
        <v>3.9105496516273937E-3</v>
      </c>
      <c r="Q44" s="143">
        <f t="shared" ca="1" si="17"/>
        <v>3.8909262617076289E-3</v>
      </c>
      <c r="R44" s="143">
        <f t="shared" ca="1" si="17"/>
        <v>3.962200419148269E-3</v>
      </c>
      <c r="S44" s="143">
        <f t="shared" ca="1" si="17"/>
        <v>4.0628561453334598E-3</v>
      </c>
      <c r="T44" s="143">
        <f t="shared" ca="1" si="17"/>
        <v>4.0888822286032399E-3</v>
      </c>
      <c r="U44" s="143">
        <f t="shared" ca="1" si="17"/>
        <v>3.9539037477112566E-3</v>
      </c>
      <c r="V44" s="143">
        <f t="shared" ref="V44:X47" ca="1" si="18">VLOOKUP($C44,$C$33:$Y$36,V$31,FALSE)*$C$42*$A44/8760/1000</f>
        <v>3.947239469052977E-3</v>
      </c>
      <c r="W44" s="143">
        <f t="shared" ca="1" si="18"/>
        <v>3.9572986229705594E-3</v>
      </c>
      <c r="X44" s="143">
        <f t="shared" ca="1" si="18"/>
        <v>3.9841756759180736E-3</v>
      </c>
      <c r="Y44" s="143">
        <f ca="1">SUM(E44:X44)</f>
        <v>6.3642360120114344E-2</v>
      </c>
      <c r="AA44" s="137">
        <f t="shared" ref="AA44:AA49" ca="1" si="19">SUM(E44:Y44)</f>
        <v>0.12728472024022869</v>
      </c>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row>
    <row r="45" spans="1:80">
      <c r="A45" s="564">
        <f t="shared" si="15"/>
        <v>3.1794885152576335</v>
      </c>
      <c r="B45" s="546">
        <f t="shared" si="16"/>
        <v>53.004218139522706</v>
      </c>
      <c r="C45" s="34" t="str">
        <f>C14</f>
        <v>Multifamily - Low Rise</v>
      </c>
      <c r="D45" s="34" t="s">
        <v>938</v>
      </c>
      <c r="E45" s="143">
        <f t="shared" ref="E45:E47" ca="1" si="20">VLOOKUP($C45,$C$33:$Y$36,E$31,FALSE)*$C$42*$A45/8760/1000</f>
        <v>6.1362842650522194E-4</v>
      </c>
      <c r="F45" s="143">
        <f t="shared" ca="1" si="17"/>
        <v>1.2133961743270147E-3</v>
      </c>
      <c r="G45" s="143">
        <f t="shared" ca="1" si="17"/>
        <v>1.8038199412858482E-3</v>
      </c>
      <c r="H45" s="143">
        <f t="shared" ca="1" si="17"/>
        <v>2.3285814522165404E-3</v>
      </c>
      <c r="I45" s="143">
        <f t="shared" ca="1" si="17"/>
        <v>2.7436074903647635E-3</v>
      </c>
      <c r="J45" s="143">
        <f t="shared" ca="1" si="17"/>
        <v>3.1211989168877644E-3</v>
      </c>
      <c r="K45" s="143">
        <f t="shared" ca="1" si="17"/>
        <v>3.4702553745605876E-3</v>
      </c>
      <c r="L45" s="143">
        <f t="shared" ca="1" si="17"/>
        <v>3.8423312696956231E-3</v>
      </c>
      <c r="M45" s="143">
        <f t="shared" ca="1" si="17"/>
        <v>4.1878307940017004E-3</v>
      </c>
      <c r="N45" s="143">
        <f t="shared" ca="1" si="17"/>
        <v>4.5087550724524431E-3</v>
      </c>
      <c r="O45" s="143">
        <f t="shared" ca="1" si="17"/>
        <v>4.6939469669233444E-3</v>
      </c>
      <c r="P45" s="143">
        <f t="shared" ca="1" si="17"/>
        <v>4.8283668574517187E-3</v>
      </c>
      <c r="Q45" s="143">
        <f t="shared" ca="1" si="17"/>
        <v>4.9427641774342571E-3</v>
      </c>
      <c r="R45" s="143">
        <f t="shared" ca="1" si="17"/>
        <v>4.9733577165838915E-3</v>
      </c>
      <c r="S45" s="143">
        <f t="shared" ca="1" si="17"/>
        <v>4.9801206417341868E-3</v>
      </c>
      <c r="T45" s="143">
        <f t="shared" ca="1" si="17"/>
        <v>4.9305055862508993E-3</v>
      </c>
      <c r="U45" s="143">
        <f t="shared" ca="1" si="17"/>
        <v>4.8467967829332343E-3</v>
      </c>
      <c r="V45" s="143">
        <f t="shared" ca="1" si="18"/>
        <v>4.7854735072279742E-3</v>
      </c>
      <c r="W45" s="143">
        <f t="shared" ca="1" si="18"/>
        <v>4.6933764071434821E-3</v>
      </c>
      <c r="X45" s="143">
        <f t="shared" ca="1" si="18"/>
        <v>4.6756344251937263E-3</v>
      </c>
      <c r="Y45" s="143">
        <f t="shared" ref="Y45:Y47" ca="1" si="21">SUM(E45:X45)</f>
        <v>7.6183747981174221E-2</v>
      </c>
      <c r="AA45" s="137">
        <f t="shared" ca="1" si="19"/>
        <v>0.15236749596234844</v>
      </c>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row>
    <row r="46" spans="1:80">
      <c r="A46" s="564">
        <f t="shared" si="15"/>
        <v>3.1794885152576335</v>
      </c>
      <c r="B46" s="546">
        <f t="shared" si="16"/>
        <v>53.004218139522706</v>
      </c>
      <c r="C46" s="34" t="str">
        <f>C15</f>
        <v>Multifamily - High Rise</v>
      </c>
      <c r="D46" s="34" t="s">
        <v>938</v>
      </c>
      <c r="E46" s="143">
        <f t="shared" ca="1" si="20"/>
        <v>1.3775433164188797E-4</v>
      </c>
      <c r="F46" s="143">
        <f t="shared" ca="1" si="17"/>
        <v>2.7623163681454602E-4</v>
      </c>
      <c r="G46" s="143">
        <f t="shared" ca="1" si="17"/>
        <v>4.1682313608092602E-4</v>
      </c>
      <c r="H46" s="143">
        <f t="shared" ca="1" si="17"/>
        <v>5.2567599032573176E-4</v>
      </c>
      <c r="I46" s="143">
        <f t="shared" ca="1" si="17"/>
        <v>6.0737122097046805E-4</v>
      </c>
      <c r="J46" s="143">
        <f t="shared" ca="1" si="17"/>
        <v>7.0130942120429237E-4</v>
      </c>
      <c r="K46" s="143">
        <f t="shared" ca="1" si="17"/>
        <v>7.8202860450335822E-4</v>
      </c>
      <c r="L46" s="143">
        <f t="shared" ca="1" si="17"/>
        <v>8.7663995584738499E-4</v>
      </c>
      <c r="M46" s="143">
        <f t="shared" ca="1" si="17"/>
        <v>9.4874951781954791E-4</v>
      </c>
      <c r="N46" s="143">
        <f t="shared" ca="1" si="17"/>
        <v>1.0213477715111721E-3</v>
      </c>
      <c r="O46" s="143">
        <f t="shared" ca="1" si="17"/>
        <v>1.0504986320591381E-3</v>
      </c>
      <c r="P46" s="143">
        <f t="shared" ca="1" si="17"/>
        <v>1.0784910938243576E-3</v>
      </c>
      <c r="Q46" s="143">
        <f t="shared" ca="1" si="17"/>
        <v>1.0945196082600623E-3</v>
      </c>
      <c r="R46" s="143">
        <f t="shared" ca="1" si="17"/>
        <v>1.1099222162449392E-3</v>
      </c>
      <c r="S46" s="143">
        <f t="shared" ca="1" si="17"/>
        <v>1.1167261641088831E-3</v>
      </c>
      <c r="T46" s="143">
        <f t="shared" ca="1" si="17"/>
        <v>1.1048176367318145E-3</v>
      </c>
      <c r="U46" s="143">
        <f t="shared" ca="1" si="17"/>
        <v>1.0873634211593247E-3</v>
      </c>
      <c r="V46" s="143">
        <f t="shared" ca="1" si="18"/>
        <v>1.0623466103800527E-3</v>
      </c>
      <c r="W46" s="143">
        <f t="shared" ca="1" si="18"/>
        <v>1.0583012687629108E-3</v>
      </c>
      <c r="X46" s="143">
        <f t="shared" ca="1" si="18"/>
        <v>1.0534829966075841E-3</v>
      </c>
      <c r="Y46" s="143">
        <f t="shared" ca="1" si="21"/>
        <v>1.7110401234858384E-2</v>
      </c>
      <c r="AA46" s="137">
        <f t="shared" ca="1" si="19"/>
        <v>3.4220802469716767E-2</v>
      </c>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row>
    <row r="47" spans="1:80">
      <c r="A47" s="564">
        <f t="shared" si="15"/>
        <v>3.5557059945100065</v>
      </c>
      <c r="B47" s="546">
        <f t="shared" si="16"/>
        <v>48.658285133252164</v>
      </c>
      <c r="C47" s="34" t="str">
        <f>C16</f>
        <v>Manufactured</v>
      </c>
      <c r="D47" s="34" t="s">
        <v>938</v>
      </c>
      <c r="E47" s="143">
        <f t="shared" ca="1" si="20"/>
        <v>5.3757038208016639E-5</v>
      </c>
      <c r="F47" s="143">
        <f t="shared" ca="1" si="17"/>
        <v>1.082168663993353E-4</v>
      </c>
      <c r="G47" s="143">
        <f t="shared" ca="1" si="17"/>
        <v>1.6813390659778241E-4</v>
      </c>
      <c r="H47" s="143">
        <f t="shared" ca="1" si="17"/>
        <v>2.3246675090170585E-4</v>
      </c>
      <c r="I47" s="143">
        <f t="shared" ca="1" si="17"/>
        <v>2.8171436096353599E-4</v>
      </c>
      <c r="J47" s="143">
        <f t="shared" ca="1" si="17"/>
        <v>3.271758311757829E-4</v>
      </c>
      <c r="K47" s="143">
        <f t="shared" ca="1" si="17"/>
        <v>3.6831826131467619E-4</v>
      </c>
      <c r="L47" s="143">
        <f t="shared" ca="1" si="17"/>
        <v>4.0262022850371911E-4</v>
      </c>
      <c r="M47" s="143">
        <f t="shared" ca="1" si="17"/>
        <v>4.3075304566261521E-4</v>
      </c>
      <c r="N47" s="143">
        <f t="shared" ca="1" si="17"/>
        <v>4.5177667038118435E-4</v>
      </c>
      <c r="O47" s="143">
        <f t="shared" ca="1" si="17"/>
        <v>4.6584931841896297E-4</v>
      </c>
      <c r="P47" s="143">
        <f t="shared" ca="1" si="17"/>
        <v>4.78554368211909E-4</v>
      </c>
      <c r="Q47" s="143">
        <f t="shared" ca="1" si="17"/>
        <v>4.8980555421226544E-4</v>
      </c>
      <c r="R47" s="143">
        <f t="shared" ca="1" si="17"/>
        <v>4.988149023519592E-4</v>
      </c>
      <c r="S47" s="143">
        <f t="shared" ca="1" si="17"/>
        <v>5.057701730348511E-4</v>
      </c>
      <c r="T47" s="143">
        <f t="shared" ca="1" si="17"/>
        <v>5.109390265550743E-4</v>
      </c>
      <c r="U47" s="143">
        <f t="shared" ca="1" si="17"/>
        <v>5.1062841634039299E-4</v>
      </c>
      <c r="V47" s="143">
        <f t="shared" ca="1" si="18"/>
        <v>5.1069779950627125E-4</v>
      </c>
      <c r="W47" s="143">
        <f t="shared" ca="1" si="18"/>
        <v>5.1085741523602339E-4</v>
      </c>
      <c r="X47" s="143">
        <f t="shared" ca="1" si="18"/>
        <v>5.1091917704331336E-4</v>
      </c>
      <c r="Y47" s="143">
        <f t="shared" ca="1" si="21"/>
        <v>7.8177691110193764E-3</v>
      </c>
      <c r="AA47" s="137">
        <f t="shared" ca="1" si="19"/>
        <v>1.5635538222038753E-2</v>
      </c>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row>
    <row r="48" spans="1:80">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row>
    <row r="49" spans="1:80" ht="15">
      <c r="B49" s="565">
        <f ca="1">SUMPRODUCT(B44:B47,AA44:AA47)/SUM(AA44:AA47)</f>
        <v>87.70697268252772</v>
      </c>
      <c r="E49" s="143">
        <f ca="1">SUM(E44:E47)</f>
        <v>1.385238998679817E-3</v>
      </c>
      <c r="F49" s="143">
        <f t="shared" ref="F49:Y49" ca="1" si="22">SUM(F44:F47)</f>
        <v>2.70762724643562E-3</v>
      </c>
      <c r="G49" s="143">
        <f t="shared" ca="1" si="22"/>
        <v>3.9666169376665712E-3</v>
      </c>
      <c r="H49" s="143">
        <f t="shared" ca="1" si="22"/>
        <v>5.1220743021644704E-3</v>
      </c>
      <c r="I49" s="143">
        <f t="shared" ca="1" si="22"/>
        <v>6.1085060385108469E-3</v>
      </c>
      <c r="J49" s="143">
        <f t="shared" ca="1" si="22"/>
        <v>6.9332576213094301E-3</v>
      </c>
      <c r="K49" s="143">
        <f t="shared" ca="1" si="22"/>
        <v>7.6568505914818745E-3</v>
      </c>
      <c r="L49" s="143">
        <f t="shared" ca="1" si="22"/>
        <v>8.4062284811445634E-3</v>
      </c>
      <c r="M49" s="143">
        <f t="shared" ca="1" si="22"/>
        <v>9.0262558217789664E-3</v>
      </c>
      <c r="N49" s="143">
        <f t="shared" ca="1" si="22"/>
        <v>9.6717595481601477E-3</v>
      </c>
      <c r="O49" s="143">
        <f t="shared" ca="1" si="22"/>
        <v>1.0062476687235793E-2</v>
      </c>
      <c r="P49" s="143">
        <f t="shared" ca="1" si="22"/>
        <v>1.0295961971115378E-2</v>
      </c>
      <c r="Q49" s="143">
        <f t="shared" ca="1" si="22"/>
        <v>1.0418015601614214E-2</v>
      </c>
      <c r="R49" s="143">
        <f t="shared" ca="1" si="22"/>
        <v>1.054429525432906E-2</v>
      </c>
      <c r="S49" s="143">
        <f t="shared" ca="1" si="22"/>
        <v>1.0665473124211381E-2</v>
      </c>
      <c r="T49" s="143">
        <f t="shared" ca="1" si="22"/>
        <v>1.0635144478141028E-2</v>
      </c>
      <c r="U49" s="143">
        <f t="shared" ca="1" si="22"/>
        <v>1.0398692368144211E-2</v>
      </c>
      <c r="V49" s="143">
        <f t="shared" ca="1" si="22"/>
        <v>1.0305757386167276E-2</v>
      </c>
      <c r="W49" s="143">
        <f t="shared" ca="1" si="22"/>
        <v>1.0219833714112975E-2</v>
      </c>
      <c r="X49" s="143">
        <f t="shared" ca="1" si="22"/>
        <v>1.0224212274762697E-2</v>
      </c>
      <c r="Y49" s="143">
        <f t="shared" ca="1" si="22"/>
        <v>0.16475427844716634</v>
      </c>
      <c r="AA49">
        <f t="shared" ca="1" si="19"/>
        <v>0.32950855689433267</v>
      </c>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row>
    <row r="50" spans="1:80" customFormat="1">
      <c r="A50" s="34"/>
      <c r="B50" s="34"/>
      <c r="C50" s="34"/>
      <c r="D50" s="34"/>
      <c r="E50" s="514">
        <f ca="1">E49</f>
        <v>1.385238998679817E-3</v>
      </c>
      <c r="F50" s="514">
        <f ca="1">E50+F49</f>
        <v>4.0928662451154372E-3</v>
      </c>
      <c r="G50" s="514">
        <f t="shared" ref="G50:X50" ca="1" si="23">F50+G49</f>
        <v>8.0594831827820075E-3</v>
      </c>
      <c r="H50" s="514">
        <f t="shared" ca="1" si="23"/>
        <v>1.3181557484946479E-2</v>
      </c>
      <c r="I50" s="514">
        <f t="shared" ca="1" si="23"/>
        <v>1.9290063523457326E-2</v>
      </c>
      <c r="J50" s="514">
        <f t="shared" ca="1" si="23"/>
        <v>2.6223321144766755E-2</v>
      </c>
      <c r="K50" s="514">
        <f t="shared" ca="1" si="23"/>
        <v>3.3880171736248632E-2</v>
      </c>
      <c r="L50" s="514">
        <f t="shared" ca="1" si="23"/>
        <v>4.2286400217393195E-2</v>
      </c>
      <c r="M50" s="514">
        <f t="shared" ca="1" si="23"/>
        <v>5.1312656039172164E-2</v>
      </c>
      <c r="N50" s="514">
        <f t="shared" ca="1" si="23"/>
        <v>6.0984415587332308E-2</v>
      </c>
      <c r="O50" s="514">
        <f t="shared" ca="1" si="23"/>
        <v>7.1046892274568105E-2</v>
      </c>
      <c r="P50" s="514">
        <f t="shared" ca="1" si="23"/>
        <v>8.134285424568348E-2</v>
      </c>
      <c r="Q50" s="514">
        <f t="shared" ca="1" si="23"/>
        <v>9.1760869847297699E-2</v>
      </c>
      <c r="R50" s="514">
        <f t="shared" ca="1" si="23"/>
        <v>0.10230516510162677</v>
      </c>
      <c r="S50" s="514">
        <f t="shared" ca="1" si="23"/>
        <v>0.11297063822583815</v>
      </c>
      <c r="T50" s="514">
        <f t="shared" ca="1" si="23"/>
        <v>0.12360578270397918</v>
      </c>
      <c r="U50" s="514">
        <f t="shared" ca="1" si="23"/>
        <v>0.13400447507212337</v>
      </c>
      <c r="V50" s="514">
        <f t="shared" ca="1" si="23"/>
        <v>0.14431023245829064</v>
      </c>
      <c r="W50" s="514">
        <f t="shared" ca="1" si="23"/>
        <v>0.15453006617240361</v>
      </c>
      <c r="X50" s="514">
        <f t="shared" ca="1" si="23"/>
        <v>0.16475427844716631</v>
      </c>
    </row>
    <row r="51" spans="1:80" customFormat="1">
      <c r="A51" s="34"/>
      <c r="B51" s="34"/>
      <c r="C51" s="547"/>
      <c r="D51" s="547"/>
    </row>
    <row r="52" spans="1:80" ht="15">
      <c r="A52" s="538" t="s">
        <v>991</v>
      </c>
      <c r="B52" s="538"/>
      <c r="C52" s="548"/>
      <c r="D52" s="548"/>
      <c r="E52" s="143"/>
      <c r="F52" s="143"/>
      <c r="G52" s="143"/>
      <c r="H52" s="143"/>
      <c r="I52" s="143"/>
      <c r="J52" s="143"/>
      <c r="K52" s="143"/>
      <c r="L52" s="143"/>
      <c r="M52" s="143"/>
      <c r="N52" s="143"/>
      <c r="O52" s="143"/>
      <c r="P52" s="143"/>
      <c r="Q52" s="143"/>
      <c r="R52" s="143"/>
      <c r="S52" s="143"/>
      <c r="T52" s="143"/>
      <c r="U52" s="143"/>
      <c r="V52" s="143"/>
      <c r="W52" s="143"/>
      <c r="X52" s="143"/>
      <c r="Y52" s="143"/>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row>
    <row r="53" spans="1:80" ht="15">
      <c r="C53" s="548"/>
      <c r="D53" s="548"/>
      <c r="E53" s="542">
        <f t="shared" ref="E53:X53" si="24">E11</f>
        <v>2016</v>
      </c>
      <c r="F53" s="542">
        <f t="shared" si="24"/>
        <v>2017</v>
      </c>
      <c r="G53" s="542">
        <f t="shared" si="24"/>
        <v>2018</v>
      </c>
      <c r="H53" s="542">
        <f t="shared" si="24"/>
        <v>2019</v>
      </c>
      <c r="I53" s="542">
        <f t="shared" si="24"/>
        <v>2020</v>
      </c>
      <c r="J53" s="542">
        <f t="shared" si="24"/>
        <v>2021</v>
      </c>
      <c r="K53" s="542">
        <f t="shared" si="24"/>
        <v>2022</v>
      </c>
      <c r="L53" s="542">
        <f t="shared" si="24"/>
        <v>2023</v>
      </c>
      <c r="M53" s="542">
        <f t="shared" si="24"/>
        <v>2024</v>
      </c>
      <c r="N53" s="542">
        <f t="shared" si="24"/>
        <v>2025</v>
      </c>
      <c r="O53" s="542">
        <f t="shared" si="24"/>
        <v>2026</v>
      </c>
      <c r="P53" s="542">
        <f t="shared" si="24"/>
        <v>2027</v>
      </c>
      <c r="Q53" s="542">
        <f t="shared" si="24"/>
        <v>2028</v>
      </c>
      <c r="R53" s="542">
        <f t="shared" si="24"/>
        <v>2029</v>
      </c>
      <c r="S53" s="542">
        <f t="shared" si="24"/>
        <v>2030</v>
      </c>
      <c r="T53" s="542">
        <f t="shared" si="24"/>
        <v>2031</v>
      </c>
      <c r="U53" s="542">
        <f t="shared" si="24"/>
        <v>2032</v>
      </c>
      <c r="V53" s="542">
        <f t="shared" si="24"/>
        <v>2033</v>
      </c>
      <c r="W53" s="542">
        <f t="shared" si="24"/>
        <v>2034</v>
      </c>
      <c r="X53" s="542">
        <f t="shared" si="24"/>
        <v>2035</v>
      </c>
      <c r="Y53" s="14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row>
    <row r="54" spans="1:80" ht="15">
      <c r="C54" s="548" t="s">
        <v>988</v>
      </c>
      <c r="D54" s="548" t="s">
        <v>988</v>
      </c>
      <c r="E54" s="550" t="str">
        <f>CONCATENATE("aMW_",E$11)</f>
        <v>aMW_2016</v>
      </c>
      <c r="F54" s="544" t="str">
        <f t="shared" ref="F54:X54" si="25">CONCATENATE("aMW_",F$11)</f>
        <v>aMW_2017</v>
      </c>
      <c r="G54" s="544" t="str">
        <f t="shared" si="25"/>
        <v>aMW_2018</v>
      </c>
      <c r="H54" s="544" t="str">
        <f t="shared" si="25"/>
        <v>aMW_2019</v>
      </c>
      <c r="I54" s="544" t="str">
        <f t="shared" si="25"/>
        <v>aMW_2020</v>
      </c>
      <c r="J54" s="544" t="str">
        <f t="shared" si="25"/>
        <v>aMW_2021</v>
      </c>
      <c r="K54" s="544" t="str">
        <f t="shared" si="25"/>
        <v>aMW_2022</v>
      </c>
      <c r="L54" s="544" t="str">
        <f t="shared" si="25"/>
        <v>aMW_2023</v>
      </c>
      <c r="M54" s="544" t="str">
        <f t="shared" si="25"/>
        <v>aMW_2024</v>
      </c>
      <c r="N54" s="544" t="str">
        <f t="shared" si="25"/>
        <v>aMW_2025</v>
      </c>
      <c r="O54" s="544" t="str">
        <f t="shared" si="25"/>
        <v>aMW_2026</v>
      </c>
      <c r="P54" s="544" t="str">
        <f t="shared" si="25"/>
        <v>aMW_2027</v>
      </c>
      <c r="Q54" s="544" t="str">
        <f t="shared" si="25"/>
        <v>aMW_2028</v>
      </c>
      <c r="R54" s="544" t="str">
        <f t="shared" si="25"/>
        <v>aMW_2029</v>
      </c>
      <c r="S54" s="544" t="str">
        <f t="shared" si="25"/>
        <v>aMW_2030</v>
      </c>
      <c r="T54" s="544" t="str">
        <f t="shared" si="25"/>
        <v>aMW_2031</v>
      </c>
      <c r="U54" s="544" t="str">
        <f t="shared" si="25"/>
        <v>aMW_2032</v>
      </c>
      <c r="V54" s="544" t="str">
        <f t="shared" si="25"/>
        <v>aMW_2033</v>
      </c>
      <c r="W54" s="544" t="str">
        <f t="shared" si="25"/>
        <v>aMW_2034</v>
      </c>
      <c r="X54" s="544" t="str">
        <f t="shared" si="25"/>
        <v>aMW_2035</v>
      </c>
      <c r="Y54" s="143"/>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row>
    <row r="55" spans="1:80">
      <c r="B55" s="34" t="s">
        <v>992</v>
      </c>
      <c r="C55" s="548" t="s">
        <v>993</v>
      </c>
      <c r="D55" s="548" t="s">
        <v>994</v>
      </c>
      <c r="E55" s="143">
        <f>DSUM($B$43:$X$47,E$43,$C$54:$D55)</f>
        <v>0</v>
      </c>
      <c r="F55" s="143">
        <f>DSUM($B$43:$X$47,F$43,$C$54:$D55)</f>
        <v>0</v>
      </c>
      <c r="G55" s="143">
        <f>DSUM($B$43:$X$47,G$43,$C$54:$D55)</f>
        <v>0</v>
      </c>
      <c r="H55" s="143">
        <f>DSUM($B$43:$X$47,H$43,$C$54:$D55)</f>
        <v>0</v>
      </c>
      <c r="I55" s="143">
        <f>DSUM($B$43:$X$47,I$43,$C$54:$D55)</f>
        <v>0</v>
      </c>
      <c r="J55" s="143">
        <f>DSUM($B$43:$X$47,J$43,$C$54:$D55)</f>
        <v>0</v>
      </c>
      <c r="K55" s="143">
        <f>DSUM($B$43:$X$47,K$43,$C$54:$D55)</f>
        <v>0</v>
      </c>
      <c r="L55" s="143">
        <f>DSUM($B$43:$X$47,L$43,$C$54:$D55)</f>
        <v>0</v>
      </c>
      <c r="M55" s="143">
        <f>DSUM($B$43:$X$47,M$43,$C$54:$D55)</f>
        <v>0</v>
      </c>
      <c r="N55" s="143">
        <f>DSUM($B$43:$X$47,N$43,$C$54:$D55)</f>
        <v>0</v>
      </c>
      <c r="O55" s="143">
        <f>DSUM($B$43:$X$47,O$43,$C$54:$D55)</f>
        <v>0</v>
      </c>
      <c r="P55" s="143">
        <f>DSUM($B$43:$X$47,P$43,$C$54:$D55)</f>
        <v>0</v>
      </c>
      <c r="Q55" s="143">
        <f>DSUM($B$43:$X$47,Q$43,$C$54:$D55)</f>
        <v>0</v>
      </c>
      <c r="R55" s="143">
        <f>DSUM($B$43:$X$47,R$43,$C$54:$D55)</f>
        <v>0</v>
      </c>
      <c r="S55" s="143">
        <f>DSUM($B$43:$X$47,S$43,$C$54:$D55)</f>
        <v>0</v>
      </c>
      <c r="T55" s="143">
        <f>DSUM($B$43:$X$47,T$43,$C$54:$D55)</f>
        <v>0</v>
      </c>
      <c r="U55" s="143">
        <f>DSUM($B$43:$X$47,U$43,$C$54:$D55)</f>
        <v>0</v>
      </c>
      <c r="V55" s="143">
        <f>DSUM($B$43:$X$47,V$43,$C$54:$D55)</f>
        <v>0</v>
      </c>
      <c r="W55" s="143">
        <f>DSUM($B$43:$X$47,W$43,$C$54:$D55)</f>
        <v>0</v>
      </c>
      <c r="X55" s="143">
        <f>DSUM($B$43:$X$47,X$43,$C$54:$D55)</f>
        <v>0</v>
      </c>
      <c r="Y55" s="143"/>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row>
    <row r="56" spans="1:80">
      <c r="B56" s="34" t="s">
        <v>1339</v>
      </c>
      <c r="C56" s="548" t="s">
        <v>996</v>
      </c>
      <c r="D56" s="548" t="s">
        <v>997</v>
      </c>
      <c r="E56" s="143">
        <f>DSUM($B$43:$X$47,E$43,$C$54:$D56)</f>
        <v>0</v>
      </c>
      <c r="F56" s="143">
        <f>DSUM($B$43:$X$47,F$43,$C$54:$D56)</f>
        <v>0</v>
      </c>
      <c r="G56" s="143">
        <f>DSUM($B$43:$X$47,G$43,$C$54:$D56)</f>
        <v>0</v>
      </c>
      <c r="H56" s="143">
        <f>DSUM($B$43:$X$47,H$43,$C$54:$D56)</f>
        <v>0</v>
      </c>
      <c r="I56" s="143">
        <f>DSUM($B$43:$X$47,I$43,$C$54:$D56)</f>
        <v>0</v>
      </c>
      <c r="J56" s="143">
        <f>DSUM($B$43:$X$47,J$43,$C$54:$D56)</f>
        <v>0</v>
      </c>
      <c r="K56" s="143">
        <f>DSUM($B$43:$X$47,K$43,$C$54:$D56)</f>
        <v>0</v>
      </c>
      <c r="L56" s="143">
        <f>DSUM($B$43:$X$47,L$43,$C$54:$D56)</f>
        <v>0</v>
      </c>
      <c r="M56" s="143">
        <f>DSUM($B$43:$X$47,M$43,$C$54:$D56)</f>
        <v>0</v>
      </c>
      <c r="N56" s="143">
        <f>DSUM($B$43:$X$47,N$43,$C$54:$D56)</f>
        <v>0</v>
      </c>
      <c r="O56" s="143">
        <f>DSUM($B$43:$X$47,O$43,$C$54:$D56)</f>
        <v>0</v>
      </c>
      <c r="P56" s="143">
        <f>DSUM($B$43:$X$47,P$43,$C$54:$D56)</f>
        <v>0</v>
      </c>
      <c r="Q56" s="143">
        <f>DSUM($B$43:$X$47,Q$43,$C$54:$D56)</f>
        <v>0</v>
      </c>
      <c r="R56" s="143">
        <f>DSUM($B$43:$X$47,R$43,$C$54:$D56)</f>
        <v>0</v>
      </c>
      <c r="S56" s="143">
        <f>DSUM($B$43:$X$47,S$43,$C$54:$D56)</f>
        <v>0</v>
      </c>
      <c r="T56" s="143">
        <f>DSUM($B$43:$X$47,T$43,$C$54:$D56)</f>
        <v>0</v>
      </c>
      <c r="U56" s="143">
        <f>DSUM($B$43:$X$47,U$43,$C$54:$D56)</f>
        <v>0</v>
      </c>
      <c r="V56" s="143">
        <f>DSUM($B$43:$X$47,V$43,$C$54:$D56)</f>
        <v>0</v>
      </c>
      <c r="W56" s="143">
        <f>DSUM($B$43:$X$47,W$43,$C$54:$D56)</f>
        <v>0</v>
      </c>
      <c r="X56" s="143">
        <f>DSUM($B$43:$X$47,X$43,$C$54:$D56)</f>
        <v>0</v>
      </c>
      <c r="Y56" s="143"/>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row>
    <row r="57" spans="1:80">
      <c r="B57" s="34" t="s">
        <v>998</v>
      </c>
      <c r="C57" s="548" t="s">
        <v>999</v>
      </c>
      <c r="D57" s="548" t="s">
        <v>1000</v>
      </c>
      <c r="E57" s="143">
        <f>DSUM($B$43:$X$47,E$43,$C$54:$D57)</f>
        <v>0</v>
      </c>
      <c r="F57" s="143">
        <f>DSUM($B$43:$X$47,F$43,$C$54:$D57)</f>
        <v>0</v>
      </c>
      <c r="G57" s="143">
        <f>DSUM($B$43:$X$47,G$43,$C$54:$D57)</f>
        <v>0</v>
      </c>
      <c r="H57" s="143">
        <f>DSUM($B$43:$X$47,H$43,$C$54:$D57)</f>
        <v>0</v>
      </c>
      <c r="I57" s="143">
        <f>DSUM($B$43:$X$47,I$43,$C$54:$D57)</f>
        <v>0</v>
      </c>
      <c r="J57" s="143">
        <f>DSUM($B$43:$X$47,J$43,$C$54:$D57)</f>
        <v>0</v>
      </c>
      <c r="K57" s="143">
        <f>DSUM($B$43:$X$47,K$43,$C$54:$D57)</f>
        <v>0</v>
      </c>
      <c r="L57" s="143">
        <f>DSUM($B$43:$X$47,L$43,$C$54:$D57)</f>
        <v>0</v>
      </c>
      <c r="M57" s="143">
        <f>DSUM($B$43:$X$47,M$43,$C$54:$D57)</f>
        <v>0</v>
      </c>
      <c r="N57" s="143">
        <f>DSUM($B$43:$X$47,N$43,$C$54:$D57)</f>
        <v>0</v>
      </c>
      <c r="O57" s="143">
        <f>DSUM($B$43:$X$47,O$43,$C$54:$D57)</f>
        <v>0</v>
      </c>
      <c r="P57" s="143">
        <f>DSUM($B$43:$X$47,P$43,$C$54:$D57)</f>
        <v>0</v>
      </c>
      <c r="Q57" s="143">
        <f>DSUM($B$43:$X$47,Q$43,$C$54:$D57)</f>
        <v>0</v>
      </c>
      <c r="R57" s="143">
        <f>DSUM($B$43:$X$47,R$43,$C$54:$D57)</f>
        <v>0</v>
      </c>
      <c r="S57" s="143">
        <f>DSUM($B$43:$X$47,S$43,$C$54:$D57)</f>
        <v>0</v>
      </c>
      <c r="T57" s="143">
        <f>DSUM($B$43:$X$47,T$43,$C$54:$D57)</f>
        <v>0</v>
      </c>
      <c r="U57" s="143">
        <f>DSUM($B$43:$X$47,U$43,$C$54:$D57)</f>
        <v>0</v>
      </c>
      <c r="V57" s="143">
        <f>DSUM($B$43:$X$47,V$43,$C$54:$D57)</f>
        <v>0</v>
      </c>
      <c r="W57" s="143">
        <f>DSUM($B$43:$X$47,W$43,$C$54:$D57)</f>
        <v>0</v>
      </c>
      <c r="X57" s="143">
        <f>DSUM($B$43:$X$47,X$43,$C$54:$D57)</f>
        <v>0</v>
      </c>
      <c r="Y57" s="143"/>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row>
    <row r="58" spans="1:80">
      <c r="B58" s="34" t="s">
        <v>1001</v>
      </c>
      <c r="C58" s="548" t="s">
        <v>1002</v>
      </c>
      <c r="D58" s="548" t="s">
        <v>1003</v>
      </c>
      <c r="E58" s="143">
        <f>DSUM($B$43:$X$47,E$43,$C$54:$D58)</f>
        <v>0</v>
      </c>
      <c r="F58" s="143">
        <f>DSUM($B$43:$X$47,F$43,$C$54:$D58)</f>
        <v>0</v>
      </c>
      <c r="G58" s="143">
        <f>DSUM($B$43:$X$47,G$43,$C$54:$D58)</f>
        <v>0</v>
      </c>
      <c r="H58" s="143">
        <f>DSUM($B$43:$X$47,H$43,$C$54:$D58)</f>
        <v>0</v>
      </c>
      <c r="I58" s="143">
        <f>DSUM($B$43:$X$47,I$43,$C$54:$D58)</f>
        <v>0</v>
      </c>
      <c r="J58" s="143">
        <f>DSUM($B$43:$X$47,J$43,$C$54:$D58)</f>
        <v>0</v>
      </c>
      <c r="K58" s="143">
        <f>DSUM($B$43:$X$47,K$43,$C$54:$D58)</f>
        <v>0</v>
      </c>
      <c r="L58" s="143">
        <f>DSUM($B$43:$X$47,L$43,$C$54:$D58)</f>
        <v>0</v>
      </c>
      <c r="M58" s="143">
        <f>DSUM($B$43:$X$47,M$43,$C$54:$D58)</f>
        <v>0</v>
      </c>
      <c r="N58" s="143">
        <f>DSUM($B$43:$X$47,N$43,$C$54:$D58)</f>
        <v>0</v>
      </c>
      <c r="O58" s="143">
        <f>DSUM($B$43:$X$47,O$43,$C$54:$D58)</f>
        <v>0</v>
      </c>
      <c r="P58" s="143">
        <f>DSUM($B$43:$X$47,P$43,$C$54:$D58)</f>
        <v>0</v>
      </c>
      <c r="Q58" s="143">
        <f>DSUM($B$43:$X$47,Q$43,$C$54:$D58)</f>
        <v>0</v>
      </c>
      <c r="R58" s="143">
        <f>DSUM($B$43:$X$47,R$43,$C$54:$D58)</f>
        <v>0</v>
      </c>
      <c r="S58" s="143">
        <f>DSUM($B$43:$X$47,S$43,$C$54:$D58)</f>
        <v>0</v>
      </c>
      <c r="T58" s="143">
        <f>DSUM($B$43:$X$47,T$43,$C$54:$D58)</f>
        <v>0</v>
      </c>
      <c r="U58" s="143">
        <f>DSUM($B$43:$X$47,U$43,$C$54:$D58)</f>
        <v>0</v>
      </c>
      <c r="V58" s="143">
        <f>DSUM($B$43:$X$47,V$43,$C$54:$D58)</f>
        <v>0</v>
      </c>
      <c r="W58" s="143">
        <f>DSUM($B$43:$X$47,W$43,$C$54:$D58)</f>
        <v>0</v>
      </c>
      <c r="X58" s="143">
        <f>DSUM($B$43:$X$47,X$43,$C$54:$D58)</f>
        <v>0</v>
      </c>
      <c r="Y58" s="143"/>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spans="1:80">
      <c r="B59" s="34" t="s">
        <v>1004</v>
      </c>
      <c r="C59" s="548" t="s">
        <v>1005</v>
      </c>
      <c r="D59" s="548" t="s">
        <v>1006</v>
      </c>
      <c r="E59" s="143">
        <f>DSUM($B$43:$X$47,E$43,$C$54:$D59)</f>
        <v>0</v>
      </c>
      <c r="F59" s="143">
        <f>DSUM($B$43:$X$47,F$43,$C$54:$D59)</f>
        <v>0</v>
      </c>
      <c r="G59" s="143">
        <f>DSUM($B$43:$X$47,G$43,$C$54:$D59)</f>
        <v>0</v>
      </c>
      <c r="H59" s="143">
        <f>DSUM($B$43:$X$47,H$43,$C$54:$D59)</f>
        <v>0</v>
      </c>
      <c r="I59" s="143">
        <f>DSUM($B$43:$X$47,I$43,$C$54:$D59)</f>
        <v>0</v>
      </c>
      <c r="J59" s="143">
        <f>DSUM($B$43:$X$47,J$43,$C$54:$D59)</f>
        <v>0</v>
      </c>
      <c r="K59" s="143">
        <f>DSUM($B$43:$X$47,K$43,$C$54:$D59)</f>
        <v>0</v>
      </c>
      <c r="L59" s="143">
        <f>DSUM($B$43:$X$47,L$43,$C$54:$D59)</f>
        <v>0</v>
      </c>
      <c r="M59" s="143">
        <f>DSUM($B$43:$X$47,M$43,$C$54:$D59)</f>
        <v>0</v>
      </c>
      <c r="N59" s="143">
        <f>DSUM($B$43:$X$47,N$43,$C$54:$D59)</f>
        <v>0</v>
      </c>
      <c r="O59" s="143">
        <f>DSUM($B$43:$X$47,O$43,$C$54:$D59)</f>
        <v>0</v>
      </c>
      <c r="P59" s="143">
        <f>DSUM($B$43:$X$47,P$43,$C$54:$D59)</f>
        <v>0</v>
      </c>
      <c r="Q59" s="143">
        <f>DSUM($B$43:$X$47,Q$43,$C$54:$D59)</f>
        <v>0</v>
      </c>
      <c r="R59" s="143">
        <f>DSUM($B$43:$X$47,R$43,$C$54:$D59)</f>
        <v>0</v>
      </c>
      <c r="S59" s="143">
        <f>DSUM($B$43:$X$47,S$43,$C$54:$D59)</f>
        <v>0</v>
      </c>
      <c r="T59" s="143">
        <f>DSUM($B$43:$X$47,T$43,$C$54:$D59)</f>
        <v>0</v>
      </c>
      <c r="U59" s="143">
        <f>DSUM($B$43:$X$47,U$43,$C$54:$D59)</f>
        <v>0</v>
      </c>
      <c r="V59" s="143">
        <f>DSUM($B$43:$X$47,V$43,$C$54:$D59)</f>
        <v>0</v>
      </c>
      <c r="W59" s="143">
        <f>DSUM($B$43:$X$47,W$43,$C$54:$D59)</f>
        <v>0</v>
      </c>
      <c r="X59" s="143">
        <f>DSUM($B$43:$X$47,X$43,$C$54:$D59)</f>
        <v>0</v>
      </c>
      <c r="Y59" s="143"/>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spans="1:80">
      <c r="B60" s="34" t="s">
        <v>1007</v>
      </c>
      <c r="C60" s="548" t="s">
        <v>1008</v>
      </c>
      <c r="D60" s="548" t="s">
        <v>1009</v>
      </c>
      <c r="E60" s="143">
        <f ca="1">DSUM($B$43:$X$47,E$43,$C$54:$D60)</f>
        <v>5.3757038208016639E-5</v>
      </c>
      <c r="F60" s="143">
        <f ca="1">DSUM($B$43:$X$47,F$43,$C$54:$D60)</f>
        <v>1.082168663993353E-4</v>
      </c>
      <c r="G60" s="143">
        <f ca="1">DSUM($B$43:$X$47,G$43,$C$54:$D60)</f>
        <v>1.6813390659778241E-4</v>
      </c>
      <c r="H60" s="143">
        <f ca="1">DSUM($B$43:$X$47,H$43,$C$54:$D60)</f>
        <v>2.3246675090170585E-4</v>
      </c>
      <c r="I60" s="143">
        <f ca="1">DSUM($B$43:$X$47,I$43,$C$54:$D60)</f>
        <v>2.8171436096353599E-4</v>
      </c>
      <c r="J60" s="143">
        <f ca="1">DSUM($B$43:$X$47,J$43,$C$54:$D60)</f>
        <v>3.271758311757829E-4</v>
      </c>
      <c r="K60" s="143">
        <f ca="1">DSUM($B$43:$X$47,K$43,$C$54:$D60)</f>
        <v>3.6831826131467619E-4</v>
      </c>
      <c r="L60" s="143">
        <f ca="1">DSUM($B$43:$X$47,L$43,$C$54:$D60)</f>
        <v>4.0262022850371911E-4</v>
      </c>
      <c r="M60" s="143">
        <f ca="1">DSUM($B$43:$X$47,M$43,$C$54:$D60)</f>
        <v>4.3075304566261521E-4</v>
      </c>
      <c r="N60" s="143">
        <f ca="1">DSUM($B$43:$X$47,N$43,$C$54:$D60)</f>
        <v>4.5177667038118435E-4</v>
      </c>
      <c r="O60" s="143">
        <f ca="1">DSUM($B$43:$X$47,O$43,$C$54:$D60)</f>
        <v>4.6584931841896297E-4</v>
      </c>
      <c r="P60" s="143">
        <f ca="1">DSUM($B$43:$X$47,P$43,$C$54:$D60)</f>
        <v>4.78554368211909E-4</v>
      </c>
      <c r="Q60" s="143">
        <f ca="1">DSUM($B$43:$X$47,Q$43,$C$54:$D60)</f>
        <v>4.8980555421226544E-4</v>
      </c>
      <c r="R60" s="143">
        <f ca="1">DSUM($B$43:$X$47,R$43,$C$54:$D60)</f>
        <v>4.988149023519592E-4</v>
      </c>
      <c r="S60" s="143">
        <f ca="1">DSUM($B$43:$X$47,S$43,$C$54:$D60)</f>
        <v>5.057701730348511E-4</v>
      </c>
      <c r="T60" s="143">
        <f ca="1">DSUM($B$43:$X$47,T$43,$C$54:$D60)</f>
        <v>5.109390265550743E-4</v>
      </c>
      <c r="U60" s="143">
        <f ca="1">DSUM($B$43:$X$47,U$43,$C$54:$D60)</f>
        <v>5.1062841634039299E-4</v>
      </c>
      <c r="V60" s="143">
        <f ca="1">DSUM($B$43:$X$47,V$43,$C$54:$D60)</f>
        <v>5.1069779950627125E-4</v>
      </c>
      <c r="W60" s="143">
        <f ca="1">DSUM($B$43:$X$47,W$43,$C$54:$D60)</f>
        <v>5.1085741523602339E-4</v>
      </c>
      <c r="X60" s="143">
        <f ca="1">DSUM($B$43:$X$47,X$43,$C$54:$D60)</f>
        <v>5.1091917704331336E-4</v>
      </c>
      <c r="Y60" s="143"/>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1:80">
      <c r="B61" s="34" t="s">
        <v>1010</v>
      </c>
      <c r="C61" s="548" t="s">
        <v>1011</v>
      </c>
      <c r="D61" s="548" t="s">
        <v>1012</v>
      </c>
      <c r="E61" s="143">
        <f ca="1">DSUM($B$43:$X$47,E$43,$C$54:$D61)</f>
        <v>8.0513979635512645E-4</v>
      </c>
      <c r="F61" s="143">
        <f ca="1">DSUM($B$43:$X$47,F$43,$C$54:$D61)</f>
        <v>1.597844677540896E-3</v>
      </c>
      <c r="G61" s="143">
        <f ca="1">DSUM($B$43:$X$47,G$43,$C$54:$D61)</f>
        <v>2.3887769839645565E-3</v>
      </c>
      <c r="H61" s="143">
        <f ca="1">DSUM($B$43:$X$47,H$43,$C$54:$D61)</f>
        <v>3.0867241934439782E-3</v>
      </c>
      <c r="I61" s="143">
        <f ca="1">DSUM($B$43:$X$47,I$43,$C$54:$D61)</f>
        <v>3.6326930722987674E-3</v>
      </c>
      <c r="J61" s="143">
        <f ca="1">DSUM($B$43:$X$47,J$43,$C$54:$D61)</f>
        <v>4.1496841692678392E-3</v>
      </c>
      <c r="K61" s="143">
        <f ca="1">DSUM($B$43:$X$47,K$43,$C$54:$D61)</f>
        <v>4.6206022403786221E-3</v>
      </c>
      <c r="L61" s="143">
        <f ca="1">DSUM($B$43:$X$47,L$43,$C$54:$D61)</f>
        <v>5.1215914540467273E-3</v>
      </c>
      <c r="M61" s="143">
        <f ca="1">DSUM($B$43:$X$47,M$43,$C$54:$D61)</f>
        <v>5.5673333574838635E-3</v>
      </c>
      <c r="N61" s="143">
        <f ca="1">DSUM($B$43:$X$47,N$43,$C$54:$D61)</f>
        <v>5.9818795143448001E-3</v>
      </c>
      <c r="O61" s="143">
        <f ca="1">DSUM($B$43:$X$47,O$43,$C$54:$D61)</f>
        <v>6.2102949174014455E-3</v>
      </c>
      <c r="P61" s="143">
        <f ca="1">DSUM($B$43:$X$47,P$43,$C$54:$D61)</f>
        <v>6.3854123194879856E-3</v>
      </c>
      <c r="Q61" s="143">
        <f ca="1">DSUM($B$43:$X$47,Q$43,$C$54:$D61)</f>
        <v>6.5270893399065853E-3</v>
      </c>
      <c r="R61" s="143">
        <f ca="1">DSUM($B$43:$X$47,R$43,$C$54:$D61)</f>
        <v>6.5820948351807892E-3</v>
      </c>
      <c r="S61" s="143">
        <f ca="1">DSUM($B$43:$X$47,S$43,$C$54:$D61)</f>
        <v>6.6026169788779209E-3</v>
      </c>
      <c r="T61" s="143">
        <f ca="1">DSUM($B$43:$X$47,T$43,$C$54:$D61)</f>
        <v>6.5462622495377886E-3</v>
      </c>
      <c r="U61" s="143">
        <f ca="1">DSUM($B$43:$X$47,U$43,$C$54:$D61)</f>
        <v>6.4447886204329514E-3</v>
      </c>
      <c r="V61" s="143">
        <f ca="1">DSUM($B$43:$X$47,V$43,$C$54:$D61)</f>
        <v>6.3585179171142979E-3</v>
      </c>
      <c r="W61" s="143">
        <f ca="1">DSUM($B$43:$X$47,W$43,$C$54:$D61)</f>
        <v>6.2625350911424162E-3</v>
      </c>
      <c r="X61" s="143">
        <f ca="1">DSUM($B$43:$X$47,X$43,$C$54:$D61)</f>
        <v>6.2400365988446241E-3</v>
      </c>
      <c r="Y61" s="143"/>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1:80">
      <c r="B62" s="34" t="s">
        <v>1013</v>
      </c>
      <c r="C62" s="548" t="s">
        <v>1014</v>
      </c>
      <c r="D62" s="548" t="s">
        <v>1015</v>
      </c>
      <c r="E62" s="143">
        <f ca="1">DSUM($B$43:$X$47,E$43,$C$54:$D62)</f>
        <v>8.0513979635512645E-4</v>
      </c>
      <c r="F62" s="143">
        <f ca="1">DSUM($B$43:$X$47,F$43,$C$54:$D62)</f>
        <v>1.597844677540896E-3</v>
      </c>
      <c r="G62" s="143">
        <f ca="1">DSUM($B$43:$X$47,G$43,$C$54:$D62)</f>
        <v>2.3887769839645565E-3</v>
      </c>
      <c r="H62" s="143">
        <f ca="1">DSUM($B$43:$X$47,H$43,$C$54:$D62)</f>
        <v>3.0867241934439782E-3</v>
      </c>
      <c r="I62" s="143">
        <f ca="1">DSUM($B$43:$X$47,I$43,$C$54:$D62)</f>
        <v>3.6326930722987674E-3</v>
      </c>
      <c r="J62" s="143">
        <f ca="1">DSUM($B$43:$X$47,J$43,$C$54:$D62)</f>
        <v>4.1496841692678392E-3</v>
      </c>
      <c r="K62" s="143">
        <f ca="1">DSUM($B$43:$X$47,K$43,$C$54:$D62)</f>
        <v>4.6206022403786221E-3</v>
      </c>
      <c r="L62" s="143">
        <f ca="1">DSUM($B$43:$X$47,L$43,$C$54:$D62)</f>
        <v>5.1215914540467273E-3</v>
      </c>
      <c r="M62" s="143">
        <f ca="1">DSUM($B$43:$X$47,M$43,$C$54:$D62)</f>
        <v>5.5673333574838635E-3</v>
      </c>
      <c r="N62" s="143">
        <f ca="1">DSUM($B$43:$X$47,N$43,$C$54:$D62)</f>
        <v>5.9818795143448001E-3</v>
      </c>
      <c r="O62" s="143">
        <f ca="1">DSUM($B$43:$X$47,O$43,$C$54:$D62)</f>
        <v>6.2102949174014455E-3</v>
      </c>
      <c r="P62" s="143">
        <f ca="1">DSUM($B$43:$X$47,P$43,$C$54:$D62)</f>
        <v>6.3854123194879856E-3</v>
      </c>
      <c r="Q62" s="143">
        <f ca="1">DSUM($B$43:$X$47,Q$43,$C$54:$D62)</f>
        <v>6.5270893399065853E-3</v>
      </c>
      <c r="R62" s="143">
        <f ca="1">DSUM($B$43:$X$47,R$43,$C$54:$D62)</f>
        <v>6.5820948351807892E-3</v>
      </c>
      <c r="S62" s="143">
        <f ca="1">DSUM($B$43:$X$47,S$43,$C$54:$D62)</f>
        <v>6.6026169788779209E-3</v>
      </c>
      <c r="T62" s="143">
        <f ca="1">DSUM($B$43:$X$47,T$43,$C$54:$D62)</f>
        <v>6.5462622495377886E-3</v>
      </c>
      <c r="U62" s="143">
        <f ca="1">DSUM($B$43:$X$47,U$43,$C$54:$D62)</f>
        <v>6.4447886204329514E-3</v>
      </c>
      <c r="V62" s="143">
        <f ca="1">DSUM($B$43:$X$47,V$43,$C$54:$D62)</f>
        <v>6.3585179171142979E-3</v>
      </c>
      <c r="W62" s="143">
        <f ca="1">DSUM($B$43:$X$47,W$43,$C$54:$D62)</f>
        <v>6.2625350911424162E-3</v>
      </c>
      <c r="X62" s="143">
        <f ca="1">DSUM($B$43:$X$47,X$43,$C$54:$D62)</f>
        <v>6.2400365988446241E-3</v>
      </c>
      <c r="Y62" s="143"/>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1:80">
      <c r="B63" s="34" t="s">
        <v>1016</v>
      </c>
      <c r="C63" s="548" t="s">
        <v>1017</v>
      </c>
      <c r="D63" s="548" t="s">
        <v>1018</v>
      </c>
      <c r="E63" s="143">
        <f ca="1">DSUM($B$43:$X$47,E$43,$C$54:$D63)</f>
        <v>8.0513979635512645E-4</v>
      </c>
      <c r="F63" s="143">
        <f ca="1">DSUM($B$43:$X$47,F$43,$C$54:$D63)</f>
        <v>1.597844677540896E-3</v>
      </c>
      <c r="G63" s="143">
        <f ca="1">DSUM($B$43:$X$47,G$43,$C$54:$D63)</f>
        <v>2.3887769839645565E-3</v>
      </c>
      <c r="H63" s="143">
        <f ca="1">DSUM($B$43:$X$47,H$43,$C$54:$D63)</f>
        <v>3.0867241934439782E-3</v>
      </c>
      <c r="I63" s="143">
        <f ca="1">DSUM($B$43:$X$47,I$43,$C$54:$D63)</f>
        <v>3.6326930722987674E-3</v>
      </c>
      <c r="J63" s="143">
        <f ca="1">DSUM($B$43:$X$47,J$43,$C$54:$D63)</f>
        <v>4.1496841692678392E-3</v>
      </c>
      <c r="K63" s="143">
        <f ca="1">DSUM($B$43:$X$47,K$43,$C$54:$D63)</f>
        <v>4.6206022403786221E-3</v>
      </c>
      <c r="L63" s="143">
        <f ca="1">DSUM($B$43:$X$47,L$43,$C$54:$D63)</f>
        <v>5.1215914540467273E-3</v>
      </c>
      <c r="M63" s="143">
        <f ca="1">DSUM($B$43:$X$47,M$43,$C$54:$D63)</f>
        <v>5.5673333574838635E-3</v>
      </c>
      <c r="N63" s="143">
        <f ca="1">DSUM($B$43:$X$47,N$43,$C$54:$D63)</f>
        <v>5.9818795143448001E-3</v>
      </c>
      <c r="O63" s="143">
        <f ca="1">DSUM($B$43:$X$47,O$43,$C$54:$D63)</f>
        <v>6.2102949174014455E-3</v>
      </c>
      <c r="P63" s="143">
        <f ca="1">DSUM($B$43:$X$47,P$43,$C$54:$D63)</f>
        <v>6.3854123194879856E-3</v>
      </c>
      <c r="Q63" s="143">
        <f ca="1">DSUM($B$43:$X$47,Q$43,$C$54:$D63)</f>
        <v>6.5270893399065853E-3</v>
      </c>
      <c r="R63" s="143">
        <f ca="1">DSUM($B$43:$X$47,R$43,$C$54:$D63)</f>
        <v>6.5820948351807892E-3</v>
      </c>
      <c r="S63" s="143">
        <f ca="1">DSUM($B$43:$X$47,S$43,$C$54:$D63)</f>
        <v>6.6026169788779209E-3</v>
      </c>
      <c r="T63" s="143">
        <f ca="1">DSUM($B$43:$X$47,T$43,$C$54:$D63)</f>
        <v>6.5462622495377886E-3</v>
      </c>
      <c r="U63" s="143">
        <f ca="1">DSUM($B$43:$X$47,U$43,$C$54:$D63)</f>
        <v>6.4447886204329514E-3</v>
      </c>
      <c r="V63" s="143">
        <f ca="1">DSUM($B$43:$X$47,V$43,$C$54:$D63)</f>
        <v>6.3585179171142979E-3</v>
      </c>
      <c r="W63" s="143">
        <f ca="1">DSUM($B$43:$X$47,W$43,$C$54:$D63)</f>
        <v>6.2625350911424162E-3</v>
      </c>
      <c r="X63" s="143">
        <f ca="1">DSUM($B$43:$X$47,X$43,$C$54:$D63)</f>
        <v>6.2400365988446241E-3</v>
      </c>
      <c r="Y63" s="14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1:80">
      <c r="B64" s="34" t="s">
        <v>1019</v>
      </c>
      <c r="C64" s="548" t="s">
        <v>1020</v>
      </c>
      <c r="D64" s="548" t="s">
        <v>1021</v>
      </c>
      <c r="E64" s="143">
        <f ca="1">DSUM($B$43:$X$47,E$43,$C$54:$D64)</f>
        <v>8.0513979635512645E-4</v>
      </c>
      <c r="F64" s="143">
        <f ca="1">DSUM($B$43:$X$47,F$43,$C$54:$D64)</f>
        <v>1.597844677540896E-3</v>
      </c>
      <c r="G64" s="143">
        <f ca="1">DSUM($B$43:$X$47,G$43,$C$54:$D64)</f>
        <v>2.3887769839645565E-3</v>
      </c>
      <c r="H64" s="143">
        <f ca="1">DSUM($B$43:$X$47,H$43,$C$54:$D64)</f>
        <v>3.0867241934439782E-3</v>
      </c>
      <c r="I64" s="143">
        <f ca="1">DSUM($B$43:$X$47,I$43,$C$54:$D64)</f>
        <v>3.6326930722987674E-3</v>
      </c>
      <c r="J64" s="143">
        <f ca="1">DSUM($B$43:$X$47,J$43,$C$54:$D64)</f>
        <v>4.1496841692678392E-3</v>
      </c>
      <c r="K64" s="143">
        <f ca="1">DSUM($B$43:$X$47,K$43,$C$54:$D64)</f>
        <v>4.6206022403786221E-3</v>
      </c>
      <c r="L64" s="143">
        <f ca="1">DSUM($B$43:$X$47,L$43,$C$54:$D64)</f>
        <v>5.1215914540467273E-3</v>
      </c>
      <c r="M64" s="143">
        <f ca="1">DSUM($B$43:$X$47,M$43,$C$54:$D64)</f>
        <v>5.5673333574838635E-3</v>
      </c>
      <c r="N64" s="143">
        <f ca="1">DSUM($B$43:$X$47,N$43,$C$54:$D64)</f>
        <v>5.9818795143448001E-3</v>
      </c>
      <c r="O64" s="143">
        <f ca="1">DSUM($B$43:$X$47,O$43,$C$54:$D64)</f>
        <v>6.2102949174014455E-3</v>
      </c>
      <c r="P64" s="143">
        <f ca="1">DSUM($B$43:$X$47,P$43,$C$54:$D64)</f>
        <v>6.3854123194879856E-3</v>
      </c>
      <c r="Q64" s="143">
        <f ca="1">DSUM($B$43:$X$47,Q$43,$C$54:$D64)</f>
        <v>6.5270893399065853E-3</v>
      </c>
      <c r="R64" s="143">
        <f ca="1">DSUM($B$43:$X$47,R$43,$C$54:$D64)</f>
        <v>6.5820948351807892E-3</v>
      </c>
      <c r="S64" s="143">
        <f ca="1">DSUM($B$43:$X$47,S$43,$C$54:$D64)</f>
        <v>6.6026169788779209E-3</v>
      </c>
      <c r="T64" s="143">
        <f ca="1">DSUM($B$43:$X$47,T$43,$C$54:$D64)</f>
        <v>6.5462622495377886E-3</v>
      </c>
      <c r="U64" s="143">
        <f ca="1">DSUM($B$43:$X$47,U$43,$C$54:$D64)</f>
        <v>6.4447886204329514E-3</v>
      </c>
      <c r="V64" s="143">
        <f ca="1">DSUM($B$43:$X$47,V$43,$C$54:$D64)</f>
        <v>6.3585179171142979E-3</v>
      </c>
      <c r="W64" s="143">
        <f ca="1">DSUM($B$43:$X$47,W$43,$C$54:$D64)</f>
        <v>6.2625350911424162E-3</v>
      </c>
      <c r="X64" s="143">
        <f ca="1">DSUM($B$43:$X$47,X$43,$C$54:$D64)</f>
        <v>6.2400365988446241E-3</v>
      </c>
      <c r="Y64" s="143"/>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row>
    <row r="65" spans="2:80">
      <c r="B65" s="34" t="s">
        <v>1022</v>
      </c>
      <c r="C65" s="548" t="s">
        <v>1023</v>
      </c>
      <c r="D65" s="548" t="s">
        <v>1024</v>
      </c>
      <c r="E65" s="143">
        <f ca="1">DSUM($B$43:$X$47,E$43,$C$54:$D65)</f>
        <v>8.0513979635512645E-4</v>
      </c>
      <c r="F65" s="143">
        <f ca="1">DSUM($B$43:$X$47,F$43,$C$54:$D65)</f>
        <v>1.597844677540896E-3</v>
      </c>
      <c r="G65" s="143">
        <f ca="1">DSUM($B$43:$X$47,G$43,$C$54:$D65)</f>
        <v>2.3887769839645565E-3</v>
      </c>
      <c r="H65" s="143">
        <f ca="1">DSUM($B$43:$X$47,H$43,$C$54:$D65)</f>
        <v>3.0867241934439782E-3</v>
      </c>
      <c r="I65" s="143">
        <f ca="1">DSUM($B$43:$X$47,I$43,$C$54:$D65)</f>
        <v>3.6326930722987674E-3</v>
      </c>
      <c r="J65" s="143">
        <f ca="1">DSUM($B$43:$X$47,J$43,$C$54:$D65)</f>
        <v>4.1496841692678392E-3</v>
      </c>
      <c r="K65" s="143">
        <f ca="1">DSUM($B$43:$X$47,K$43,$C$54:$D65)</f>
        <v>4.6206022403786221E-3</v>
      </c>
      <c r="L65" s="143">
        <f ca="1">DSUM($B$43:$X$47,L$43,$C$54:$D65)</f>
        <v>5.1215914540467273E-3</v>
      </c>
      <c r="M65" s="143">
        <f ca="1">DSUM($B$43:$X$47,M$43,$C$54:$D65)</f>
        <v>5.5673333574838635E-3</v>
      </c>
      <c r="N65" s="143">
        <f ca="1">DSUM($B$43:$X$47,N$43,$C$54:$D65)</f>
        <v>5.9818795143448001E-3</v>
      </c>
      <c r="O65" s="143">
        <f ca="1">DSUM($B$43:$X$47,O$43,$C$54:$D65)</f>
        <v>6.2102949174014455E-3</v>
      </c>
      <c r="P65" s="143">
        <f ca="1">DSUM($B$43:$X$47,P$43,$C$54:$D65)</f>
        <v>6.3854123194879856E-3</v>
      </c>
      <c r="Q65" s="143">
        <f ca="1">DSUM($B$43:$X$47,Q$43,$C$54:$D65)</f>
        <v>6.5270893399065853E-3</v>
      </c>
      <c r="R65" s="143">
        <f ca="1">DSUM($B$43:$X$47,R$43,$C$54:$D65)</f>
        <v>6.5820948351807892E-3</v>
      </c>
      <c r="S65" s="143">
        <f ca="1">DSUM($B$43:$X$47,S$43,$C$54:$D65)</f>
        <v>6.6026169788779209E-3</v>
      </c>
      <c r="T65" s="143">
        <f ca="1">DSUM($B$43:$X$47,T$43,$C$54:$D65)</f>
        <v>6.5462622495377886E-3</v>
      </c>
      <c r="U65" s="143">
        <f ca="1">DSUM($B$43:$X$47,U$43,$C$54:$D65)</f>
        <v>6.4447886204329514E-3</v>
      </c>
      <c r="V65" s="143">
        <f ca="1">DSUM($B$43:$X$47,V$43,$C$54:$D65)</f>
        <v>6.3585179171142979E-3</v>
      </c>
      <c r="W65" s="143">
        <f ca="1">DSUM($B$43:$X$47,W$43,$C$54:$D65)</f>
        <v>6.2625350911424162E-3</v>
      </c>
      <c r="X65" s="143">
        <f ca="1">DSUM($B$43:$X$47,X$43,$C$54:$D65)</f>
        <v>6.2400365988446241E-3</v>
      </c>
      <c r="Y65" s="143"/>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row>
    <row r="66" spans="2:80">
      <c r="B66" s="34" t="s">
        <v>1025</v>
      </c>
      <c r="C66" s="548" t="s">
        <v>1026</v>
      </c>
      <c r="D66" s="548" t="s">
        <v>1027</v>
      </c>
      <c r="E66" s="143">
        <f ca="1">DSUM($B$43:$X$47,E$43,$C$54:$D66)</f>
        <v>8.0513979635512645E-4</v>
      </c>
      <c r="F66" s="143">
        <f ca="1">DSUM($B$43:$X$47,F$43,$C$54:$D66)</f>
        <v>1.597844677540896E-3</v>
      </c>
      <c r="G66" s="143">
        <f ca="1">DSUM($B$43:$X$47,G$43,$C$54:$D66)</f>
        <v>2.3887769839645565E-3</v>
      </c>
      <c r="H66" s="143">
        <f ca="1">DSUM($B$43:$X$47,H$43,$C$54:$D66)</f>
        <v>3.0867241934439782E-3</v>
      </c>
      <c r="I66" s="143">
        <f ca="1">DSUM($B$43:$X$47,I$43,$C$54:$D66)</f>
        <v>3.6326930722987674E-3</v>
      </c>
      <c r="J66" s="143">
        <f ca="1">DSUM($B$43:$X$47,J$43,$C$54:$D66)</f>
        <v>4.1496841692678392E-3</v>
      </c>
      <c r="K66" s="143">
        <f ca="1">DSUM($B$43:$X$47,K$43,$C$54:$D66)</f>
        <v>4.6206022403786221E-3</v>
      </c>
      <c r="L66" s="143">
        <f ca="1">DSUM($B$43:$X$47,L$43,$C$54:$D66)</f>
        <v>5.1215914540467273E-3</v>
      </c>
      <c r="M66" s="143">
        <f ca="1">DSUM($B$43:$X$47,M$43,$C$54:$D66)</f>
        <v>5.5673333574838635E-3</v>
      </c>
      <c r="N66" s="143">
        <f ca="1">DSUM($B$43:$X$47,N$43,$C$54:$D66)</f>
        <v>5.9818795143448001E-3</v>
      </c>
      <c r="O66" s="143">
        <f ca="1">DSUM($B$43:$X$47,O$43,$C$54:$D66)</f>
        <v>6.2102949174014455E-3</v>
      </c>
      <c r="P66" s="143">
        <f ca="1">DSUM($B$43:$X$47,P$43,$C$54:$D66)</f>
        <v>6.3854123194879856E-3</v>
      </c>
      <c r="Q66" s="143">
        <f ca="1">DSUM($B$43:$X$47,Q$43,$C$54:$D66)</f>
        <v>6.5270893399065853E-3</v>
      </c>
      <c r="R66" s="143">
        <f ca="1">DSUM($B$43:$X$47,R$43,$C$54:$D66)</f>
        <v>6.5820948351807892E-3</v>
      </c>
      <c r="S66" s="143">
        <f ca="1">DSUM($B$43:$X$47,S$43,$C$54:$D66)</f>
        <v>6.6026169788779209E-3</v>
      </c>
      <c r="T66" s="143">
        <f ca="1">DSUM($B$43:$X$47,T$43,$C$54:$D66)</f>
        <v>6.5462622495377886E-3</v>
      </c>
      <c r="U66" s="143">
        <f ca="1">DSUM($B$43:$X$47,U$43,$C$54:$D66)</f>
        <v>6.4447886204329514E-3</v>
      </c>
      <c r="V66" s="143">
        <f ca="1">DSUM($B$43:$X$47,V$43,$C$54:$D66)</f>
        <v>6.3585179171142979E-3</v>
      </c>
      <c r="W66" s="143">
        <f ca="1">DSUM($B$43:$X$47,W$43,$C$54:$D66)</f>
        <v>6.2625350911424162E-3</v>
      </c>
      <c r="X66" s="143">
        <f ca="1">DSUM($B$43:$X$47,X$43,$C$54:$D66)</f>
        <v>6.2400365988446241E-3</v>
      </c>
      <c r="Y66" s="143"/>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row>
    <row r="67" spans="2:80">
      <c r="B67" s="34" t="s">
        <v>1028</v>
      </c>
      <c r="C67" s="548" t="s">
        <v>1029</v>
      </c>
      <c r="D67" s="548" t="s">
        <v>1030</v>
      </c>
      <c r="E67" s="143">
        <f ca="1">DSUM($B$43:$X$47,E$43,$C$54:$D67)</f>
        <v>8.0513979635512645E-4</v>
      </c>
      <c r="F67" s="143">
        <f ca="1">DSUM($B$43:$X$47,F$43,$C$54:$D67)</f>
        <v>1.597844677540896E-3</v>
      </c>
      <c r="G67" s="143">
        <f ca="1">DSUM($B$43:$X$47,G$43,$C$54:$D67)</f>
        <v>2.3887769839645565E-3</v>
      </c>
      <c r="H67" s="143">
        <f ca="1">DSUM($B$43:$X$47,H$43,$C$54:$D67)</f>
        <v>3.0867241934439782E-3</v>
      </c>
      <c r="I67" s="143">
        <f ca="1">DSUM($B$43:$X$47,I$43,$C$54:$D67)</f>
        <v>3.6326930722987674E-3</v>
      </c>
      <c r="J67" s="143">
        <f ca="1">DSUM($B$43:$X$47,J$43,$C$54:$D67)</f>
        <v>4.1496841692678392E-3</v>
      </c>
      <c r="K67" s="143">
        <f ca="1">DSUM($B$43:$X$47,K$43,$C$54:$D67)</f>
        <v>4.6206022403786221E-3</v>
      </c>
      <c r="L67" s="143">
        <f ca="1">DSUM($B$43:$X$47,L$43,$C$54:$D67)</f>
        <v>5.1215914540467273E-3</v>
      </c>
      <c r="M67" s="143">
        <f ca="1">DSUM($B$43:$X$47,M$43,$C$54:$D67)</f>
        <v>5.5673333574838635E-3</v>
      </c>
      <c r="N67" s="143">
        <f ca="1">DSUM($B$43:$X$47,N$43,$C$54:$D67)</f>
        <v>5.9818795143448001E-3</v>
      </c>
      <c r="O67" s="143">
        <f ca="1">DSUM($B$43:$X$47,O$43,$C$54:$D67)</f>
        <v>6.2102949174014455E-3</v>
      </c>
      <c r="P67" s="143">
        <f ca="1">DSUM($B$43:$X$47,P$43,$C$54:$D67)</f>
        <v>6.3854123194879856E-3</v>
      </c>
      <c r="Q67" s="143">
        <f ca="1">DSUM($B$43:$X$47,Q$43,$C$54:$D67)</f>
        <v>6.5270893399065853E-3</v>
      </c>
      <c r="R67" s="143">
        <f ca="1">DSUM($B$43:$X$47,R$43,$C$54:$D67)</f>
        <v>6.5820948351807892E-3</v>
      </c>
      <c r="S67" s="143">
        <f ca="1">DSUM($B$43:$X$47,S$43,$C$54:$D67)</f>
        <v>6.6026169788779209E-3</v>
      </c>
      <c r="T67" s="143">
        <f ca="1">DSUM($B$43:$X$47,T$43,$C$54:$D67)</f>
        <v>6.5462622495377886E-3</v>
      </c>
      <c r="U67" s="143">
        <f ca="1">DSUM($B$43:$X$47,U$43,$C$54:$D67)</f>
        <v>6.4447886204329514E-3</v>
      </c>
      <c r="V67" s="143">
        <f ca="1">DSUM($B$43:$X$47,V$43,$C$54:$D67)</f>
        <v>6.3585179171142979E-3</v>
      </c>
      <c r="W67" s="143">
        <f ca="1">DSUM($B$43:$X$47,W$43,$C$54:$D67)</f>
        <v>6.2625350911424162E-3</v>
      </c>
      <c r="X67" s="143">
        <f ca="1">DSUM($B$43:$X$47,X$43,$C$54:$D67)</f>
        <v>6.2400365988446241E-3</v>
      </c>
      <c r="Y67" s="143"/>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2:80">
      <c r="B68" s="34" t="s">
        <v>1031</v>
      </c>
      <c r="C68" s="548" t="s">
        <v>1032</v>
      </c>
      <c r="D68" s="548" t="s">
        <v>1033</v>
      </c>
      <c r="E68" s="143">
        <f ca="1">DSUM($B$43:$X$47,E$43,$C$54:$D68)</f>
        <v>8.0513979635512645E-4</v>
      </c>
      <c r="F68" s="143">
        <f ca="1">DSUM($B$43:$X$47,F$43,$C$54:$D68)</f>
        <v>1.597844677540896E-3</v>
      </c>
      <c r="G68" s="143">
        <f ca="1">DSUM($B$43:$X$47,G$43,$C$54:$D68)</f>
        <v>2.3887769839645565E-3</v>
      </c>
      <c r="H68" s="143">
        <f ca="1">DSUM($B$43:$X$47,H$43,$C$54:$D68)</f>
        <v>3.0867241934439782E-3</v>
      </c>
      <c r="I68" s="143">
        <f ca="1">DSUM($B$43:$X$47,I$43,$C$54:$D68)</f>
        <v>3.6326930722987674E-3</v>
      </c>
      <c r="J68" s="143">
        <f ca="1">DSUM($B$43:$X$47,J$43,$C$54:$D68)</f>
        <v>4.1496841692678392E-3</v>
      </c>
      <c r="K68" s="143">
        <f ca="1">DSUM($B$43:$X$47,K$43,$C$54:$D68)</f>
        <v>4.6206022403786221E-3</v>
      </c>
      <c r="L68" s="143">
        <f ca="1">DSUM($B$43:$X$47,L$43,$C$54:$D68)</f>
        <v>5.1215914540467273E-3</v>
      </c>
      <c r="M68" s="143">
        <f ca="1">DSUM($B$43:$X$47,M$43,$C$54:$D68)</f>
        <v>5.5673333574838635E-3</v>
      </c>
      <c r="N68" s="143">
        <f ca="1">DSUM($B$43:$X$47,N$43,$C$54:$D68)</f>
        <v>5.9818795143448001E-3</v>
      </c>
      <c r="O68" s="143">
        <f ca="1">DSUM($B$43:$X$47,O$43,$C$54:$D68)</f>
        <v>6.2102949174014455E-3</v>
      </c>
      <c r="P68" s="143">
        <f ca="1">DSUM($B$43:$X$47,P$43,$C$54:$D68)</f>
        <v>6.3854123194879856E-3</v>
      </c>
      <c r="Q68" s="143">
        <f ca="1">DSUM($B$43:$X$47,Q$43,$C$54:$D68)</f>
        <v>6.5270893399065853E-3</v>
      </c>
      <c r="R68" s="143">
        <f ca="1">DSUM($B$43:$X$47,R$43,$C$54:$D68)</f>
        <v>6.5820948351807892E-3</v>
      </c>
      <c r="S68" s="143">
        <f ca="1">DSUM($B$43:$X$47,S$43,$C$54:$D68)</f>
        <v>6.6026169788779209E-3</v>
      </c>
      <c r="T68" s="143">
        <f ca="1">DSUM($B$43:$X$47,T$43,$C$54:$D68)</f>
        <v>6.5462622495377886E-3</v>
      </c>
      <c r="U68" s="143">
        <f ca="1">DSUM($B$43:$X$47,U$43,$C$54:$D68)</f>
        <v>6.4447886204329514E-3</v>
      </c>
      <c r="V68" s="143">
        <f ca="1">DSUM($B$43:$X$47,V$43,$C$54:$D68)</f>
        <v>6.3585179171142979E-3</v>
      </c>
      <c r="W68" s="143">
        <f ca="1">DSUM($B$43:$X$47,W$43,$C$54:$D68)</f>
        <v>6.2625350911424162E-3</v>
      </c>
      <c r="X68" s="143">
        <f ca="1">DSUM($B$43:$X$47,X$43,$C$54:$D68)</f>
        <v>6.2400365988446241E-3</v>
      </c>
      <c r="Y68" s="143"/>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row>
    <row r="69" spans="2:80">
      <c r="B69" s="34" t="s">
        <v>1034</v>
      </c>
      <c r="C69" s="548" t="s">
        <v>1035</v>
      </c>
      <c r="D69" s="548" t="s">
        <v>1036</v>
      </c>
      <c r="E69" s="143">
        <f ca="1">DSUM($B$43:$X$47,E$43,$C$54:$D69)</f>
        <v>8.0513979635512645E-4</v>
      </c>
      <c r="F69" s="143">
        <f ca="1">DSUM($B$43:$X$47,F$43,$C$54:$D69)</f>
        <v>1.597844677540896E-3</v>
      </c>
      <c r="G69" s="143">
        <f ca="1">DSUM($B$43:$X$47,G$43,$C$54:$D69)</f>
        <v>2.3887769839645565E-3</v>
      </c>
      <c r="H69" s="143">
        <f ca="1">DSUM($B$43:$X$47,H$43,$C$54:$D69)</f>
        <v>3.0867241934439782E-3</v>
      </c>
      <c r="I69" s="143">
        <f ca="1">DSUM($B$43:$X$47,I$43,$C$54:$D69)</f>
        <v>3.6326930722987674E-3</v>
      </c>
      <c r="J69" s="143">
        <f ca="1">DSUM($B$43:$X$47,J$43,$C$54:$D69)</f>
        <v>4.1496841692678392E-3</v>
      </c>
      <c r="K69" s="143">
        <f ca="1">DSUM($B$43:$X$47,K$43,$C$54:$D69)</f>
        <v>4.6206022403786221E-3</v>
      </c>
      <c r="L69" s="143">
        <f ca="1">DSUM($B$43:$X$47,L$43,$C$54:$D69)</f>
        <v>5.1215914540467273E-3</v>
      </c>
      <c r="M69" s="143">
        <f ca="1">DSUM($B$43:$X$47,M$43,$C$54:$D69)</f>
        <v>5.5673333574838635E-3</v>
      </c>
      <c r="N69" s="143">
        <f ca="1">DSUM($B$43:$X$47,N$43,$C$54:$D69)</f>
        <v>5.9818795143448001E-3</v>
      </c>
      <c r="O69" s="143">
        <f ca="1">DSUM($B$43:$X$47,O$43,$C$54:$D69)</f>
        <v>6.2102949174014455E-3</v>
      </c>
      <c r="P69" s="143">
        <f ca="1">DSUM($B$43:$X$47,P$43,$C$54:$D69)</f>
        <v>6.3854123194879856E-3</v>
      </c>
      <c r="Q69" s="143">
        <f ca="1">DSUM($B$43:$X$47,Q$43,$C$54:$D69)</f>
        <v>6.5270893399065853E-3</v>
      </c>
      <c r="R69" s="143">
        <f ca="1">DSUM($B$43:$X$47,R$43,$C$54:$D69)</f>
        <v>6.5820948351807892E-3</v>
      </c>
      <c r="S69" s="143">
        <f ca="1">DSUM($B$43:$X$47,S$43,$C$54:$D69)</f>
        <v>6.6026169788779209E-3</v>
      </c>
      <c r="T69" s="143">
        <f ca="1">DSUM($B$43:$X$47,T$43,$C$54:$D69)</f>
        <v>6.5462622495377886E-3</v>
      </c>
      <c r="U69" s="143">
        <f ca="1">DSUM($B$43:$X$47,U$43,$C$54:$D69)</f>
        <v>6.4447886204329514E-3</v>
      </c>
      <c r="V69" s="143">
        <f ca="1">DSUM($B$43:$X$47,V$43,$C$54:$D69)</f>
        <v>6.3585179171142979E-3</v>
      </c>
      <c r="W69" s="143">
        <f ca="1">DSUM($B$43:$X$47,W$43,$C$54:$D69)</f>
        <v>6.2625350911424162E-3</v>
      </c>
      <c r="X69" s="143">
        <f ca="1">DSUM($B$43:$X$47,X$43,$C$54:$D69)</f>
        <v>6.2400365988446241E-3</v>
      </c>
      <c r="Y69" s="143"/>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row>
    <row r="70" spans="2:80">
      <c r="B70" s="34" t="s">
        <v>1037</v>
      </c>
      <c r="C70" s="548" t="s">
        <v>1038</v>
      </c>
      <c r="D70" s="548" t="s">
        <v>1039</v>
      </c>
      <c r="E70" s="143">
        <f ca="1">DSUM($B$43:$X$47,E$43,$C$54:$D70)</f>
        <v>1.385238998679817E-3</v>
      </c>
      <c r="F70" s="143">
        <f ca="1">DSUM($B$43:$X$47,F$43,$C$54:$D70)</f>
        <v>2.70762724643562E-3</v>
      </c>
      <c r="G70" s="143">
        <f ca="1">DSUM($B$43:$X$47,G$43,$C$54:$D70)</f>
        <v>3.9666169376665712E-3</v>
      </c>
      <c r="H70" s="143">
        <f ca="1">DSUM($B$43:$X$47,H$43,$C$54:$D70)</f>
        <v>5.1220743021644704E-3</v>
      </c>
      <c r="I70" s="143">
        <f ca="1">DSUM($B$43:$X$47,I$43,$C$54:$D70)</f>
        <v>6.1085060385108469E-3</v>
      </c>
      <c r="J70" s="143">
        <f ca="1">DSUM($B$43:$X$47,J$43,$C$54:$D70)</f>
        <v>6.9332576213094301E-3</v>
      </c>
      <c r="K70" s="143">
        <f ca="1">DSUM($B$43:$X$47,K$43,$C$54:$D70)</f>
        <v>7.6568505914818745E-3</v>
      </c>
      <c r="L70" s="143">
        <f ca="1">DSUM($B$43:$X$47,L$43,$C$54:$D70)</f>
        <v>8.4062284811445634E-3</v>
      </c>
      <c r="M70" s="143">
        <f ca="1">DSUM($B$43:$X$47,M$43,$C$54:$D70)</f>
        <v>9.0262558217789664E-3</v>
      </c>
      <c r="N70" s="143">
        <f ca="1">DSUM($B$43:$X$47,N$43,$C$54:$D70)</f>
        <v>9.6717595481601477E-3</v>
      </c>
      <c r="O70" s="143">
        <f ca="1">DSUM($B$43:$X$47,O$43,$C$54:$D70)</f>
        <v>1.0062476687235793E-2</v>
      </c>
      <c r="P70" s="143">
        <f ca="1">DSUM($B$43:$X$47,P$43,$C$54:$D70)</f>
        <v>1.0295961971115378E-2</v>
      </c>
      <c r="Q70" s="143">
        <f ca="1">DSUM($B$43:$X$47,Q$43,$C$54:$D70)</f>
        <v>1.0418015601614214E-2</v>
      </c>
      <c r="R70" s="143">
        <f ca="1">DSUM($B$43:$X$47,R$43,$C$54:$D70)</f>
        <v>1.054429525432906E-2</v>
      </c>
      <c r="S70" s="143">
        <f ca="1">DSUM($B$43:$X$47,S$43,$C$54:$D70)</f>
        <v>1.0665473124211381E-2</v>
      </c>
      <c r="T70" s="143">
        <f ca="1">DSUM($B$43:$X$47,T$43,$C$54:$D70)</f>
        <v>1.0635144478141028E-2</v>
      </c>
      <c r="U70" s="143">
        <f ca="1">DSUM($B$43:$X$47,U$43,$C$54:$D70)</f>
        <v>1.0398692368144211E-2</v>
      </c>
      <c r="V70" s="143">
        <f ca="1">DSUM($B$43:$X$47,V$43,$C$54:$D70)</f>
        <v>1.0305757386167276E-2</v>
      </c>
      <c r="W70" s="143">
        <f ca="1">DSUM($B$43:$X$47,W$43,$C$54:$D70)</f>
        <v>1.0219833714112975E-2</v>
      </c>
      <c r="X70" s="143">
        <f ca="1">DSUM($B$43:$X$47,X$43,$C$54:$D70)</f>
        <v>1.0224212274762697E-2</v>
      </c>
      <c r="Y70" s="143"/>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row>
    <row r="71" spans="2:80">
      <c r="B71" s="34" t="s">
        <v>1040</v>
      </c>
      <c r="C71" s="548" t="s">
        <v>1041</v>
      </c>
      <c r="D71" s="548" t="s">
        <v>1042</v>
      </c>
      <c r="E71" s="143">
        <f ca="1">DSUM($B$43:$X$47,E$43,$C$54:$D71)</f>
        <v>1.385238998679817E-3</v>
      </c>
      <c r="F71" s="143">
        <f ca="1">DSUM($B$43:$X$47,F$43,$C$54:$D71)</f>
        <v>2.70762724643562E-3</v>
      </c>
      <c r="G71" s="143">
        <f ca="1">DSUM($B$43:$X$47,G$43,$C$54:$D71)</f>
        <v>3.9666169376665712E-3</v>
      </c>
      <c r="H71" s="143">
        <f ca="1">DSUM($B$43:$X$47,H$43,$C$54:$D71)</f>
        <v>5.1220743021644704E-3</v>
      </c>
      <c r="I71" s="143">
        <f ca="1">DSUM($B$43:$X$47,I$43,$C$54:$D71)</f>
        <v>6.1085060385108469E-3</v>
      </c>
      <c r="J71" s="143">
        <f ca="1">DSUM($B$43:$X$47,J$43,$C$54:$D71)</f>
        <v>6.9332576213094301E-3</v>
      </c>
      <c r="K71" s="143">
        <f ca="1">DSUM($B$43:$X$47,K$43,$C$54:$D71)</f>
        <v>7.6568505914818745E-3</v>
      </c>
      <c r="L71" s="143">
        <f ca="1">DSUM($B$43:$X$47,L$43,$C$54:$D71)</f>
        <v>8.4062284811445634E-3</v>
      </c>
      <c r="M71" s="143">
        <f ca="1">DSUM($B$43:$X$47,M$43,$C$54:$D71)</f>
        <v>9.0262558217789664E-3</v>
      </c>
      <c r="N71" s="143">
        <f ca="1">DSUM($B$43:$X$47,N$43,$C$54:$D71)</f>
        <v>9.6717595481601477E-3</v>
      </c>
      <c r="O71" s="143">
        <f ca="1">DSUM($B$43:$X$47,O$43,$C$54:$D71)</f>
        <v>1.0062476687235793E-2</v>
      </c>
      <c r="P71" s="143">
        <f ca="1">DSUM($B$43:$X$47,P$43,$C$54:$D71)</f>
        <v>1.0295961971115378E-2</v>
      </c>
      <c r="Q71" s="143">
        <f ca="1">DSUM($B$43:$X$47,Q$43,$C$54:$D71)</f>
        <v>1.0418015601614214E-2</v>
      </c>
      <c r="R71" s="143">
        <f ca="1">DSUM($B$43:$X$47,R$43,$C$54:$D71)</f>
        <v>1.054429525432906E-2</v>
      </c>
      <c r="S71" s="143">
        <f ca="1">DSUM($B$43:$X$47,S$43,$C$54:$D71)</f>
        <v>1.0665473124211381E-2</v>
      </c>
      <c r="T71" s="143">
        <f ca="1">DSUM($B$43:$X$47,T$43,$C$54:$D71)</f>
        <v>1.0635144478141028E-2</v>
      </c>
      <c r="U71" s="143">
        <f ca="1">DSUM($B$43:$X$47,U$43,$C$54:$D71)</f>
        <v>1.0398692368144211E-2</v>
      </c>
      <c r="V71" s="143">
        <f ca="1">DSUM($B$43:$X$47,V$43,$C$54:$D71)</f>
        <v>1.0305757386167276E-2</v>
      </c>
      <c r="W71" s="143">
        <f ca="1">DSUM($B$43:$X$47,W$43,$C$54:$D71)</f>
        <v>1.0219833714112975E-2</v>
      </c>
      <c r="X71" s="143">
        <f ca="1">DSUM($B$43:$X$47,X$43,$C$54:$D71)</f>
        <v>1.0224212274762697E-2</v>
      </c>
      <c r="Y71" s="143"/>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row>
    <row r="72" spans="2:80">
      <c r="B72" s="34" t="s">
        <v>1043</v>
      </c>
      <c r="C72" s="548" t="s">
        <v>1044</v>
      </c>
      <c r="D72" s="548" t="s">
        <v>1045</v>
      </c>
      <c r="E72" s="143">
        <f ca="1">DSUM($B$43:$X$47,E$43,$C$54:$D72)</f>
        <v>1.385238998679817E-3</v>
      </c>
      <c r="F72" s="143">
        <f ca="1">DSUM($B$43:$X$47,F$43,$C$54:$D72)</f>
        <v>2.70762724643562E-3</v>
      </c>
      <c r="G72" s="143">
        <f ca="1">DSUM($B$43:$X$47,G$43,$C$54:$D72)</f>
        <v>3.9666169376665712E-3</v>
      </c>
      <c r="H72" s="143">
        <f ca="1">DSUM($B$43:$X$47,H$43,$C$54:$D72)</f>
        <v>5.1220743021644704E-3</v>
      </c>
      <c r="I72" s="143">
        <f ca="1">DSUM($B$43:$X$47,I$43,$C$54:$D72)</f>
        <v>6.1085060385108469E-3</v>
      </c>
      <c r="J72" s="143">
        <f ca="1">DSUM($B$43:$X$47,J$43,$C$54:$D72)</f>
        <v>6.9332576213094301E-3</v>
      </c>
      <c r="K72" s="143">
        <f ca="1">DSUM($B$43:$X$47,K$43,$C$54:$D72)</f>
        <v>7.6568505914818745E-3</v>
      </c>
      <c r="L72" s="143">
        <f ca="1">DSUM($B$43:$X$47,L$43,$C$54:$D72)</f>
        <v>8.4062284811445634E-3</v>
      </c>
      <c r="M72" s="143">
        <f ca="1">DSUM($B$43:$X$47,M$43,$C$54:$D72)</f>
        <v>9.0262558217789664E-3</v>
      </c>
      <c r="N72" s="143">
        <f ca="1">DSUM($B$43:$X$47,N$43,$C$54:$D72)</f>
        <v>9.6717595481601477E-3</v>
      </c>
      <c r="O72" s="143">
        <f ca="1">DSUM($B$43:$X$47,O$43,$C$54:$D72)</f>
        <v>1.0062476687235793E-2</v>
      </c>
      <c r="P72" s="143">
        <f ca="1">DSUM($B$43:$X$47,P$43,$C$54:$D72)</f>
        <v>1.0295961971115378E-2</v>
      </c>
      <c r="Q72" s="143">
        <f ca="1">DSUM($B$43:$X$47,Q$43,$C$54:$D72)</f>
        <v>1.0418015601614214E-2</v>
      </c>
      <c r="R72" s="143">
        <f ca="1">DSUM($B$43:$X$47,R$43,$C$54:$D72)</f>
        <v>1.054429525432906E-2</v>
      </c>
      <c r="S72" s="143">
        <f ca="1">DSUM($B$43:$X$47,S$43,$C$54:$D72)</f>
        <v>1.0665473124211381E-2</v>
      </c>
      <c r="T72" s="143">
        <f ca="1">DSUM($B$43:$X$47,T$43,$C$54:$D72)</f>
        <v>1.0635144478141028E-2</v>
      </c>
      <c r="U72" s="143">
        <f ca="1">DSUM($B$43:$X$47,U$43,$C$54:$D72)</f>
        <v>1.0398692368144211E-2</v>
      </c>
      <c r="V72" s="143">
        <f ca="1">DSUM($B$43:$X$47,V$43,$C$54:$D72)</f>
        <v>1.0305757386167276E-2</v>
      </c>
      <c r="W72" s="143">
        <f ca="1">DSUM($B$43:$X$47,W$43,$C$54:$D72)</f>
        <v>1.0219833714112975E-2</v>
      </c>
      <c r="X72" s="143">
        <f ca="1">DSUM($B$43:$X$47,X$43,$C$54:$D72)</f>
        <v>1.0224212274762697E-2</v>
      </c>
      <c r="Y72" s="143"/>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row>
    <row r="73" spans="2:80">
      <c r="B73" s="34" t="s">
        <v>1046</v>
      </c>
      <c r="C73" s="548" t="s">
        <v>1047</v>
      </c>
      <c r="D73" s="548" t="s">
        <v>1048</v>
      </c>
      <c r="E73" s="143">
        <f ca="1">DSUM($B$43:$X$47,E$43,$C$54:$D73)</f>
        <v>1.385238998679817E-3</v>
      </c>
      <c r="F73" s="143">
        <f ca="1">DSUM($B$43:$X$47,F$43,$C$54:$D73)</f>
        <v>2.70762724643562E-3</v>
      </c>
      <c r="G73" s="143">
        <f ca="1">DSUM($B$43:$X$47,G$43,$C$54:$D73)</f>
        <v>3.9666169376665712E-3</v>
      </c>
      <c r="H73" s="143">
        <f ca="1">DSUM($B$43:$X$47,H$43,$C$54:$D73)</f>
        <v>5.1220743021644704E-3</v>
      </c>
      <c r="I73" s="143">
        <f ca="1">DSUM($B$43:$X$47,I$43,$C$54:$D73)</f>
        <v>6.1085060385108469E-3</v>
      </c>
      <c r="J73" s="143">
        <f ca="1">DSUM($B$43:$X$47,J$43,$C$54:$D73)</f>
        <v>6.9332576213094301E-3</v>
      </c>
      <c r="K73" s="143">
        <f ca="1">DSUM($B$43:$X$47,K$43,$C$54:$D73)</f>
        <v>7.6568505914818745E-3</v>
      </c>
      <c r="L73" s="143">
        <f ca="1">DSUM($B$43:$X$47,L$43,$C$54:$D73)</f>
        <v>8.4062284811445634E-3</v>
      </c>
      <c r="M73" s="143">
        <f ca="1">DSUM($B$43:$X$47,M$43,$C$54:$D73)</f>
        <v>9.0262558217789664E-3</v>
      </c>
      <c r="N73" s="143">
        <f ca="1">DSUM($B$43:$X$47,N$43,$C$54:$D73)</f>
        <v>9.6717595481601477E-3</v>
      </c>
      <c r="O73" s="143">
        <f ca="1">DSUM($B$43:$X$47,O$43,$C$54:$D73)</f>
        <v>1.0062476687235793E-2</v>
      </c>
      <c r="P73" s="143">
        <f ca="1">DSUM($B$43:$X$47,P$43,$C$54:$D73)</f>
        <v>1.0295961971115378E-2</v>
      </c>
      <c r="Q73" s="143">
        <f ca="1">DSUM($B$43:$X$47,Q$43,$C$54:$D73)</f>
        <v>1.0418015601614214E-2</v>
      </c>
      <c r="R73" s="143">
        <f ca="1">DSUM($B$43:$X$47,R$43,$C$54:$D73)</f>
        <v>1.054429525432906E-2</v>
      </c>
      <c r="S73" s="143">
        <f ca="1">DSUM($B$43:$X$47,S$43,$C$54:$D73)</f>
        <v>1.0665473124211381E-2</v>
      </c>
      <c r="T73" s="143">
        <f ca="1">DSUM($B$43:$X$47,T$43,$C$54:$D73)</f>
        <v>1.0635144478141028E-2</v>
      </c>
      <c r="U73" s="143">
        <f ca="1">DSUM($B$43:$X$47,U$43,$C$54:$D73)</f>
        <v>1.0398692368144211E-2</v>
      </c>
      <c r="V73" s="143">
        <f ca="1">DSUM($B$43:$X$47,V$43,$C$54:$D73)</f>
        <v>1.0305757386167276E-2</v>
      </c>
      <c r="W73" s="143">
        <f ca="1">DSUM($B$43:$X$47,W$43,$C$54:$D73)</f>
        <v>1.0219833714112975E-2</v>
      </c>
      <c r="X73" s="143">
        <f ca="1">DSUM($B$43:$X$47,X$43,$C$54:$D73)</f>
        <v>1.0224212274762697E-2</v>
      </c>
      <c r="Y73" s="14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row>
    <row r="74" spans="2:80">
      <c r="B74" s="34" t="s">
        <v>1049</v>
      </c>
      <c r="C74" s="548" t="s">
        <v>1050</v>
      </c>
      <c r="D74" s="548" t="s">
        <v>1051</v>
      </c>
      <c r="E74" s="143">
        <f ca="1">DSUM($B$43:$X$47,E$43,$C$54:$D74)</f>
        <v>1.385238998679817E-3</v>
      </c>
      <c r="F74" s="143">
        <f ca="1">DSUM($B$43:$X$47,F$43,$C$54:$D74)</f>
        <v>2.70762724643562E-3</v>
      </c>
      <c r="G74" s="143">
        <f ca="1">DSUM($B$43:$X$47,G$43,$C$54:$D74)</f>
        <v>3.9666169376665712E-3</v>
      </c>
      <c r="H74" s="143">
        <f ca="1">DSUM($B$43:$X$47,H$43,$C$54:$D74)</f>
        <v>5.1220743021644704E-3</v>
      </c>
      <c r="I74" s="143">
        <f ca="1">DSUM($B$43:$X$47,I$43,$C$54:$D74)</f>
        <v>6.1085060385108469E-3</v>
      </c>
      <c r="J74" s="143">
        <f ca="1">DSUM($B$43:$X$47,J$43,$C$54:$D74)</f>
        <v>6.9332576213094301E-3</v>
      </c>
      <c r="K74" s="143">
        <f ca="1">DSUM($B$43:$X$47,K$43,$C$54:$D74)</f>
        <v>7.6568505914818745E-3</v>
      </c>
      <c r="L74" s="143">
        <f ca="1">DSUM($B$43:$X$47,L$43,$C$54:$D74)</f>
        <v>8.4062284811445634E-3</v>
      </c>
      <c r="M74" s="143">
        <f ca="1">DSUM($B$43:$X$47,M$43,$C$54:$D74)</f>
        <v>9.0262558217789664E-3</v>
      </c>
      <c r="N74" s="143">
        <f ca="1">DSUM($B$43:$X$47,N$43,$C$54:$D74)</f>
        <v>9.6717595481601477E-3</v>
      </c>
      <c r="O74" s="143">
        <f ca="1">DSUM($B$43:$X$47,O$43,$C$54:$D74)</f>
        <v>1.0062476687235793E-2</v>
      </c>
      <c r="P74" s="143">
        <f ca="1">DSUM($B$43:$X$47,P$43,$C$54:$D74)</f>
        <v>1.0295961971115378E-2</v>
      </c>
      <c r="Q74" s="143">
        <f ca="1">DSUM($B$43:$X$47,Q$43,$C$54:$D74)</f>
        <v>1.0418015601614214E-2</v>
      </c>
      <c r="R74" s="143">
        <f ca="1">DSUM($B$43:$X$47,R$43,$C$54:$D74)</f>
        <v>1.054429525432906E-2</v>
      </c>
      <c r="S74" s="143">
        <f ca="1">DSUM($B$43:$X$47,S$43,$C$54:$D74)</f>
        <v>1.0665473124211381E-2</v>
      </c>
      <c r="T74" s="143">
        <f ca="1">DSUM($B$43:$X$47,T$43,$C$54:$D74)</f>
        <v>1.0635144478141028E-2</v>
      </c>
      <c r="U74" s="143">
        <f ca="1">DSUM($B$43:$X$47,U$43,$C$54:$D74)</f>
        <v>1.0398692368144211E-2</v>
      </c>
      <c r="V74" s="143">
        <f ca="1">DSUM($B$43:$X$47,V$43,$C$54:$D74)</f>
        <v>1.0305757386167276E-2</v>
      </c>
      <c r="W74" s="143">
        <f ca="1">DSUM($B$43:$X$47,W$43,$C$54:$D74)</f>
        <v>1.0219833714112975E-2</v>
      </c>
      <c r="X74" s="143">
        <f ca="1">DSUM($B$43:$X$47,X$43,$C$54:$D74)</f>
        <v>1.0224212274762697E-2</v>
      </c>
      <c r="Y74" s="143"/>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row>
    <row r="75" spans="2:80">
      <c r="B75" s="34" t="s">
        <v>1052</v>
      </c>
      <c r="C75" s="548" t="s">
        <v>1053</v>
      </c>
      <c r="D75" s="548" t="s">
        <v>1054</v>
      </c>
      <c r="E75" s="143">
        <f ca="1">DSUM($B$43:$X$47,E$43,$C$54:$D75)</f>
        <v>1.385238998679817E-3</v>
      </c>
      <c r="F75" s="143">
        <f ca="1">DSUM($B$43:$X$47,F$43,$C$54:$D75)</f>
        <v>2.70762724643562E-3</v>
      </c>
      <c r="G75" s="143">
        <f ca="1">DSUM($B$43:$X$47,G$43,$C$54:$D75)</f>
        <v>3.9666169376665712E-3</v>
      </c>
      <c r="H75" s="143">
        <f ca="1">DSUM($B$43:$X$47,H$43,$C$54:$D75)</f>
        <v>5.1220743021644704E-3</v>
      </c>
      <c r="I75" s="143">
        <f ca="1">DSUM($B$43:$X$47,I$43,$C$54:$D75)</f>
        <v>6.1085060385108469E-3</v>
      </c>
      <c r="J75" s="143">
        <f ca="1">DSUM($B$43:$X$47,J$43,$C$54:$D75)</f>
        <v>6.9332576213094301E-3</v>
      </c>
      <c r="K75" s="143">
        <f ca="1">DSUM($B$43:$X$47,K$43,$C$54:$D75)</f>
        <v>7.6568505914818745E-3</v>
      </c>
      <c r="L75" s="143">
        <f ca="1">DSUM($B$43:$X$47,L$43,$C$54:$D75)</f>
        <v>8.4062284811445634E-3</v>
      </c>
      <c r="M75" s="143">
        <f ca="1">DSUM($B$43:$X$47,M$43,$C$54:$D75)</f>
        <v>9.0262558217789664E-3</v>
      </c>
      <c r="N75" s="143">
        <f ca="1">DSUM($B$43:$X$47,N$43,$C$54:$D75)</f>
        <v>9.6717595481601477E-3</v>
      </c>
      <c r="O75" s="143">
        <f ca="1">DSUM($B$43:$X$47,O$43,$C$54:$D75)</f>
        <v>1.0062476687235793E-2</v>
      </c>
      <c r="P75" s="143">
        <f ca="1">DSUM($B$43:$X$47,P$43,$C$54:$D75)</f>
        <v>1.0295961971115378E-2</v>
      </c>
      <c r="Q75" s="143">
        <f ca="1">DSUM($B$43:$X$47,Q$43,$C$54:$D75)</f>
        <v>1.0418015601614214E-2</v>
      </c>
      <c r="R75" s="143">
        <f ca="1">DSUM($B$43:$X$47,R$43,$C$54:$D75)</f>
        <v>1.054429525432906E-2</v>
      </c>
      <c r="S75" s="143">
        <f ca="1">DSUM($B$43:$X$47,S$43,$C$54:$D75)</f>
        <v>1.0665473124211381E-2</v>
      </c>
      <c r="T75" s="143">
        <f ca="1">DSUM($B$43:$X$47,T$43,$C$54:$D75)</f>
        <v>1.0635144478141028E-2</v>
      </c>
      <c r="U75" s="143">
        <f ca="1">DSUM($B$43:$X$47,U$43,$C$54:$D75)</f>
        <v>1.0398692368144211E-2</v>
      </c>
      <c r="V75" s="143">
        <f ca="1">DSUM($B$43:$X$47,V$43,$C$54:$D75)</f>
        <v>1.0305757386167276E-2</v>
      </c>
      <c r="W75" s="143">
        <f ca="1">DSUM($B$43:$X$47,W$43,$C$54:$D75)</f>
        <v>1.0219833714112975E-2</v>
      </c>
      <c r="X75" s="143">
        <f ca="1">DSUM($B$43:$X$47,X$43,$C$54:$D75)</f>
        <v>1.0224212274762697E-2</v>
      </c>
      <c r="Y75" s="143"/>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row>
    <row r="76" spans="2:80">
      <c r="B76" s="34" t="s">
        <v>1302</v>
      </c>
      <c r="C76" s="548" t="s">
        <v>1056</v>
      </c>
      <c r="D76" s="548" t="s">
        <v>1303</v>
      </c>
      <c r="E76" s="143">
        <f ca="1">DSUM($B$43:$X$47,E$43,$C$54:$D76)</f>
        <v>1.385238998679817E-3</v>
      </c>
      <c r="F76" s="143">
        <f ca="1">DSUM($B$43:$X$47,F$43,$C$54:$D76)</f>
        <v>2.70762724643562E-3</v>
      </c>
      <c r="G76" s="143">
        <f ca="1">DSUM($B$43:$X$47,G$43,$C$54:$D76)</f>
        <v>3.9666169376665712E-3</v>
      </c>
      <c r="H76" s="143">
        <f ca="1">DSUM($B$43:$X$47,H$43,$C$54:$D76)</f>
        <v>5.1220743021644704E-3</v>
      </c>
      <c r="I76" s="143">
        <f ca="1">DSUM($B$43:$X$47,I$43,$C$54:$D76)</f>
        <v>6.1085060385108469E-3</v>
      </c>
      <c r="J76" s="143">
        <f ca="1">DSUM($B$43:$X$47,J$43,$C$54:$D76)</f>
        <v>6.9332576213094301E-3</v>
      </c>
      <c r="K76" s="143">
        <f ca="1">DSUM($B$43:$X$47,K$43,$C$54:$D76)</f>
        <v>7.6568505914818745E-3</v>
      </c>
      <c r="L76" s="143">
        <f ca="1">DSUM($B$43:$X$47,L$43,$C$54:$D76)</f>
        <v>8.4062284811445634E-3</v>
      </c>
      <c r="M76" s="143">
        <f ca="1">DSUM($B$43:$X$47,M$43,$C$54:$D76)</f>
        <v>9.0262558217789664E-3</v>
      </c>
      <c r="N76" s="143">
        <f ca="1">DSUM($B$43:$X$47,N$43,$C$54:$D76)</f>
        <v>9.6717595481601477E-3</v>
      </c>
      <c r="O76" s="143">
        <f ca="1">DSUM($B$43:$X$47,O$43,$C$54:$D76)</f>
        <v>1.0062476687235793E-2</v>
      </c>
      <c r="P76" s="143">
        <f ca="1">DSUM($B$43:$X$47,P$43,$C$54:$D76)</f>
        <v>1.0295961971115378E-2</v>
      </c>
      <c r="Q76" s="143">
        <f ca="1">DSUM($B$43:$X$47,Q$43,$C$54:$D76)</f>
        <v>1.0418015601614214E-2</v>
      </c>
      <c r="R76" s="143">
        <f ca="1">DSUM($B$43:$X$47,R$43,$C$54:$D76)</f>
        <v>1.054429525432906E-2</v>
      </c>
      <c r="S76" s="143">
        <f ca="1">DSUM($B$43:$X$47,S$43,$C$54:$D76)</f>
        <v>1.0665473124211381E-2</v>
      </c>
      <c r="T76" s="143">
        <f ca="1">DSUM($B$43:$X$47,T$43,$C$54:$D76)</f>
        <v>1.0635144478141028E-2</v>
      </c>
      <c r="U76" s="143">
        <f ca="1">DSUM($B$43:$X$47,U$43,$C$54:$D76)</f>
        <v>1.0398692368144211E-2</v>
      </c>
      <c r="V76" s="143">
        <f ca="1">DSUM($B$43:$X$47,V$43,$C$54:$D76)</f>
        <v>1.0305757386167276E-2</v>
      </c>
      <c r="W76" s="143">
        <f ca="1">DSUM($B$43:$X$47,W$43,$C$54:$D76)</f>
        <v>1.0219833714112975E-2</v>
      </c>
      <c r="X76" s="143">
        <f ca="1">DSUM($B$43:$X$47,X$43,$C$54:$D76)</f>
        <v>1.0224212274762697E-2</v>
      </c>
      <c r="Y76" s="143"/>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row>
    <row r="77" spans="2:80">
      <c r="B77" s="34" t="s">
        <v>1304</v>
      </c>
      <c r="C77" s="548" t="s">
        <v>1305</v>
      </c>
      <c r="D77" s="548" t="s">
        <v>1306</v>
      </c>
      <c r="E77" s="143">
        <f ca="1">DSUM($B$43:$X$47,E$43,$C$54:$D77)</f>
        <v>1.385238998679817E-3</v>
      </c>
      <c r="F77" s="143">
        <f ca="1">DSUM($B$43:$X$47,F$43,$C$54:$D77)</f>
        <v>2.70762724643562E-3</v>
      </c>
      <c r="G77" s="143">
        <f ca="1">DSUM($B$43:$X$47,G$43,$C$54:$D77)</f>
        <v>3.9666169376665712E-3</v>
      </c>
      <c r="H77" s="143">
        <f ca="1">DSUM($B$43:$X$47,H$43,$C$54:$D77)</f>
        <v>5.1220743021644704E-3</v>
      </c>
      <c r="I77" s="143">
        <f ca="1">DSUM($B$43:$X$47,I$43,$C$54:$D77)</f>
        <v>6.1085060385108469E-3</v>
      </c>
      <c r="J77" s="143">
        <f ca="1">DSUM($B$43:$X$47,J$43,$C$54:$D77)</f>
        <v>6.9332576213094301E-3</v>
      </c>
      <c r="K77" s="143">
        <f ca="1">DSUM($B$43:$X$47,K$43,$C$54:$D77)</f>
        <v>7.6568505914818745E-3</v>
      </c>
      <c r="L77" s="143">
        <f ca="1">DSUM($B$43:$X$47,L$43,$C$54:$D77)</f>
        <v>8.4062284811445634E-3</v>
      </c>
      <c r="M77" s="143">
        <f ca="1">DSUM($B$43:$X$47,M$43,$C$54:$D77)</f>
        <v>9.0262558217789664E-3</v>
      </c>
      <c r="N77" s="143">
        <f ca="1">DSUM($B$43:$X$47,N$43,$C$54:$D77)</f>
        <v>9.6717595481601477E-3</v>
      </c>
      <c r="O77" s="143">
        <f ca="1">DSUM($B$43:$X$47,O$43,$C$54:$D77)</f>
        <v>1.0062476687235793E-2</v>
      </c>
      <c r="P77" s="143">
        <f ca="1">DSUM($B$43:$X$47,P$43,$C$54:$D77)</f>
        <v>1.0295961971115378E-2</v>
      </c>
      <c r="Q77" s="143">
        <f ca="1">DSUM($B$43:$X$47,Q$43,$C$54:$D77)</f>
        <v>1.0418015601614214E-2</v>
      </c>
      <c r="R77" s="143">
        <f ca="1">DSUM($B$43:$X$47,R$43,$C$54:$D77)</f>
        <v>1.054429525432906E-2</v>
      </c>
      <c r="S77" s="143">
        <f ca="1">DSUM($B$43:$X$47,S$43,$C$54:$D77)</f>
        <v>1.0665473124211381E-2</v>
      </c>
      <c r="T77" s="143">
        <f ca="1">DSUM($B$43:$X$47,T$43,$C$54:$D77)</f>
        <v>1.0635144478141028E-2</v>
      </c>
      <c r="U77" s="143">
        <f ca="1">DSUM($B$43:$X$47,U$43,$C$54:$D77)</f>
        <v>1.0398692368144211E-2</v>
      </c>
      <c r="V77" s="143">
        <f ca="1">DSUM($B$43:$X$47,V$43,$C$54:$D77)</f>
        <v>1.0305757386167276E-2</v>
      </c>
      <c r="W77" s="143">
        <f ca="1">DSUM($B$43:$X$47,W$43,$C$54:$D77)</f>
        <v>1.0219833714112975E-2</v>
      </c>
      <c r="X77" s="143">
        <f ca="1">DSUM($B$43:$X$47,X$43,$C$54:$D77)</f>
        <v>1.0224212274762697E-2</v>
      </c>
      <c r="Y77" s="143"/>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row>
    <row r="78" spans="2:80">
      <c r="B78" s="34" t="s">
        <v>1307</v>
      </c>
      <c r="C78" s="548" t="s">
        <v>1308</v>
      </c>
      <c r="D78" s="548" t="s">
        <v>1309</v>
      </c>
      <c r="E78" s="143">
        <f ca="1">DSUM($B$43:$X$47,E$43,$C$54:$D78)</f>
        <v>1.385238998679817E-3</v>
      </c>
      <c r="F78" s="143">
        <f ca="1">DSUM($B$43:$X$47,F$43,$C$54:$D78)</f>
        <v>2.70762724643562E-3</v>
      </c>
      <c r="G78" s="143">
        <f ca="1">DSUM($B$43:$X$47,G$43,$C$54:$D78)</f>
        <v>3.9666169376665712E-3</v>
      </c>
      <c r="H78" s="143">
        <f ca="1">DSUM($B$43:$X$47,H$43,$C$54:$D78)</f>
        <v>5.1220743021644704E-3</v>
      </c>
      <c r="I78" s="143">
        <f ca="1">DSUM($B$43:$X$47,I$43,$C$54:$D78)</f>
        <v>6.1085060385108469E-3</v>
      </c>
      <c r="J78" s="143">
        <f ca="1">DSUM($B$43:$X$47,J$43,$C$54:$D78)</f>
        <v>6.9332576213094301E-3</v>
      </c>
      <c r="K78" s="143">
        <f ca="1">DSUM($B$43:$X$47,K$43,$C$54:$D78)</f>
        <v>7.6568505914818745E-3</v>
      </c>
      <c r="L78" s="143">
        <f ca="1">DSUM($B$43:$X$47,L$43,$C$54:$D78)</f>
        <v>8.4062284811445634E-3</v>
      </c>
      <c r="M78" s="143">
        <f ca="1">DSUM($B$43:$X$47,M$43,$C$54:$D78)</f>
        <v>9.0262558217789664E-3</v>
      </c>
      <c r="N78" s="143">
        <f ca="1">DSUM($B$43:$X$47,N$43,$C$54:$D78)</f>
        <v>9.6717595481601477E-3</v>
      </c>
      <c r="O78" s="143">
        <f ca="1">DSUM($B$43:$X$47,O$43,$C$54:$D78)</f>
        <v>1.0062476687235793E-2</v>
      </c>
      <c r="P78" s="143">
        <f ca="1">DSUM($B$43:$X$47,P$43,$C$54:$D78)</f>
        <v>1.0295961971115378E-2</v>
      </c>
      <c r="Q78" s="143">
        <f ca="1">DSUM($B$43:$X$47,Q$43,$C$54:$D78)</f>
        <v>1.0418015601614214E-2</v>
      </c>
      <c r="R78" s="143">
        <f ca="1">DSUM($B$43:$X$47,R$43,$C$54:$D78)</f>
        <v>1.054429525432906E-2</v>
      </c>
      <c r="S78" s="143">
        <f ca="1">DSUM($B$43:$X$47,S$43,$C$54:$D78)</f>
        <v>1.0665473124211381E-2</v>
      </c>
      <c r="T78" s="143">
        <f ca="1">DSUM($B$43:$X$47,T$43,$C$54:$D78)</f>
        <v>1.0635144478141028E-2</v>
      </c>
      <c r="U78" s="143">
        <f ca="1">DSUM($B$43:$X$47,U$43,$C$54:$D78)</f>
        <v>1.0398692368144211E-2</v>
      </c>
      <c r="V78" s="143">
        <f ca="1">DSUM($B$43:$X$47,V$43,$C$54:$D78)</f>
        <v>1.0305757386167276E-2</v>
      </c>
      <c r="W78" s="143">
        <f ca="1">DSUM($B$43:$X$47,W$43,$C$54:$D78)</f>
        <v>1.0219833714112975E-2</v>
      </c>
      <c r="X78" s="143">
        <f ca="1">DSUM($B$43:$X$47,X$43,$C$54:$D78)</f>
        <v>1.0224212274762697E-2</v>
      </c>
      <c r="Y78" s="143"/>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row>
    <row r="79" spans="2:80">
      <c r="B79" s="34" t="s">
        <v>1310</v>
      </c>
      <c r="C79" s="548" t="s">
        <v>1311</v>
      </c>
      <c r="D79" s="548" t="s">
        <v>1312</v>
      </c>
      <c r="E79" s="143">
        <f ca="1">DSUM($B$43:$X$47,E$43,$C$54:$D79)</f>
        <v>1.385238998679817E-3</v>
      </c>
      <c r="F79" s="143">
        <f ca="1">DSUM($B$43:$X$47,F$43,$C$54:$D79)</f>
        <v>2.70762724643562E-3</v>
      </c>
      <c r="G79" s="143">
        <f ca="1">DSUM($B$43:$X$47,G$43,$C$54:$D79)</f>
        <v>3.9666169376665712E-3</v>
      </c>
      <c r="H79" s="143">
        <f ca="1">DSUM($B$43:$X$47,H$43,$C$54:$D79)</f>
        <v>5.1220743021644704E-3</v>
      </c>
      <c r="I79" s="143">
        <f ca="1">DSUM($B$43:$X$47,I$43,$C$54:$D79)</f>
        <v>6.1085060385108469E-3</v>
      </c>
      <c r="J79" s="143">
        <f ca="1">DSUM($B$43:$X$47,J$43,$C$54:$D79)</f>
        <v>6.9332576213094301E-3</v>
      </c>
      <c r="K79" s="143">
        <f ca="1">DSUM($B$43:$X$47,K$43,$C$54:$D79)</f>
        <v>7.6568505914818745E-3</v>
      </c>
      <c r="L79" s="143">
        <f ca="1">DSUM($B$43:$X$47,L$43,$C$54:$D79)</f>
        <v>8.4062284811445634E-3</v>
      </c>
      <c r="M79" s="143">
        <f ca="1">DSUM($B$43:$X$47,M$43,$C$54:$D79)</f>
        <v>9.0262558217789664E-3</v>
      </c>
      <c r="N79" s="143">
        <f ca="1">DSUM($B$43:$X$47,N$43,$C$54:$D79)</f>
        <v>9.6717595481601477E-3</v>
      </c>
      <c r="O79" s="143">
        <f ca="1">DSUM($B$43:$X$47,O$43,$C$54:$D79)</f>
        <v>1.0062476687235793E-2</v>
      </c>
      <c r="P79" s="143">
        <f ca="1">DSUM($B$43:$X$47,P$43,$C$54:$D79)</f>
        <v>1.0295961971115378E-2</v>
      </c>
      <c r="Q79" s="143">
        <f ca="1">DSUM($B$43:$X$47,Q$43,$C$54:$D79)</f>
        <v>1.0418015601614214E-2</v>
      </c>
      <c r="R79" s="143">
        <f ca="1">DSUM($B$43:$X$47,R$43,$C$54:$D79)</f>
        <v>1.054429525432906E-2</v>
      </c>
      <c r="S79" s="143">
        <f ca="1">DSUM($B$43:$X$47,S$43,$C$54:$D79)</f>
        <v>1.0665473124211381E-2</v>
      </c>
      <c r="T79" s="143">
        <f ca="1">DSUM($B$43:$X$47,T$43,$C$54:$D79)</f>
        <v>1.0635144478141028E-2</v>
      </c>
      <c r="U79" s="143">
        <f ca="1">DSUM($B$43:$X$47,U$43,$C$54:$D79)</f>
        <v>1.0398692368144211E-2</v>
      </c>
      <c r="V79" s="143">
        <f ca="1">DSUM($B$43:$X$47,V$43,$C$54:$D79)</f>
        <v>1.0305757386167276E-2</v>
      </c>
      <c r="W79" s="143">
        <f ca="1">DSUM($B$43:$X$47,W$43,$C$54:$D79)</f>
        <v>1.0219833714112975E-2</v>
      </c>
      <c r="X79" s="143">
        <f ca="1">DSUM($B$43:$X$47,X$43,$C$54:$D79)</f>
        <v>1.0224212274762697E-2</v>
      </c>
      <c r="Y79" s="143"/>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row>
    <row r="80" spans="2:80">
      <c r="B80" s="34" t="s">
        <v>1313</v>
      </c>
      <c r="C80" s="548" t="s">
        <v>1314</v>
      </c>
      <c r="D80" s="548" t="s">
        <v>1315</v>
      </c>
      <c r="E80" s="143">
        <f ca="1">DSUM($B$43:$X$47,E$43,$C$54:$D80)</f>
        <v>1.385238998679817E-3</v>
      </c>
      <c r="F80" s="143">
        <f ca="1">DSUM($B$43:$X$47,F$43,$C$54:$D80)</f>
        <v>2.70762724643562E-3</v>
      </c>
      <c r="G80" s="143">
        <f ca="1">DSUM($B$43:$X$47,G$43,$C$54:$D80)</f>
        <v>3.9666169376665712E-3</v>
      </c>
      <c r="H80" s="143">
        <f ca="1">DSUM($B$43:$X$47,H$43,$C$54:$D80)</f>
        <v>5.1220743021644704E-3</v>
      </c>
      <c r="I80" s="143">
        <f ca="1">DSUM($B$43:$X$47,I$43,$C$54:$D80)</f>
        <v>6.1085060385108469E-3</v>
      </c>
      <c r="J80" s="143">
        <f ca="1">DSUM($B$43:$X$47,J$43,$C$54:$D80)</f>
        <v>6.9332576213094301E-3</v>
      </c>
      <c r="K80" s="143">
        <f ca="1">DSUM($B$43:$X$47,K$43,$C$54:$D80)</f>
        <v>7.6568505914818745E-3</v>
      </c>
      <c r="L80" s="143">
        <f ca="1">DSUM($B$43:$X$47,L$43,$C$54:$D80)</f>
        <v>8.4062284811445634E-3</v>
      </c>
      <c r="M80" s="143">
        <f ca="1">DSUM($B$43:$X$47,M$43,$C$54:$D80)</f>
        <v>9.0262558217789664E-3</v>
      </c>
      <c r="N80" s="143">
        <f ca="1">DSUM($B$43:$X$47,N$43,$C$54:$D80)</f>
        <v>9.6717595481601477E-3</v>
      </c>
      <c r="O80" s="143">
        <f ca="1">DSUM($B$43:$X$47,O$43,$C$54:$D80)</f>
        <v>1.0062476687235793E-2</v>
      </c>
      <c r="P80" s="143">
        <f ca="1">DSUM($B$43:$X$47,P$43,$C$54:$D80)</f>
        <v>1.0295961971115378E-2</v>
      </c>
      <c r="Q80" s="143">
        <f ca="1">DSUM($B$43:$X$47,Q$43,$C$54:$D80)</f>
        <v>1.0418015601614214E-2</v>
      </c>
      <c r="R80" s="143">
        <f ca="1">DSUM($B$43:$X$47,R$43,$C$54:$D80)</f>
        <v>1.054429525432906E-2</v>
      </c>
      <c r="S80" s="143">
        <f ca="1">DSUM($B$43:$X$47,S$43,$C$54:$D80)</f>
        <v>1.0665473124211381E-2</v>
      </c>
      <c r="T80" s="143">
        <f ca="1">DSUM($B$43:$X$47,T$43,$C$54:$D80)</f>
        <v>1.0635144478141028E-2</v>
      </c>
      <c r="U80" s="143">
        <f ca="1">DSUM($B$43:$X$47,U$43,$C$54:$D80)</f>
        <v>1.0398692368144211E-2</v>
      </c>
      <c r="V80" s="143">
        <f ca="1">DSUM($B$43:$X$47,V$43,$C$54:$D80)</f>
        <v>1.0305757386167276E-2</v>
      </c>
      <c r="W80" s="143">
        <f ca="1">DSUM($B$43:$X$47,W$43,$C$54:$D80)</f>
        <v>1.0219833714112975E-2</v>
      </c>
      <c r="X80" s="143">
        <f ca="1">DSUM($B$43:$X$47,X$43,$C$54:$D80)</f>
        <v>1.0224212274762697E-2</v>
      </c>
      <c r="Y80" s="143"/>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row>
    <row r="81" spans="1:80">
      <c r="B81" s="34" t="s">
        <v>1316</v>
      </c>
      <c r="C81" s="548" t="s">
        <v>1317</v>
      </c>
      <c r="D81" s="548" t="s">
        <v>1318</v>
      </c>
      <c r="E81" s="143">
        <f ca="1">DSUM($B$43:$X$47,E$43,$C$54:$D81)</f>
        <v>1.385238998679817E-3</v>
      </c>
      <c r="F81" s="143">
        <f ca="1">DSUM($B$43:$X$47,F$43,$C$54:$D81)</f>
        <v>2.70762724643562E-3</v>
      </c>
      <c r="G81" s="143">
        <f ca="1">DSUM($B$43:$X$47,G$43,$C$54:$D81)</f>
        <v>3.9666169376665712E-3</v>
      </c>
      <c r="H81" s="143">
        <f ca="1">DSUM($B$43:$X$47,H$43,$C$54:$D81)</f>
        <v>5.1220743021644704E-3</v>
      </c>
      <c r="I81" s="143">
        <f ca="1">DSUM($B$43:$X$47,I$43,$C$54:$D81)</f>
        <v>6.1085060385108469E-3</v>
      </c>
      <c r="J81" s="143">
        <f ca="1">DSUM($B$43:$X$47,J$43,$C$54:$D81)</f>
        <v>6.9332576213094301E-3</v>
      </c>
      <c r="K81" s="143">
        <f ca="1">DSUM($B$43:$X$47,K$43,$C$54:$D81)</f>
        <v>7.6568505914818745E-3</v>
      </c>
      <c r="L81" s="143">
        <f ca="1">DSUM($B$43:$X$47,L$43,$C$54:$D81)</f>
        <v>8.4062284811445634E-3</v>
      </c>
      <c r="M81" s="143">
        <f ca="1">DSUM($B$43:$X$47,M$43,$C$54:$D81)</f>
        <v>9.0262558217789664E-3</v>
      </c>
      <c r="N81" s="143">
        <f ca="1">DSUM($B$43:$X$47,N$43,$C$54:$D81)</f>
        <v>9.6717595481601477E-3</v>
      </c>
      <c r="O81" s="143">
        <f ca="1">DSUM($B$43:$X$47,O$43,$C$54:$D81)</f>
        <v>1.0062476687235793E-2</v>
      </c>
      <c r="P81" s="143">
        <f ca="1">DSUM($B$43:$X$47,P$43,$C$54:$D81)</f>
        <v>1.0295961971115378E-2</v>
      </c>
      <c r="Q81" s="143">
        <f ca="1">DSUM($B$43:$X$47,Q$43,$C$54:$D81)</f>
        <v>1.0418015601614214E-2</v>
      </c>
      <c r="R81" s="143">
        <f ca="1">DSUM($B$43:$X$47,R$43,$C$54:$D81)</f>
        <v>1.054429525432906E-2</v>
      </c>
      <c r="S81" s="143">
        <f ca="1">DSUM($B$43:$X$47,S$43,$C$54:$D81)</f>
        <v>1.0665473124211381E-2</v>
      </c>
      <c r="T81" s="143">
        <f ca="1">DSUM($B$43:$X$47,T$43,$C$54:$D81)</f>
        <v>1.0635144478141028E-2</v>
      </c>
      <c r="U81" s="143">
        <f ca="1">DSUM($B$43:$X$47,U$43,$C$54:$D81)</f>
        <v>1.0398692368144211E-2</v>
      </c>
      <c r="V81" s="143">
        <f ca="1">DSUM($B$43:$X$47,V$43,$C$54:$D81)</f>
        <v>1.0305757386167276E-2</v>
      </c>
      <c r="W81" s="143">
        <f ca="1">DSUM($B$43:$X$47,W$43,$C$54:$D81)</f>
        <v>1.0219833714112975E-2</v>
      </c>
      <c r="X81" s="143">
        <f ca="1">DSUM($B$43:$X$47,X$43,$C$54:$D81)</f>
        <v>1.0224212274762697E-2</v>
      </c>
      <c r="Y81" s="143"/>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row>
    <row r="82" spans="1:80">
      <c r="B82" s="34" t="s">
        <v>1319</v>
      </c>
      <c r="C82" s="548" t="s">
        <v>1320</v>
      </c>
      <c r="D82" s="548" t="s">
        <v>1321</v>
      </c>
      <c r="E82" s="143">
        <f ca="1">DSUM($B$43:$X$47,E$43,$C$54:$D82)</f>
        <v>1.385238998679817E-3</v>
      </c>
      <c r="F82" s="143">
        <f ca="1">DSUM($B$43:$X$47,F$43,$C$54:$D82)</f>
        <v>2.70762724643562E-3</v>
      </c>
      <c r="G82" s="143">
        <f ca="1">DSUM($B$43:$X$47,G$43,$C$54:$D82)</f>
        <v>3.9666169376665712E-3</v>
      </c>
      <c r="H82" s="143">
        <f ca="1">DSUM($B$43:$X$47,H$43,$C$54:$D82)</f>
        <v>5.1220743021644704E-3</v>
      </c>
      <c r="I82" s="143">
        <f ca="1">DSUM($B$43:$X$47,I$43,$C$54:$D82)</f>
        <v>6.1085060385108469E-3</v>
      </c>
      <c r="J82" s="143">
        <f ca="1">DSUM($B$43:$X$47,J$43,$C$54:$D82)</f>
        <v>6.9332576213094301E-3</v>
      </c>
      <c r="K82" s="143">
        <f ca="1">DSUM($B$43:$X$47,K$43,$C$54:$D82)</f>
        <v>7.6568505914818745E-3</v>
      </c>
      <c r="L82" s="143">
        <f ca="1">DSUM($B$43:$X$47,L$43,$C$54:$D82)</f>
        <v>8.4062284811445634E-3</v>
      </c>
      <c r="M82" s="143">
        <f ca="1">DSUM($B$43:$X$47,M$43,$C$54:$D82)</f>
        <v>9.0262558217789664E-3</v>
      </c>
      <c r="N82" s="143">
        <f ca="1">DSUM($B$43:$X$47,N$43,$C$54:$D82)</f>
        <v>9.6717595481601477E-3</v>
      </c>
      <c r="O82" s="143">
        <f ca="1">DSUM($B$43:$X$47,O$43,$C$54:$D82)</f>
        <v>1.0062476687235793E-2</v>
      </c>
      <c r="P82" s="143">
        <f ca="1">DSUM($B$43:$X$47,P$43,$C$54:$D82)</f>
        <v>1.0295961971115378E-2</v>
      </c>
      <c r="Q82" s="143">
        <f ca="1">DSUM($B$43:$X$47,Q$43,$C$54:$D82)</f>
        <v>1.0418015601614214E-2</v>
      </c>
      <c r="R82" s="143">
        <f ca="1">DSUM($B$43:$X$47,R$43,$C$54:$D82)</f>
        <v>1.054429525432906E-2</v>
      </c>
      <c r="S82" s="143">
        <f ca="1">DSUM($B$43:$X$47,S$43,$C$54:$D82)</f>
        <v>1.0665473124211381E-2</v>
      </c>
      <c r="T82" s="143">
        <f ca="1">DSUM($B$43:$X$47,T$43,$C$54:$D82)</f>
        <v>1.0635144478141028E-2</v>
      </c>
      <c r="U82" s="143">
        <f ca="1">DSUM($B$43:$X$47,U$43,$C$54:$D82)</f>
        <v>1.0398692368144211E-2</v>
      </c>
      <c r="V82" s="143">
        <f ca="1">DSUM($B$43:$X$47,V$43,$C$54:$D82)</f>
        <v>1.0305757386167276E-2</v>
      </c>
      <c r="W82" s="143">
        <f ca="1">DSUM($B$43:$X$47,W$43,$C$54:$D82)</f>
        <v>1.0219833714112975E-2</v>
      </c>
      <c r="X82" s="143">
        <f ca="1">DSUM($B$43:$X$47,X$43,$C$54:$D82)</f>
        <v>1.0224212274762697E-2</v>
      </c>
      <c r="Y82" s="143"/>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row>
    <row r="83" spans="1:80">
      <c r="B83" s="34" t="s">
        <v>1322</v>
      </c>
      <c r="C83" s="548" t="s">
        <v>1323</v>
      </c>
      <c r="D83" s="548" t="s">
        <v>1324</v>
      </c>
      <c r="E83" s="143">
        <f ca="1">DSUM($B$43:$X$47,E$43,$C$54:$D83)</f>
        <v>1.385238998679817E-3</v>
      </c>
      <c r="F83" s="143">
        <f ca="1">DSUM($B$43:$X$47,F$43,$C$54:$D83)</f>
        <v>2.70762724643562E-3</v>
      </c>
      <c r="G83" s="143">
        <f ca="1">DSUM($B$43:$X$47,G$43,$C$54:$D83)</f>
        <v>3.9666169376665712E-3</v>
      </c>
      <c r="H83" s="143">
        <f ca="1">DSUM($B$43:$X$47,H$43,$C$54:$D83)</f>
        <v>5.1220743021644704E-3</v>
      </c>
      <c r="I83" s="143">
        <f ca="1">DSUM($B$43:$X$47,I$43,$C$54:$D83)</f>
        <v>6.1085060385108469E-3</v>
      </c>
      <c r="J83" s="143">
        <f ca="1">DSUM($B$43:$X$47,J$43,$C$54:$D83)</f>
        <v>6.9332576213094301E-3</v>
      </c>
      <c r="K83" s="143">
        <f ca="1">DSUM($B$43:$X$47,K$43,$C$54:$D83)</f>
        <v>7.6568505914818745E-3</v>
      </c>
      <c r="L83" s="143">
        <f ca="1">DSUM($B$43:$X$47,L$43,$C$54:$D83)</f>
        <v>8.4062284811445634E-3</v>
      </c>
      <c r="M83" s="143">
        <f ca="1">DSUM($B$43:$X$47,M$43,$C$54:$D83)</f>
        <v>9.0262558217789664E-3</v>
      </c>
      <c r="N83" s="143">
        <f ca="1">DSUM($B$43:$X$47,N$43,$C$54:$D83)</f>
        <v>9.6717595481601477E-3</v>
      </c>
      <c r="O83" s="143">
        <f ca="1">DSUM($B$43:$X$47,O$43,$C$54:$D83)</f>
        <v>1.0062476687235793E-2</v>
      </c>
      <c r="P83" s="143">
        <f ca="1">DSUM($B$43:$X$47,P$43,$C$54:$D83)</f>
        <v>1.0295961971115378E-2</v>
      </c>
      <c r="Q83" s="143">
        <f ca="1">DSUM($B$43:$X$47,Q$43,$C$54:$D83)</f>
        <v>1.0418015601614214E-2</v>
      </c>
      <c r="R83" s="143">
        <f ca="1">DSUM($B$43:$X$47,R$43,$C$54:$D83)</f>
        <v>1.054429525432906E-2</v>
      </c>
      <c r="S83" s="143">
        <f ca="1">DSUM($B$43:$X$47,S$43,$C$54:$D83)</f>
        <v>1.0665473124211381E-2</v>
      </c>
      <c r="T83" s="143">
        <f ca="1">DSUM($B$43:$X$47,T$43,$C$54:$D83)</f>
        <v>1.0635144478141028E-2</v>
      </c>
      <c r="U83" s="143">
        <f ca="1">DSUM($B$43:$X$47,U$43,$C$54:$D83)</f>
        <v>1.0398692368144211E-2</v>
      </c>
      <c r="V83" s="143">
        <f ca="1">DSUM($B$43:$X$47,V$43,$C$54:$D83)</f>
        <v>1.0305757386167276E-2</v>
      </c>
      <c r="W83" s="143">
        <f ca="1">DSUM($B$43:$X$47,W$43,$C$54:$D83)</f>
        <v>1.0219833714112975E-2</v>
      </c>
      <c r="X83" s="143">
        <f ca="1">DSUM($B$43:$X$47,X$43,$C$54:$D83)</f>
        <v>1.0224212274762697E-2</v>
      </c>
      <c r="Y83" s="14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row>
    <row r="84" spans="1:80">
      <c r="B84" s="34" t="s">
        <v>1325</v>
      </c>
      <c r="C84" s="548" t="s">
        <v>1326</v>
      </c>
      <c r="D84" s="548" t="s">
        <v>1327</v>
      </c>
      <c r="E84" s="143">
        <f ca="1">DSUM($B$43:$X$47,E$43,$C$54:$D84)</f>
        <v>1.385238998679817E-3</v>
      </c>
      <c r="F84" s="143">
        <f ca="1">DSUM($B$43:$X$47,F$43,$C$54:$D84)</f>
        <v>2.70762724643562E-3</v>
      </c>
      <c r="G84" s="143">
        <f ca="1">DSUM($B$43:$X$47,G$43,$C$54:$D84)</f>
        <v>3.9666169376665712E-3</v>
      </c>
      <c r="H84" s="143">
        <f ca="1">DSUM($B$43:$X$47,H$43,$C$54:$D84)</f>
        <v>5.1220743021644704E-3</v>
      </c>
      <c r="I84" s="143">
        <f ca="1">DSUM($B$43:$X$47,I$43,$C$54:$D84)</f>
        <v>6.1085060385108469E-3</v>
      </c>
      <c r="J84" s="143">
        <f ca="1">DSUM($B$43:$X$47,J$43,$C$54:$D84)</f>
        <v>6.9332576213094301E-3</v>
      </c>
      <c r="K84" s="143">
        <f ca="1">DSUM($B$43:$X$47,K$43,$C$54:$D84)</f>
        <v>7.6568505914818745E-3</v>
      </c>
      <c r="L84" s="143">
        <f ca="1">DSUM($B$43:$X$47,L$43,$C$54:$D84)</f>
        <v>8.4062284811445634E-3</v>
      </c>
      <c r="M84" s="143">
        <f ca="1">DSUM($B$43:$X$47,M$43,$C$54:$D84)</f>
        <v>9.0262558217789664E-3</v>
      </c>
      <c r="N84" s="143">
        <f ca="1">DSUM($B$43:$X$47,N$43,$C$54:$D84)</f>
        <v>9.6717595481601477E-3</v>
      </c>
      <c r="O84" s="143">
        <f ca="1">DSUM($B$43:$X$47,O$43,$C$54:$D84)</f>
        <v>1.0062476687235793E-2</v>
      </c>
      <c r="P84" s="143">
        <f ca="1">DSUM($B$43:$X$47,P$43,$C$54:$D84)</f>
        <v>1.0295961971115378E-2</v>
      </c>
      <c r="Q84" s="143">
        <f ca="1">DSUM($B$43:$X$47,Q$43,$C$54:$D84)</f>
        <v>1.0418015601614214E-2</v>
      </c>
      <c r="R84" s="143">
        <f ca="1">DSUM($B$43:$X$47,R$43,$C$54:$D84)</f>
        <v>1.054429525432906E-2</v>
      </c>
      <c r="S84" s="143">
        <f ca="1">DSUM($B$43:$X$47,S$43,$C$54:$D84)</f>
        <v>1.0665473124211381E-2</v>
      </c>
      <c r="T84" s="143">
        <f ca="1">DSUM($B$43:$X$47,T$43,$C$54:$D84)</f>
        <v>1.0635144478141028E-2</v>
      </c>
      <c r="U84" s="143">
        <f ca="1">DSUM($B$43:$X$47,U$43,$C$54:$D84)</f>
        <v>1.0398692368144211E-2</v>
      </c>
      <c r="V84" s="143">
        <f ca="1">DSUM($B$43:$X$47,V$43,$C$54:$D84)</f>
        <v>1.0305757386167276E-2</v>
      </c>
      <c r="W84" s="143">
        <f ca="1">DSUM($B$43:$X$47,W$43,$C$54:$D84)</f>
        <v>1.0219833714112975E-2</v>
      </c>
      <c r="X84" s="143">
        <f ca="1">DSUM($B$43:$X$47,X$43,$C$54:$D84)</f>
        <v>1.0224212274762697E-2</v>
      </c>
      <c r="Y84" s="143"/>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row>
    <row r="85" spans="1:80">
      <c r="B85" s="34" t="s">
        <v>1328</v>
      </c>
      <c r="C85" s="548" t="s">
        <v>1329</v>
      </c>
      <c r="D85" s="548" t="s">
        <v>1330</v>
      </c>
      <c r="E85" s="143">
        <f ca="1">DSUM($B$43:$X$47,E$43,$C$54:$D85)</f>
        <v>1.385238998679817E-3</v>
      </c>
      <c r="F85" s="143">
        <f ca="1">DSUM($B$43:$X$47,F$43,$C$54:$D85)</f>
        <v>2.70762724643562E-3</v>
      </c>
      <c r="G85" s="143">
        <f ca="1">DSUM($B$43:$X$47,G$43,$C$54:$D85)</f>
        <v>3.9666169376665712E-3</v>
      </c>
      <c r="H85" s="143">
        <f ca="1">DSUM($B$43:$X$47,H$43,$C$54:$D85)</f>
        <v>5.1220743021644704E-3</v>
      </c>
      <c r="I85" s="143">
        <f ca="1">DSUM($B$43:$X$47,I$43,$C$54:$D85)</f>
        <v>6.1085060385108469E-3</v>
      </c>
      <c r="J85" s="143">
        <f ca="1">DSUM($B$43:$X$47,J$43,$C$54:$D85)</f>
        <v>6.9332576213094301E-3</v>
      </c>
      <c r="K85" s="143">
        <f ca="1">DSUM($B$43:$X$47,K$43,$C$54:$D85)</f>
        <v>7.6568505914818745E-3</v>
      </c>
      <c r="L85" s="143">
        <f ca="1">DSUM($B$43:$X$47,L$43,$C$54:$D85)</f>
        <v>8.4062284811445634E-3</v>
      </c>
      <c r="M85" s="143">
        <f ca="1">DSUM($B$43:$X$47,M$43,$C$54:$D85)</f>
        <v>9.0262558217789664E-3</v>
      </c>
      <c r="N85" s="143">
        <f ca="1">DSUM($B$43:$X$47,N$43,$C$54:$D85)</f>
        <v>9.6717595481601477E-3</v>
      </c>
      <c r="O85" s="143">
        <f ca="1">DSUM($B$43:$X$47,O$43,$C$54:$D85)</f>
        <v>1.0062476687235793E-2</v>
      </c>
      <c r="P85" s="143">
        <f ca="1">DSUM($B$43:$X$47,P$43,$C$54:$D85)</f>
        <v>1.0295961971115378E-2</v>
      </c>
      <c r="Q85" s="143">
        <f ca="1">DSUM($B$43:$X$47,Q$43,$C$54:$D85)</f>
        <v>1.0418015601614214E-2</v>
      </c>
      <c r="R85" s="143">
        <f ca="1">DSUM($B$43:$X$47,R$43,$C$54:$D85)</f>
        <v>1.054429525432906E-2</v>
      </c>
      <c r="S85" s="143">
        <f ca="1">DSUM($B$43:$X$47,S$43,$C$54:$D85)</f>
        <v>1.0665473124211381E-2</v>
      </c>
      <c r="T85" s="143">
        <f ca="1">DSUM($B$43:$X$47,T$43,$C$54:$D85)</f>
        <v>1.0635144478141028E-2</v>
      </c>
      <c r="U85" s="143">
        <f ca="1">DSUM($B$43:$X$47,U$43,$C$54:$D85)</f>
        <v>1.0398692368144211E-2</v>
      </c>
      <c r="V85" s="143">
        <f ca="1">DSUM($B$43:$X$47,V$43,$C$54:$D85)</f>
        <v>1.0305757386167276E-2</v>
      </c>
      <c r="W85" s="143">
        <f ca="1">DSUM($B$43:$X$47,W$43,$C$54:$D85)</f>
        <v>1.0219833714112975E-2</v>
      </c>
      <c r="X85" s="143">
        <f ca="1">DSUM($B$43:$X$47,X$43,$C$54:$D85)</f>
        <v>1.0224212274762697E-2</v>
      </c>
      <c r="Y85" s="143"/>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row>
    <row r="86" spans="1:80">
      <c r="B86" s="34" t="s">
        <v>1331</v>
      </c>
      <c r="C86" s="548" t="s">
        <v>1332</v>
      </c>
      <c r="D86" s="548" t="s">
        <v>1057</v>
      </c>
      <c r="E86" s="143">
        <f ca="1">DSUM($B$43:$X$47,E$43,$C$54:$D86)</f>
        <v>1.385238998679817E-3</v>
      </c>
      <c r="F86" s="143">
        <f ca="1">DSUM($B$43:$X$47,F$43,$C$54:$D86)</f>
        <v>2.70762724643562E-3</v>
      </c>
      <c r="G86" s="143">
        <f ca="1">DSUM($B$43:$X$47,G$43,$C$54:$D86)</f>
        <v>3.9666169376665712E-3</v>
      </c>
      <c r="H86" s="143">
        <f ca="1">DSUM($B$43:$X$47,H$43,$C$54:$D86)</f>
        <v>5.1220743021644704E-3</v>
      </c>
      <c r="I86" s="143">
        <f ca="1">DSUM($B$43:$X$47,I$43,$C$54:$D86)</f>
        <v>6.1085060385108469E-3</v>
      </c>
      <c r="J86" s="143">
        <f ca="1">DSUM($B$43:$X$47,J$43,$C$54:$D86)</f>
        <v>6.9332576213094301E-3</v>
      </c>
      <c r="K86" s="143">
        <f ca="1">DSUM($B$43:$X$47,K$43,$C$54:$D86)</f>
        <v>7.6568505914818745E-3</v>
      </c>
      <c r="L86" s="143">
        <f ca="1">DSUM($B$43:$X$47,L$43,$C$54:$D86)</f>
        <v>8.4062284811445634E-3</v>
      </c>
      <c r="M86" s="143">
        <f ca="1">DSUM($B$43:$X$47,M$43,$C$54:$D86)</f>
        <v>9.0262558217789664E-3</v>
      </c>
      <c r="N86" s="143">
        <f ca="1">DSUM($B$43:$X$47,N$43,$C$54:$D86)</f>
        <v>9.6717595481601477E-3</v>
      </c>
      <c r="O86" s="143">
        <f ca="1">DSUM($B$43:$X$47,O$43,$C$54:$D86)</f>
        <v>1.0062476687235793E-2</v>
      </c>
      <c r="P86" s="143">
        <f ca="1">DSUM($B$43:$X$47,P$43,$C$54:$D86)</f>
        <v>1.0295961971115378E-2</v>
      </c>
      <c r="Q86" s="143">
        <f ca="1">DSUM($B$43:$X$47,Q$43,$C$54:$D86)</f>
        <v>1.0418015601614214E-2</v>
      </c>
      <c r="R86" s="143">
        <f ca="1">DSUM($B$43:$X$47,R$43,$C$54:$D86)</f>
        <v>1.054429525432906E-2</v>
      </c>
      <c r="S86" s="143">
        <f ca="1">DSUM($B$43:$X$47,S$43,$C$54:$D86)</f>
        <v>1.0665473124211381E-2</v>
      </c>
      <c r="T86" s="143">
        <f ca="1">DSUM($B$43:$X$47,T$43,$C$54:$D86)</f>
        <v>1.0635144478141028E-2</v>
      </c>
      <c r="U86" s="143">
        <f ca="1">DSUM($B$43:$X$47,U$43,$C$54:$D86)</f>
        <v>1.0398692368144211E-2</v>
      </c>
      <c r="V86" s="143">
        <f ca="1">DSUM($B$43:$X$47,V$43,$C$54:$D86)</f>
        <v>1.0305757386167276E-2</v>
      </c>
      <c r="W86" s="143">
        <f ca="1">DSUM($B$43:$X$47,W$43,$C$54:$D86)</f>
        <v>1.0219833714112975E-2</v>
      </c>
      <c r="X86" s="143">
        <f ca="1">DSUM($B$43:$X$47,X$43,$C$54:$D86)</f>
        <v>1.0224212274762697E-2</v>
      </c>
      <c r="Y86" s="143"/>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row>
    <row r="87" spans="1:80" customFormat="1">
      <c r="A87" s="34"/>
      <c r="B87" s="34"/>
    </row>
    <row r="88" spans="1:80" customFormat="1">
      <c r="A88" s="34"/>
      <c r="B88" s="34"/>
    </row>
    <row r="89" spans="1:80" ht="15">
      <c r="A89" s="538" t="s">
        <v>1058</v>
      </c>
      <c r="B89" s="538"/>
      <c r="E89" s="143"/>
      <c r="F89" s="143"/>
      <c r="G89" s="143"/>
      <c r="H89" s="143"/>
      <c r="I89" s="143"/>
      <c r="J89" s="143"/>
      <c r="K89" s="143"/>
      <c r="L89" s="143"/>
      <c r="M89" s="143"/>
      <c r="N89" s="143"/>
      <c r="O89" s="143"/>
      <c r="P89" s="143"/>
      <c r="Q89" s="143"/>
      <c r="R89" s="143"/>
      <c r="S89" s="143"/>
      <c r="T89" s="143"/>
      <c r="U89" s="143"/>
      <c r="V89" s="143"/>
      <c r="W89" s="143"/>
      <c r="X89" s="143"/>
      <c r="Y89" s="143"/>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1:80" ht="15">
      <c r="C90" s="536" t="s">
        <v>1059</v>
      </c>
      <c r="E90" s="549">
        <f t="shared" ref="E90:X90" si="26">E11</f>
        <v>2016</v>
      </c>
      <c r="F90" s="542">
        <f t="shared" si="26"/>
        <v>2017</v>
      </c>
      <c r="G90" s="542">
        <f t="shared" si="26"/>
        <v>2018</v>
      </c>
      <c r="H90" s="542">
        <f t="shared" si="26"/>
        <v>2019</v>
      </c>
      <c r="I90" s="542">
        <f t="shared" si="26"/>
        <v>2020</v>
      </c>
      <c r="J90" s="542">
        <f t="shared" si="26"/>
        <v>2021</v>
      </c>
      <c r="K90" s="542">
        <f t="shared" si="26"/>
        <v>2022</v>
      </c>
      <c r="L90" s="542">
        <f t="shared" si="26"/>
        <v>2023</v>
      </c>
      <c r="M90" s="542">
        <f t="shared" si="26"/>
        <v>2024</v>
      </c>
      <c r="N90" s="542">
        <f t="shared" si="26"/>
        <v>2025</v>
      </c>
      <c r="O90" s="542">
        <f t="shared" si="26"/>
        <v>2026</v>
      </c>
      <c r="P90" s="542">
        <f t="shared" si="26"/>
        <v>2027</v>
      </c>
      <c r="Q90" s="542">
        <f t="shared" si="26"/>
        <v>2028</v>
      </c>
      <c r="R90" s="542">
        <f t="shared" si="26"/>
        <v>2029</v>
      </c>
      <c r="S90" s="542">
        <f t="shared" si="26"/>
        <v>2030</v>
      </c>
      <c r="T90" s="542">
        <f t="shared" si="26"/>
        <v>2031</v>
      </c>
      <c r="U90" s="542">
        <f t="shared" si="26"/>
        <v>2032</v>
      </c>
      <c r="V90" s="542">
        <f t="shared" si="26"/>
        <v>2033</v>
      </c>
      <c r="W90" s="542">
        <f t="shared" si="26"/>
        <v>2034</v>
      </c>
      <c r="X90" s="542">
        <f t="shared" si="26"/>
        <v>2035</v>
      </c>
      <c r="Y90" s="543" t="s">
        <v>1073</v>
      </c>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row>
    <row r="91" spans="1:80" ht="15">
      <c r="C91" s="536" t="str">
        <f>C8</f>
        <v>Dishwasher</v>
      </c>
      <c r="E91" s="550" t="str">
        <f>CONCATENATE("aMW_",E$11)</f>
        <v>aMW_2016</v>
      </c>
      <c r="F91" s="544" t="str">
        <f t="shared" ref="F91:X91" si="27">CONCATENATE("aMW_",F$11)</f>
        <v>aMW_2017</v>
      </c>
      <c r="G91" s="544" t="str">
        <f t="shared" si="27"/>
        <v>aMW_2018</v>
      </c>
      <c r="H91" s="544" t="str">
        <f t="shared" si="27"/>
        <v>aMW_2019</v>
      </c>
      <c r="I91" s="544" t="str">
        <f t="shared" si="27"/>
        <v>aMW_2020</v>
      </c>
      <c r="J91" s="544" t="str">
        <f t="shared" si="27"/>
        <v>aMW_2021</v>
      </c>
      <c r="K91" s="544" t="str">
        <f t="shared" si="27"/>
        <v>aMW_2022</v>
      </c>
      <c r="L91" s="544" t="str">
        <f t="shared" si="27"/>
        <v>aMW_2023</v>
      </c>
      <c r="M91" s="544" t="str">
        <f t="shared" si="27"/>
        <v>aMW_2024</v>
      </c>
      <c r="N91" s="544" t="str">
        <f t="shared" si="27"/>
        <v>aMW_2025</v>
      </c>
      <c r="O91" s="544" t="str">
        <f t="shared" si="27"/>
        <v>aMW_2026</v>
      </c>
      <c r="P91" s="544" t="str">
        <f t="shared" si="27"/>
        <v>aMW_2027</v>
      </c>
      <c r="Q91" s="544" t="str">
        <f t="shared" si="27"/>
        <v>aMW_2028</v>
      </c>
      <c r="R91" s="544" t="str">
        <f t="shared" si="27"/>
        <v>aMW_2029</v>
      </c>
      <c r="S91" s="544" t="str">
        <f t="shared" si="27"/>
        <v>aMW_2030</v>
      </c>
      <c r="T91" s="544" t="str">
        <f t="shared" si="27"/>
        <v>aMW_2031</v>
      </c>
      <c r="U91" s="544" t="str">
        <f t="shared" si="27"/>
        <v>aMW_2032</v>
      </c>
      <c r="V91" s="544" t="str">
        <f t="shared" si="27"/>
        <v>aMW_2033</v>
      </c>
      <c r="W91" s="544" t="str">
        <f t="shared" si="27"/>
        <v>aMW_2034</v>
      </c>
      <c r="X91" s="544" t="str">
        <f t="shared" si="27"/>
        <v>aMW_2035</v>
      </c>
      <c r="Y91" s="545" t="s">
        <v>1073</v>
      </c>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row>
    <row r="92" spans="1:80">
      <c r="C92" s="34" t="s">
        <v>992</v>
      </c>
      <c r="E92" s="143">
        <f t="shared" ref="E92:X92" si="28">E55</f>
        <v>0</v>
      </c>
      <c r="F92" s="143">
        <f t="shared" si="28"/>
        <v>0</v>
      </c>
      <c r="G92" s="143">
        <f t="shared" si="28"/>
        <v>0</v>
      </c>
      <c r="H92" s="143">
        <f t="shared" si="28"/>
        <v>0</v>
      </c>
      <c r="I92" s="143">
        <f t="shared" si="28"/>
        <v>0</v>
      </c>
      <c r="J92" s="143">
        <f t="shared" si="28"/>
        <v>0</v>
      </c>
      <c r="K92" s="143">
        <f t="shared" si="28"/>
        <v>0</v>
      </c>
      <c r="L92" s="143">
        <f t="shared" si="28"/>
        <v>0</v>
      </c>
      <c r="M92" s="143">
        <f t="shared" si="28"/>
        <v>0</v>
      </c>
      <c r="N92" s="143">
        <f t="shared" si="28"/>
        <v>0</v>
      </c>
      <c r="O92" s="143">
        <f t="shared" si="28"/>
        <v>0</v>
      </c>
      <c r="P92" s="143">
        <f t="shared" si="28"/>
        <v>0</v>
      </c>
      <c r="Q92" s="143">
        <f t="shared" si="28"/>
        <v>0</v>
      </c>
      <c r="R92" s="143">
        <f t="shared" si="28"/>
        <v>0</v>
      </c>
      <c r="S92" s="143">
        <f t="shared" si="28"/>
        <v>0</v>
      </c>
      <c r="T92" s="143">
        <f t="shared" si="28"/>
        <v>0</v>
      </c>
      <c r="U92" s="143">
        <f t="shared" si="28"/>
        <v>0</v>
      </c>
      <c r="V92" s="143">
        <f t="shared" si="28"/>
        <v>0</v>
      </c>
      <c r="W92" s="143">
        <f t="shared" si="28"/>
        <v>0</v>
      </c>
      <c r="X92" s="143">
        <f t="shared" si="28"/>
        <v>0</v>
      </c>
      <c r="Y92" s="143">
        <f>SUM(E92:X92)</f>
        <v>0</v>
      </c>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row>
    <row r="93" spans="1:80">
      <c r="C93" s="34" t="s">
        <v>1339</v>
      </c>
      <c r="E93" s="137">
        <f t="shared" ref="E93:X105" si="29">E56-E55</f>
        <v>0</v>
      </c>
      <c r="F93" s="137">
        <f t="shared" si="29"/>
        <v>0</v>
      </c>
      <c r="G93" s="137">
        <f t="shared" si="29"/>
        <v>0</v>
      </c>
      <c r="H93" s="137">
        <f t="shared" si="29"/>
        <v>0</v>
      </c>
      <c r="I93" s="137">
        <f t="shared" si="29"/>
        <v>0</v>
      </c>
      <c r="J93" s="137">
        <f t="shared" si="29"/>
        <v>0</v>
      </c>
      <c r="K93" s="137">
        <f t="shared" si="29"/>
        <v>0</v>
      </c>
      <c r="L93" s="137">
        <f t="shared" si="29"/>
        <v>0</v>
      </c>
      <c r="M93" s="137">
        <f t="shared" si="29"/>
        <v>0</v>
      </c>
      <c r="N93" s="137">
        <f t="shared" si="29"/>
        <v>0</v>
      </c>
      <c r="O93" s="137">
        <f t="shared" si="29"/>
        <v>0</v>
      </c>
      <c r="P93" s="137">
        <f t="shared" si="29"/>
        <v>0</v>
      </c>
      <c r="Q93" s="137">
        <f t="shared" si="29"/>
        <v>0</v>
      </c>
      <c r="R93" s="137">
        <f t="shared" si="29"/>
        <v>0</v>
      </c>
      <c r="S93" s="137">
        <f t="shared" si="29"/>
        <v>0</v>
      </c>
      <c r="T93" s="137">
        <f t="shared" si="29"/>
        <v>0</v>
      </c>
      <c r="U93" s="137">
        <f t="shared" si="29"/>
        <v>0</v>
      </c>
      <c r="V93" s="137">
        <f t="shared" si="29"/>
        <v>0</v>
      </c>
      <c r="W93" s="137">
        <f t="shared" si="29"/>
        <v>0</v>
      </c>
      <c r="X93" s="137">
        <f t="shared" si="29"/>
        <v>0</v>
      </c>
      <c r="Y93" s="143">
        <f t="shared" ref="Y93:Y123" si="30">SUM(E93:X93)</f>
        <v>0</v>
      </c>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row>
    <row r="94" spans="1:80">
      <c r="C94" s="34" t="s">
        <v>998</v>
      </c>
      <c r="E94" s="137">
        <f t="shared" si="29"/>
        <v>0</v>
      </c>
      <c r="F94" s="137">
        <f t="shared" si="29"/>
        <v>0</v>
      </c>
      <c r="G94" s="137">
        <f t="shared" si="29"/>
        <v>0</v>
      </c>
      <c r="H94" s="137">
        <f t="shared" si="29"/>
        <v>0</v>
      </c>
      <c r="I94" s="137">
        <f t="shared" si="29"/>
        <v>0</v>
      </c>
      <c r="J94" s="137">
        <f t="shared" si="29"/>
        <v>0</v>
      </c>
      <c r="K94" s="137">
        <f t="shared" si="29"/>
        <v>0</v>
      </c>
      <c r="L94" s="137">
        <f t="shared" si="29"/>
        <v>0</v>
      </c>
      <c r="M94" s="137">
        <f t="shared" si="29"/>
        <v>0</v>
      </c>
      <c r="N94" s="137">
        <f t="shared" si="29"/>
        <v>0</v>
      </c>
      <c r="O94" s="137">
        <f t="shared" si="29"/>
        <v>0</v>
      </c>
      <c r="P94" s="137">
        <f t="shared" si="29"/>
        <v>0</v>
      </c>
      <c r="Q94" s="137">
        <f t="shared" si="29"/>
        <v>0</v>
      </c>
      <c r="R94" s="137">
        <f t="shared" si="29"/>
        <v>0</v>
      </c>
      <c r="S94" s="137">
        <f t="shared" si="29"/>
        <v>0</v>
      </c>
      <c r="T94" s="137">
        <f t="shared" si="29"/>
        <v>0</v>
      </c>
      <c r="U94" s="137">
        <f t="shared" si="29"/>
        <v>0</v>
      </c>
      <c r="V94" s="137">
        <f t="shared" si="29"/>
        <v>0</v>
      </c>
      <c r="W94" s="137">
        <f t="shared" si="29"/>
        <v>0</v>
      </c>
      <c r="X94" s="137">
        <f t="shared" si="29"/>
        <v>0</v>
      </c>
      <c r="Y94" s="143">
        <f t="shared" si="30"/>
        <v>0</v>
      </c>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row>
    <row r="95" spans="1:80">
      <c r="C95" s="34" t="s">
        <v>1001</v>
      </c>
      <c r="E95" s="137">
        <f t="shared" si="29"/>
        <v>0</v>
      </c>
      <c r="F95" s="137">
        <f t="shared" si="29"/>
        <v>0</v>
      </c>
      <c r="G95" s="137">
        <f t="shared" si="29"/>
        <v>0</v>
      </c>
      <c r="H95" s="137">
        <f t="shared" si="29"/>
        <v>0</v>
      </c>
      <c r="I95" s="137">
        <f t="shared" si="29"/>
        <v>0</v>
      </c>
      <c r="J95" s="137">
        <f t="shared" si="29"/>
        <v>0</v>
      </c>
      <c r="K95" s="137">
        <f t="shared" si="29"/>
        <v>0</v>
      </c>
      <c r="L95" s="137">
        <f t="shared" si="29"/>
        <v>0</v>
      </c>
      <c r="M95" s="137">
        <f t="shared" si="29"/>
        <v>0</v>
      </c>
      <c r="N95" s="137">
        <f t="shared" si="29"/>
        <v>0</v>
      </c>
      <c r="O95" s="137">
        <f t="shared" si="29"/>
        <v>0</v>
      </c>
      <c r="P95" s="137">
        <f t="shared" si="29"/>
        <v>0</v>
      </c>
      <c r="Q95" s="137">
        <f t="shared" si="29"/>
        <v>0</v>
      </c>
      <c r="R95" s="137">
        <f t="shared" si="29"/>
        <v>0</v>
      </c>
      <c r="S95" s="137">
        <f t="shared" si="29"/>
        <v>0</v>
      </c>
      <c r="T95" s="137">
        <f t="shared" si="29"/>
        <v>0</v>
      </c>
      <c r="U95" s="137">
        <f t="shared" si="29"/>
        <v>0</v>
      </c>
      <c r="V95" s="137">
        <f t="shared" si="29"/>
        <v>0</v>
      </c>
      <c r="W95" s="137">
        <f t="shared" si="29"/>
        <v>0</v>
      </c>
      <c r="X95" s="137">
        <f t="shared" si="29"/>
        <v>0</v>
      </c>
      <c r="Y95" s="143">
        <f t="shared" si="30"/>
        <v>0</v>
      </c>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row>
    <row r="96" spans="1:80">
      <c r="C96" s="34" t="s">
        <v>1004</v>
      </c>
      <c r="E96" s="137">
        <f t="shared" si="29"/>
        <v>0</v>
      </c>
      <c r="F96" s="137">
        <f t="shared" si="29"/>
        <v>0</v>
      </c>
      <c r="G96" s="137">
        <f t="shared" si="29"/>
        <v>0</v>
      </c>
      <c r="H96" s="137">
        <f t="shared" si="29"/>
        <v>0</v>
      </c>
      <c r="I96" s="137">
        <f t="shared" si="29"/>
        <v>0</v>
      </c>
      <c r="J96" s="137">
        <f t="shared" si="29"/>
        <v>0</v>
      </c>
      <c r="K96" s="137">
        <f t="shared" si="29"/>
        <v>0</v>
      </c>
      <c r="L96" s="137">
        <f t="shared" si="29"/>
        <v>0</v>
      </c>
      <c r="M96" s="137">
        <f t="shared" si="29"/>
        <v>0</v>
      </c>
      <c r="N96" s="137">
        <f t="shared" si="29"/>
        <v>0</v>
      </c>
      <c r="O96" s="137">
        <f t="shared" si="29"/>
        <v>0</v>
      </c>
      <c r="P96" s="137">
        <f t="shared" si="29"/>
        <v>0</v>
      </c>
      <c r="Q96" s="137">
        <f t="shared" si="29"/>
        <v>0</v>
      </c>
      <c r="R96" s="137">
        <f t="shared" si="29"/>
        <v>0</v>
      </c>
      <c r="S96" s="137">
        <f t="shared" si="29"/>
        <v>0</v>
      </c>
      <c r="T96" s="137">
        <f t="shared" si="29"/>
        <v>0</v>
      </c>
      <c r="U96" s="137">
        <f t="shared" si="29"/>
        <v>0</v>
      </c>
      <c r="V96" s="137">
        <f t="shared" si="29"/>
        <v>0</v>
      </c>
      <c r="W96" s="137">
        <f t="shared" si="29"/>
        <v>0</v>
      </c>
      <c r="X96" s="137">
        <f t="shared" si="29"/>
        <v>0</v>
      </c>
      <c r="Y96" s="143">
        <f t="shared" si="30"/>
        <v>0</v>
      </c>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row>
    <row r="97" spans="3:80">
      <c r="C97" s="34" t="s">
        <v>1007</v>
      </c>
      <c r="E97" s="137">
        <f t="shared" ca="1" si="29"/>
        <v>5.3757038208016639E-5</v>
      </c>
      <c r="F97" s="137">
        <f t="shared" ca="1" si="29"/>
        <v>1.082168663993353E-4</v>
      </c>
      <c r="G97" s="137">
        <f t="shared" ca="1" si="29"/>
        <v>1.6813390659778241E-4</v>
      </c>
      <c r="H97" s="137">
        <f t="shared" ca="1" si="29"/>
        <v>2.3246675090170585E-4</v>
      </c>
      <c r="I97" s="137">
        <f t="shared" ca="1" si="29"/>
        <v>2.8171436096353599E-4</v>
      </c>
      <c r="J97" s="137">
        <f t="shared" ca="1" si="29"/>
        <v>3.271758311757829E-4</v>
      </c>
      <c r="K97" s="137">
        <f t="shared" ca="1" si="29"/>
        <v>3.6831826131467619E-4</v>
      </c>
      <c r="L97" s="137">
        <f t="shared" ca="1" si="29"/>
        <v>4.0262022850371911E-4</v>
      </c>
      <c r="M97" s="137">
        <f t="shared" ca="1" si="29"/>
        <v>4.3075304566261521E-4</v>
      </c>
      <c r="N97" s="137">
        <f t="shared" ca="1" si="29"/>
        <v>4.5177667038118435E-4</v>
      </c>
      <c r="O97" s="137">
        <f t="shared" ca="1" si="29"/>
        <v>4.6584931841896297E-4</v>
      </c>
      <c r="P97" s="137">
        <f t="shared" ca="1" si="29"/>
        <v>4.78554368211909E-4</v>
      </c>
      <c r="Q97" s="137">
        <f t="shared" ca="1" si="29"/>
        <v>4.8980555421226544E-4</v>
      </c>
      <c r="R97" s="137">
        <f t="shared" ca="1" si="29"/>
        <v>4.988149023519592E-4</v>
      </c>
      <c r="S97" s="137">
        <f t="shared" ca="1" si="29"/>
        <v>5.057701730348511E-4</v>
      </c>
      <c r="T97" s="137">
        <f t="shared" ca="1" si="29"/>
        <v>5.109390265550743E-4</v>
      </c>
      <c r="U97" s="137">
        <f t="shared" ca="1" si="29"/>
        <v>5.1062841634039299E-4</v>
      </c>
      <c r="V97" s="137">
        <f t="shared" ca="1" si="29"/>
        <v>5.1069779950627125E-4</v>
      </c>
      <c r="W97" s="137">
        <f t="shared" ca="1" si="29"/>
        <v>5.1085741523602339E-4</v>
      </c>
      <c r="X97" s="137">
        <f t="shared" ca="1" si="29"/>
        <v>5.1091917704331336E-4</v>
      </c>
      <c r="Y97" s="143">
        <f t="shared" ca="1" si="30"/>
        <v>7.8177691110193764E-3</v>
      </c>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row>
    <row r="98" spans="3:80">
      <c r="C98" s="34" t="s">
        <v>1010</v>
      </c>
      <c r="E98" s="137">
        <f t="shared" ca="1" si="29"/>
        <v>7.5138275814710985E-4</v>
      </c>
      <c r="F98" s="137">
        <f t="shared" ca="1" si="29"/>
        <v>1.4896278111415607E-3</v>
      </c>
      <c r="G98" s="137">
        <f t="shared" ca="1" si="29"/>
        <v>2.220643077366774E-3</v>
      </c>
      <c r="H98" s="137">
        <f t="shared" ca="1" si="29"/>
        <v>2.8542574425422722E-3</v>
      </c>
      <c r="I98" s="137">
        <f t="shared" ca="1" si="29"/>
        <v>3.3509787113352313E-3</v>
      </c>
      <c r="J98" s="137">
        <f t="shared" ca="1" si="29"/>
        <v>3.8225083380920562E-3</v>
      </c>
      <c r="K98" s="137">
        <f t="shared" ca="1" si="29"/>
        <v>4.2522839790639462E-3</v>
      </c>
      <c r="L98" s="137">
        <f t="shared" ca="1" si="29"/>
        <v>4.7189712255430085E-3</v>
      </c>
      <c r="M98" s="137">
        <f t="shared" ca="1" si="29"/>
        <v>5.1365803118212485E-3</v>
      </c>
      <c r="N98" s="137">
        <f t="shared" ca="1" si="29"/>
        <v>5.5301028439636154E-3</v>
      </c>
      <c r="O98" s="137">
        <f t="shared" ca="1" si="29"/>
        <v>5.7444455989824825E-3</v>
      </c>
      <c r="P98" s="137">
        <f t="shared" ca="1" si="29"/>
        <v>5.9068579512760767E-3</v>
      </c>
      <c r="Q98" s="137">
        <f t="shared" ca="1" si="29"/>
        <v>6.0372837856943196E-3</v>
      </c>
      <c r="R98" s="137">
        <f t="shared" ca="1" si="29"/>
        <v>6.0832799328288303E-3</v>
      </c>
      <c r="S98" s="137">
        <f t="shared" ca="1" si="29"/>
        <v>6.0968468058430697E-3</v>
      </c>
      <c r="T98" s="137">
        <f t="shared" ca="1" si="29"/>
        <v>6.0353232229827143E-3</v>
      </c>
      <c r="U98" s="137">
        <f t="shared" ca="1" si="29"/>
        <v>5.9341602040925588E-3</v>
      </c>
      <c r="V98" s="137">
        <f t="shared" ca="1" si="29"/>
        <v>5.8478201176080267E-3</v>
      </c>
      <c r="W98" s="137">
        <f t="shared" ca="1" si="29"/>
        <v>5.7516776759063927E-3</v>
      </c>
      <c r="X98" s="137">
        <f t="shared" ca="1" si="29"/>
        <v>5.7291174218013106E-3</v>
      </c>
      <c r="Y98" s="143">
        <f t="shared" ca="1" si="30"/>
        <v>9.3294149216032601E-2</v>
      </c>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row>
    <row r="99" spans="3:80">
      <c r="C99" s="34" t="s">
        <v>1013</v>
      </c>
      <c r="E99" s="137">
        <f t="shared" ca="1" si="29"/>
        <v>0</v>
      </c>
      <c r="F99" s="137">
        <f t="shared" ca="1" si="29"/>
        <v>0</v>
      </c>
      <c r="G99" s="137">
        <f t="shared" ca="1" si="29"/>
        <v>0</v>
      </c>
      <c r="H99" s="137">
        <f t="shared" ca="1" si="29"/>
        <v>0</v>
      </c>
      <c r="I99" s="137">
        <f t="shared" ca="1" si="29"/>
        <v>0</v>
      </c>
      <c r="J99" s="137">
        <f t="shared" ca="1" si="29"/>
        <v>0</v>
      </c>
      <c r="K99" s="137">
        <f t="shared" ca="1" si="29"/>
        <v>0</v>
      </c>
      <c r="L99" s="137">
        <f t="shared" ca="1" si="29"/>
        <v>0</v>
      </c>
      <c r="M99" s="137">
        <f t="shared" ca="1" si="29"/>
        <v>0</v>
      </c>
      <c r="N99" s="137">
        <f t="shared" ca="1" si="29"/>
        <v>0</v>
      </c>
      <c r="O99" s="137">
        <f t="shared" ca="1" si="29"/>
        <v>0</v>
      </c>
      <c r="P99" s="137">
        <f t="shared" ca="1" si="29"/>
        <v>0</v>
      </c>
      <c r="Q99" s="137">
        <f t="shared" ca="1" si="29"/>
        <v>0</v>
      </c>
      <c r="R99" s="137">
        <f t="shared" ca="1" si="29"/>
        <v>0</v>
      </c>
      <c r="S99" s="137">
        <f t="shared" ca="1" si="29"/>
        <v>0</v>
      </c>
      <c r="T99" s="137">
        <f t="shared" ca="1" si="29"/>
        <v>0</v>
      </c>
      <c r="U99" s="137">
        <f t="shared" ca="1" si="29"/>
        <v>0</v>
      </c>
      <c r="V99" s="137">
        <f t="shared" ca="1" si="29"/>
        <v>0</v>
      </c>
      <c r="W99" s="137">
        <f t="shared" ca="1" si="29"/>
        <v>0</v>
      </c>
      <c r="X99" s="137">
        <f t="shared" ca="1" si="29"/>
        <v>0</v>
      </c>
      <c r="Y99" s="143">
        <f t="shared" ca="1" si="30"/>
        <v>0</v>
      </c>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row>
    <row r="100" spans="3:80">
      <c r="C100" s="34" t="s">
        <v>1016</v>
      </c>
      <c r="E100" s="137">
        <f t="shared" ca="1" si="29"/>
        <v>0</v>
      </c>
      <c r="F100" s="137">
        <f t="shared" ca="1" si="29"/>
        <v>0</v>
      </c>
      <c r="G100" s="137">
        <f t="shared" ca="1" si="29"/>
        <v>0</v>
      </c>
      <c r="H100" s="137">
        <f t="shared" ca="1" si="29"/>
        <v>0</v>
      </c>
      <c r="I100" s="137">
        <f t="shared" ca="1" si="29"/>
        <v>0</v>
      </c>
      <c r="J100" s="137">
        <f t="shared" ca="1" si="29"/>
        <v>0</v>
      </c>
      <c r="K100" s="137">
        <f t="shared" ca="1" si="29"/>
        <v>0</v>
      </c>
      <c r="L100" s="137">
        <f t="shared" ca="1" si="29"/>
        <v>0</v>
      </c>
      <c r="M100" s="137">
        <f t="shared" ca="1" si="29"/>
        <v>0</v>
      </c>
      <c r="N100" s="137">
        <f t="shared" ca="1" si="29"/>
        <v>0</v>
      </c>
      <c r="O100" s="137">
        <f t="shared" ca="1" si="29"/>
        <v>0</v>
      </c>
      <c r="P100" s="137">
        <f t="shared" ca="1" si="29"/>
        <v>0</v>
      </c>
      <c r="Q100" s="137">
        <f t="shared" ca="1" si="29"/>
        <v>0</v>
      </c>
      <c r="R100" s="137">
        <f t="shared" ca="1" si="29"/>
        <v>0</v>
      </c>
      <c r="S100" s="137">
        <f t="shared" ca="1" si="29"/>
        <v>0</v>
      </c>
      <c r="T100" s="137">
        <f t="shared" ca="1" si="29"/>
        <v>0</v>
      </c>
      <c r="U100" s="137">
        <f t="shared" ca="1" si="29"/>
        <v>0</v>
      </c>
      <c r="V100" s="137">
        <f t="shared" ca="1" si="29"/>
        <v>0</v>
      </c>
      <c r="W100" s="137">
        <f t="shared" ca="1" si="29"/>
        <v>0</v>
      </c>
      <c r="X100" s="137">
        <f t="shared" ca="1" si="29"/>
        <v>0</v>
      </c>
      <c r="Y100" s="143">
        <f t="shared" ca="1" si="30"/>
        <v>0</v>
      </c>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row>
    <row r="101" spans="3:80">
      <c r="C101" s="34" t="s">
        <v>1019</v>
      </c>
      <c r="E101" s="137">
        <f t="shared" ca="1" si="29"/>
        <v>0</v>
      </c>
      <c r="F101" s="137">
        <f t="shared" ca="1" si="29"/>
        <v>0</v>
      </c>
      <c r="G101" s="137">
        <f t="shared" ca="1" si="29"/>
        <v>0</v>
      </c>
      <c r="H101" s="137">
        <f t="shared" ca="1" si="29"/>
        <v>0</v>
      </c>
      <c r="I101" s="137">
        <f t="shared" ca="1" si="29"/>
        <v>0</v>
      </c>
      <c r="J101" s="137">
        <f t="shared" ca="1" si="29"/>
        <v>0</v>
      </c>
      <c r="K101" s="137">
        <f t="shared" ca="1" si="29"/>
        <v>0</v>
      </c>
      <c r="L101" s="137">
        <f t="shared" ca="1" si="29"/>
        <v>0</v>
      </c>
      <c r="M101" s="137">
        <f t="shared" ca="1" si="29"/>
        <v>0</v>
      </c>
      <c r="N101" s="137">
        <f t="shared" ca="1" si="29"/>
        <v>0</v>
      </c>
      <c r="O101" s="137">
        <f t="shared" ca="1" si="29"/>
        <v>0</v>
      </c>
      <c r="P101" s="137">
        <f t="shared" ca="1" si="29"/>
        <v>0</v>
      </c>
      <c r="Q101" s="137">
        <f t="shared" ca="1" si="29"/>
        <v>0</v>
      </c>
      <c r="R101" s="137">
        <f t="shared" ca="1" si="29"/>
        <v>0</v>
      </c>
      <c r="S101" s="137">
        <f t="shared" ca="1" si="29"/>
        <v>0</v>
      </c>
      <c r="T101" s="137">
        <f t="shared" ca="1" si="29"/>
        <v>0</v>
      </c>
      <c r="U101" s="137">
        <f t="shared" ca="1" si="29"/>
        <v>0</v>
      </c>
      <c r="V101" s="137">
        <f t="shared" ca="1" si="29"/>
        <v>0</v>
      </c>
      <c r="W101" s="137">
        <f t="shared" ca="1" si="29"/>
        <v>0</v>
      </c>
      <c r="X101" s="137">
        <f t="shared" ca="1" si="29"/>
        <v>0</v>
      </c>
      <c r="Y101" s="143">
        <f t="shared" ca="1" si="30"/>
        <v>0</v>
      </c>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row>
    <row r="102" spans="3:80">
      <c r="C102" s="34" t="s">
        <v>1022</v>
      </c>
      <c r="E102" s="137">
        <f t="shared" ca="1" si="29"/>
        <v>0</v>
      </c>
      <c r="F102" s="137">
        <f t="shared" ca="1" si="29"/>
        <v>0</v>
      </c>
      <c r="G102" s="137">
        <f t="shared" ca="1" si="29"/>
        <v>0</v>
      </c>
      <c r="H102" s="137">
        <f t="shared" ca="1" si="29"/>
        <v>0</v>
      </c>
      <c r="I102" s="137">
        <f t="shared" ca="1" si="29"/>
        <v>0</v>
      </c>
      <c r="J102" s="137">
        <f t="shared" ca="1" si="29"/>
        <v>0</v>
      </c>
      <c r="K102" s="137">
        <f t="shared" ca="1" si="29"/>
        <v>0</v>
      </c>
      <c r="L102" s="137">
        <f t="shared" ca="1" si="29"/>
        <v>0</v>
      </c>
      <c r="M102" s="137">
        <f t="shared" ca="1" si="29"/>
        <v>0</v>
      </c>
      <c r="N102" s="137">
        <f t="shared" ca="1" si="29"/>
        <v>0</v>
      </c>
      <c r="O102" s="137">
        <f t="shared" ca="1" si="29"/>
        <v>0</v>
      </c>
      <c r="P102" s="137">
        <f t="shared" ca="1" si="29"/>
        <v>0</v>
      </c>
      <c r="Q102" s="137">
        <f t="shared" ca="1" si="29"/>
        <v>0</v>
      </c>
      <c r="R102" s="137">
        <f t="shared" ca="1" si="29"/>
        <v>0</v>
      </c>
      <c r="S102" s="137">
        <f t="shared" ca="1" si="29"/>
        <v>0</v>
      </c>
      <c r="T102" s="137">
        <f t="shared" ca="1" si="29"/>
        <v>0</v>
      </c>
      <c r="U102" s="137">
        <f t="shared" ca="1" si="29"/>
        <v>0</v>
      </c>
      <c r="V102" s="137">
        <f t="shared" ca="1" si="29"/>
        <v>0</v>
      </c>
      <c r="W102" s="137">
        <f t="shared" ca="1" si="29"/>
        <v>0</v>
      </c>
      <c r="X102" s="137">
        <f t="shared" ca="1" si="29"/>
        <v>0</v>
      </c>
      <c r="Y102" s="143">
        <f t="shared" ca="1" si="30"/>
        <v>0</v>
      </c>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row>
    <row r="103" spans="3:80">
      <c r="C103" s="34" t="s">
        <v>1025</v>
      </c>
      <c r="E103" s="137">
        <f t="shared" ca="1" si="29"/>
        <v>0</v>
      </c>
      <c r="F103" s="137">
        <f t="shared" ca="1" si="29"/>
        <v>0</v>
      </c>
      <c r="G103" s="137">
        <f t="shared" ca="1" si="29"/>
        <v>0</v>
      </c>
      <c r="H103" s="137">
        <f t="shared" ca="1" si="29"/>
        <v>0</v>
      </c>
      <c r="I103" s="137">
        <f t="shared" ca="1" si="29"/>
        <v>0</v>
      </c>
      <c r="J103" s="137">
        <f t="shared" ca="1" si="29"/>
        <v>0</v>
      </c>
      <c r="K103" s="137">
        <f t="shared" ca="1" si="29"/>
        <v>0</v>
      </c>
      <c r="L103" s="137">
        <f t="shared" ca="1" si="29"/>
        <v>0</v>
      </c>
      <c r="M103" s="137">
        <f t="shared" ca="1" si="29"/>
        <v>0</v>
      </c>
      <c r="N103" s="137">
        <f t="shared" ca="1" si="29"/>
        <v>0</v>
      </c>
      <c r="O103" s="137">
        <f t="shared" ca="1" si="29"/>
        <v>0</v>
      </c>
      <c r="P103" s="137">
        <f t="shared" ca="1" si="29"/>
        <v>0</v>
      </c>
      <c r="Q103" s="137">
        <f t="shared" ca="1" si="29"/>
        <v>0</v>
      </c>
      <c r="R103" s="137">
        <f t="shared" ca="1" si="29"/>
        <v>0</v>
      </c>
      <c r="S103" s="137">
        <f t="shared" ca="1" si="29"/>
        <v>0</v>
      </c>
      <c r="T103" s="137">
        <f t="shared" ca="1" si="29"/>
        <v>0</v>
      </c>
      <c r="U103" s="137">
        <f t="shared" ca="1" si="29"/>
        <v>0</v>
      </c>
      <c r="V103" s="137">
        <f t="shared" ca="1" si="29"/>
        <v>0</v>
      </c>
      <c r="W103" s="137">
        <f t="shared" ca="1" si="29"/>
        <v>0</v>
      </c>
      <c r="X103" s="137">
        <f t="shared" ca="1" si="29"/>
        <v>0</v>
      </c>
      <c r="Y103" s="143">
        <f t="shared" ca="1" si="30"/>
        <v>0</v>
      </c>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row>
    <row r="104" spans="3:80">
      <c r="C104" s="34" t="s">
        <v>1028</v>
      </c>
      <c r="E104" s="137">
        <f t="shared" ca="1" si="29"/>
        <v>0</v>
      </c>
      <c r="F104" s="137">
        <f t="shared" ca="1" si="29"/>
        <v>0</v>
      </c>
      <c r="G104" s="137">
        <f t="shared" ca="1" si="29"/>
        <v>0</v>
      </c>
      <c r="H104" s="137">
        <f t="shared" ca="1" si="29"/>
        <v>0</v>
      </c>
      <c r="I104" s="137">
        <f t="shared" ca="1" si="29"/>
        <v>0</v>
      </c>
      <c r="J104" s="137">
        <f t="shared" ca="1" si="29"/>
        <v>0</v>
      </c>
      <c r="K104" s="137">
        <f t="shared" ca="1" si="29"/>
        <v>0</v>
      </c>
      <c r="L104" s="137">
        <f t="shared" ca="1" si="29"/>
        <v>0</v>
      </c>
      <c r="M104" s="137">
        <f t="shared" ca="1" si="29"/>
        <v>0</v>
      </c>
      <c r="N104" s="137">
        <f t="shared" ca="1" si="29"/>
        <v>0</v>
      </c>
      <c r="O104" s="137">
        <f t="shared" ca="1" si="29"/>
        <v>0</v>
      </c>
      <c r="P104" s="137">
        <f t="shared" ca="1" si="29"/>
        <v>0</v>
      </c>
      <c r="Q104" s="137">
        <f t="shared" ca="1" si="29"/>
        <v>0</v>
      </c>
      <c r="R104" s="137">
        <f t="shared" ca="1" si="29"/>
        <v>0</v>
      </c>
      <c r="S104" s="137">
        <f t="shared" ca="1" si="29"/>
        <v>0</v>
      </c>
      <c r="T104" s="137">
        <f t="shared" ca="1" si="29"/>
        <v>0</v>
      </c>
      <c r="U104" s="137">
        <f t="shared" ca="1" si="29"/>
        <v>0</v>
      </c>
      <c r="V104" s="137">
        <f t="shared" ca="1" si="29"/>
        <v>0</v>
      </c>
      <c r="W104" s="137">
        <f t="shared" ca="1" si="29"/>
        <v>0</v>
      </c>
      <c r="X104" s="137">
        <f t="shared" ca="1" si="29"/>
        <v>0</v>
      </c>
      <c r="Y104" s="143">
        <f t="shared" ca="1" si="30"/>
        <v>0</v>
      </c>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row>
    <row r="105" spans="3:80">
      <c r="C105" s="34" t="s">
        <v>1031</v>
      </c>
      <c r="E105" s="137">
        <f t="shared" ca="1" si="29"/>
        <v>0</v>
      </c>
      <c r="F105" s="137">
        <f t="shared" ca="1" si="29"/>
        <v>0</v>
      </c>
      <c r="G105" s="137">
        <f t="shared" ca="1" si="29"/>
        <v>0</v>
      </c>
      <c r="H105" s="137">
        <f t="shared" ref="H105:X105" ca="1" si="31">H68-H67</f>
        <v>0</v>
      </c>
      <c r="I105" s="137">
        <f t="shared" ca="1" si="31"/>
        <v>0</v>
      </c>
      <c r="J105" s="137">
        <f t="shared" ca="1" si="31"/>
        <v>0</v>
      </c>
      <c r="K105" s="137">
        <f t="shared" ca="1" si="31"/>
        <v>0</v>
      </c>
      <c r="L105" s="137">
        <f t="shared" ca="1" si="31"/>
        <v>0</v>
      </c>
      <c r="M105" s="137">
        <f t="shared" ca="1" si="31"/>
        <v>0</v>
      </c>
      <c r="N105" s="137">
        <f t="shared" ca="1" si="31"/>
        <v>0</v>
      </c>
      <c r="O105" s="137">
        <f t="shared" ca="1" si="31"/>
        <v>0</v>
      </c>
      <c r="P105" s="137">
        <f t="shared" ca="1" si="31"/>
        <v>0</v>
      </c>
      <c r="Q105" s="137">
        <f t="shared" ca="1" si="31"/>
        <v>0</v>
      </c>
      <c r="R105" s="137">
        <f t="shared" ca="1" si="31"/>
        <v>0</v>
      </c>
      <c r="S105" s="137">
        <f t="shared" ca="1" si="31"/>
        <v>0</v>
      </c>
      <c r="T105" s="137">
        <f t="shared" ca="1" si="31"/>
        <v>0</v>
      </c>
      <c r="U105" s="137">
        <f t="shared" ca="1" si="31"/>
        <v>0</v>
      </c>
      <c r="V105" s="137">
        <f t="shared" ca="1" si="31"/>
        <v>0</v>
      </c>
      <c r="W105" s="137">
        <f t="shared" ca="1" si="31"/>
        <v>0</v>
      </c>
      <c r="X105" s="137">
        <f t="shared" ca="1" si="31"/>
        <v>0</v>
      </c>
      <c r="Y105" s="143">
        <f t="shared" ca="1" si="30"/>
        <v>0</v>
      </c>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row>
    <row r="106" spans="3:80">
      <c r="C106" s="34" t="s">
        <v>1034</v>
      </c>
      <c r="E106" s="137">
        <f t="shared" ref="E106:X106" ca="1" si="32">E69-E68</f>
        <v>0</v>
      </c>
      <c r="F106" s="137">
        <f t="shared" ca="1" si="32"/>
        <v>0</v>
      </c>
      <c r="G106" s="137">
        <f t="shared" ca="1" si="32"/>
        <v>0</v>
      </c>
      <c r="H106" s="137">
        <f t="shared" ca="1" si="32"/>
        <v>0</v>
      </c>
      <c r="I106" s="137">
        <f t="shared" ca="1" si="32"/>
        <v>0</v>
      </c>
      <c r="J106" s="137">
        <f t="shared" ca="1" si="32"/>
        <v>0</v>
      </c>
      <c r="K106" s="137">
        <f t="shared" ca="1" si="32"/>
        <v>0</v>
      </c>
      <c r="L106" s="137">
        <f t="shared" ca="1" si="32"/>
        <v>0</v>
      </c>
      <c r="M106" s="137">
        <f t="shared" ca="1" si="32"/>
        <v>0</v>
      </c>
      <c r="N106" s="137">
        <f t="shared" ca="1" si="32"/>
        <v>0</v>
      </c>
      <c r="O106" s="137">
        <f t="shared" ca="1" si="32"/>
        <v>0</v>
      </c>
      <c r="P106" s="137">
        <f t="shared" ca="1" si="32"/>
        <v>0</v>
      </c>
      <c r="Q106" s="137">
        <f t="shared" ca="1" si="32"/>
        <v>0</v>
      </c>
      <c r="R106" s="137">
        <f t="shared" ca="1" si="32"/>
        <v>0</v>
      </c>
      <c r="S106" s="137">
        <f t="shared" ca="1" si="32"/>
        <v>0</v>
      </c>
      <c r="T106" s="137">
        <f t="shared" ca="1" si="32"/>
        <v>0</v>
      </c>
      <c r="U106" s="137">
        <f t="shared" ca="1" si="32"/>
        <v>0</v>
      </c>
      <c r="V106" s="137">
        <f t="shared" ca="1" si="32"/>
        <v>0</v>
      </c>
      <c r="W106" s="137">
        <f t="shared" ca="1" si="32"/>
        <v>0</v>
      </c>
      <c r="X106" s="137">
        <f t="shared" ca="1" si="32"/>
        <v>0</v>
      </c>
      <c r="Y106" s="143">
        <f t="shared" ca="1" si="30"/>
        <v>0</v>
      </c>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row>
    <row r="107" spans="3:80">
      <c r="C107" s="34" t="s">
        <v>1037</v>
      </c>
      <c r="E107" s="137">
        <f t="shared" ref="E107:X107" ca="1" si="33">E70-E69</f>
        <v>5.8009920232469057E-4</v>
      </c>
      <c r="F107" s="137">
        <f t="shared" ca="1" si="33"/>
        <v>1.109782568894724E-3</v>
      </c>
      <c r="G107" s="137">
        <f t="shared" ca="1" si="33"/>
        <v>1.5778399537020146E-3</v>
      </c>
      <c r="H107" s="137">
        <f t="shared" ca="1" si="33"/>
        <v>2.0353501087204923E-3</v>
      </c>
      <c r="I107" s="137">
        <f t="shared" ca="1" si="33"/>
        <v>2.4758129662120795E-3</v>
      </c>
      <c r="J107" s="137">
        <f t="shared" ca="1" si="33"/>
        <v>2.7835734520415909E-3</v>
      </c>
      <c r="K107" s="137">
        <f t="shared" ca="1" si="33"/>
        <v>3.0362483511032524E-3</v>
      </c>
      <c r="L107" s="137">
        <f t="shared" ca="1" si="33"/>
        <v>3.2846370270978361E-3</v>
      </c>
      <c r="M107" s="137">
        <f t="shared" ca="1" si="33"/>
        <v>3.4589224642951029E-3</v>
      </c>
      <c r="N107" s="137">
        <f t="shared" ca="1" si="33"/>
        <v>3.6898800338153476E-3</v>
      </c>
      <c r="O107" s="137">
        <f t="shared" ca="1" si="33"/>
        <v>3.8521817698343478E-3</v>
      </c>
      <c r="P107" s="137">
        <f t="shared" ca="1" si="33"/>
        <v>3.9105496516273928E-3</v>
      </c>
      <c r="Q107" s="137">
        <f t="shared" ca="1" si="33"/>
        <v>3.8909262617076289E-3</v>
      </c>
      <c r="R107" s="137">
        <f t="shared" ca="1" si="33"/>
        <v>3.9622004191482707E-3</v>
      </c>
      <c r="S107" s="137">
        <f t="shared" ca="1" si="33"/>
        <v>4.0628561453334598E-3</v>
      </c>
      <c r="T107" s="137">
        <f t="shared" ca="1" si="33"/>
        <v>4.088882228603239E-3</v>
      </c>
      <c r="U107" s="137">
        <f t="shared" ca="1" si="33"/>
        <v>3.9539037477112592E-3</v>
      </c>
      <c r="V107" s="137">
        <f t="shared" ca="1" si="33"/>
        <v>3.9472394690529778E-3</v>
      </c>
      <c r="W107" s="137">
        <f t="shared" ca="1" si="33"/>
        <v>3.9572986229705585E-3</v>
      </c>
      <c r="X107" s="137">
        <f t="shared" ca="1" si="33"/>
        <v>3.9841756759180728E-3</v>
      </c>
      <c r="Y107" s="143">
        <f t="shared" ca="1" si="30"/>
        <v>6.3642360120114344E-2</v>
      </c>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row>
    <row r="108" spans="3:80">
      <c r="C108" s="34" t="s">
        <v>1040</v>
      </c>
      <c r="E108" s="137">
        <f t="shared" ref="E108:X108" ca="1" si="34">E71-E70</f>
        <v>0</v>
      </c>
      <c r="F108" s="137">
        <f t="shared" ca="1" si="34"/>
        <v>0</v>
      </c>
      <c r="G108" s="137">
        <f t="shared" ca="1" si="34"/>
        <v>0</v>
      </c>
      <c r="H108" s="137">
        <f t="shared" ca="1" si="34"/>
        <v>0</v>
      </c>
      <c r="I108" s="137">
        <f t="shared" ca="1" si="34"/>
        <v>0</v>
      </c>
      <c r="J108" s="137">
        <f t="shared" ca="1" si="34"/>
        <v>0</v>
      </c>
      <c r="K108" s="137">
        <f t="shared" ca="1" si="34"/>
        <v>0</v>
      </c>
      <c r="L108" s="137">
        <f t="shared" ca="1" si="34"/>
        <v>0</v>
      </c>
      <c r="M108" s="137">
        <f t="shared" ca="1" si="34"/>
        <v>0</v>
      </c>
      <c r="N108" s="137">
        <f t="shared" ca="1" si="34"/>
        <v>0</v>
      </c>
      <c r="O108" s="137">
        <f t="shared" ca="1" si="34"/>
        <v>0</v>
      </c>
      <c r="P108" s="137">
        <f t="shared" ca="1" si="34"/>
        <v>0</v>
      </c>
      <c r="Q108" s="137">
        <f t="shared" ca="1" si="34"/>
        <v>0</v>
      </c>
      <c r="R108" s="137">
        <f t="shared" ca="1" si="34"/>
        <v>0</v>
      </c>
      <c r="S108" s="137">
        <f t="shared" ca="1" si="34"/>
        <v>0</v>
      </c>
      <c r="T108" s="137">
        <f t="shared" ca="1" si="34"/>
        <v>0</v>
      </c>
      <c r="U108" s="137">
        <f t="shared" ca="1" si="34"/>
        <v>0</v>
      </c>
      <c r="V108" s="137">
        <f t="shared" ca="1" si="34"/>
        <v>0</v>
      </c>
      <c r="W108" s="137">
        <f t="shared" ca="1" si="34"/>
        <v>0</v>
      </c>
      <c r="X108" s="137">
        <f t="shared" ca="1" si="34"/>
        <v>0</v>
      </c>
      <c r="Y108" s="143">
        <f t="shared" ca="1" si="30"/>
        <v>0</v>
      </c>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row>
    <row r="109" spans="3:80">
      <c r="C109" s="34" t="s">
        <v>1043</v>
      </c>
      <c r="E109" s="137">
        <f t="shared" ref="E109:X109" ca="1" si="35">E72-E71</f>
        <v>0</v>
      </c>
      <c r="F109" s="137">
        <f t="shared" ca="1" si="35"/>
        <v>0</v>
      </c>
      <c r="G109" s="137">
        <f t="shared" ca="1" si="35"/>
        <v>0</v>
      </c>
      <c r="H109" s="137">
        <f t="shared" ca="1" si="35"/>
        <v>0</v>
      </c>
      <c r="I109" s="137">
        <f t="shared" ca="1" si="35"/>
        <v>0</v>
      </c>
      <c r="J109" s="137">
        <f t="shared" ca="1" si="35"/>
        <v>0</v>
      </c>
      <c r="K109" s="137">
        <f t="shared" ca="1" si="35"/>
        <v>0</v>
      </c>
      <c r="L109" s="137">
        <f t="shared" ca="1" si="35"/>
        <v>0</v>
      </c>
      <c r="M109" s="137">
        <f t="shared" ca="1" si="35"/>
        <v>0</v>
      </c>
      <c r="N109" s="137">
        <f t="shared" ca="1" si="35"/>
        <v>0</v>
      </c>
      <c r="O109" s="137">
        <f t="shared" ca="1" si="35"/>
        <v>0</v>
      </c>
      <c r="P109" s="137">
        <f t="shared" ca="1" si="35"/>
        <v>0</v>
      </c>
      <c r="Q109" s="137">
        <f t="shared" ca="1" si="35"/>
        <v>0</v>
      </c>
      <c r="R109" s="137">
        <f t="shared" ca="1" si="35"/>
        <v>0</v>
      </c>
      <c r="S109" s="137">
        <f t="shared" ca="1" si="35"/>
        <v>0</v>
      </c>
      <c r="T109" s="137">
        <f t="shared" ca="1" si="35"/>
        <v>0</v>
      </c>
      <c r="U109" s="137">
        <f t="shared" ca="1" si="35"/>
        <v>0</v>
      </c>
      <c r="V109" s="137">
        <f t="shared" ca="1" si="35"/>
        <v>0</v>
      </c>
      <c r="W109" s="137">
        <f t="shared" ca="1" si="35"/>
        <v>0</v>
      </c>
      <c r="X109" s="137">
        <f t="shared" ca="1" si="35"/>
        <v>0</v>
      </c>
      <c r="Y109" s="143">
        <f t="shared" ca="1" si="30"/>
        <v>0</v>
      </c>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row>
    <row r="110" spans="3:80">
      <c r="C110" s="34" t="s">
        <v>1046</v>
      </c>
      <c r="E110" s="137">
        <f t="shared" ref="E110:X110" ca="1" si="36">E73-E72</f>
        <v>0</v>
      </c>
      <c r="F110" s="137">
        <f t="shared" ca="1" si="36"/>
        <v>0</v>
      </c>
      <c r="G110" s="137">
        <f t="shared" ca="1" si="36"/>
        <v>0</v>
      </c>
      <c r="H110" s="137">
        <f t="shared" ca="1" si="36"/>
        <v>0</v>
      </c>
      <c r="I110" s="137">
        <f t="shared" ca="1" si="36"/>
        <v>0</v>
      </c>
      <c r="J110" s="137">
        <f t="shared" ca="1" si="36"/>
        <v>0</v>
      </c>
      <c r="K110" s="137">
        <f t="shared" ca="1" si="36"/>
        <v>0</v>
      </c>
      <c r="L110" s="137">
        <f t="shared" ca="1" si="36"/>
        <v>0</v>
      </c>
      <c r="M110" s="137">
        <f t="shared" ca="1" si="36"/>
        <v>0</v>
      </c>
      <c r="N110" s="137">
        <f t="shared" ca="1" si="36"/>
        <v>0</v>
      </c>
      <c r="O110" s="137">
        <f t="shared" ca="1" si="36"/>
        <v>0</v>
      </c>
      <c r="P110" s="137">
        <f t="shared" ca="1" si="36"/>
        <v>0</v>
      </c>
      <c r="Q110" s="137">
        <f t="shared" ca="1" si="36"/>
        <v>0</v>
      </c>
      <c r="R110" s="137">
        <f t="shared" ca="1" si="36"/>
        <v>0</v>
      </c>
      <c r="S110" s="137">
        <f t="shared" ca="1" si="36"/>
        <v>0</v>
      </c>
      <c r="T110" s="137">
        <f t="shared" ca="1" si="36"/>
        <v>0</v>
      </c>
      <c r="U110" s="137">
        <f t="shared" ca="1" si="36"/>
        <v>0</v>
      </c>
      <c r="V110" s="137">
        <f t="shared" ca="1" si="36"/>
        <v>0</v>
      </c>
      <c r="W110" s="137">
        <f t="shared" ca="1" si="36"/>
        <v>0</v>
      </c>
      <c r="X110" s="137">
        <f t="shared" ca="1" si="36"/>
        <v>0</v>
      </c>
      <c r="Y110" s="143">
        <f t="shared" ca="1" si="30"/>
        <v>0</v>
      </c>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row>
    <row r="111" spans="3:80">
      <c r="C111" s="34" t="s">
        <v>1049</v>
      </c>
      <c r="E111" s="137">
        <f t="shared" ref="E111:X111" ca="1" si="37">E74-E73</f>
        <v>0</v>
      </c>
      <c r="F111" s="137">
        <f t="shared" ca="1" si="37"/>
        <v>0</v>
      </c>
      <c r="G111" s="137">
        <f t="shared" ca="1" si="37"/>
        <v>0</v>
      </c>
      <c r="H111" s="137">
        <f t="shared" ca="1" si="37"/>
        <v>0</v>
      </c>
      <c r="I111" s="137">
        <f t="shared" ca="1" si="37"/>
        <v>0</v>
      </c>
      <c r="J111" s="137">
        <f t="shared" ca="1" si="37"/>
        <v>0</v>
      </c>
      <c r="K111" s="137">
        <f t="shared" ca="1" si="37"/>
        <v>0</v>
      </c>
      <c r="L111" s="137">
        <f t="shared" ca="1" si="37"/>
        <v>0</v>
      </c>
      <c r="M111" s="137">
        <f t="shared" ca="1" si="37"/>
        <v>0</v>
      </c>
      <c r="N111" s="137">
        <f t="shared" ca="1" si="37"/>
        <v>0</v>
      </c>
      <c r="O111" s="137">
        <f t="shared" ca="1" si="37"/>
        <v>0</v>
      </c>
      <c r="P111" s="137">
        <f t="shared" ca="1" si="37"/>
        <v>0</v>
      </c>
      <c r="Q111" s="137">
        <f t="shared" ca="1" si="37"/>
        <v>0</v>
      </c>
      <c r="R111" s="137">
        <f t="shared" ca="1" si="37"/>
        <v>0</v>
      </c>
      <c r="S111" s="137">
        <f t="shared" ca="1" si="37"/>
        <v>0</v>
      </c>
      <c r="T111" s="137">
        <f t="shared" ca="1" si="37"/>
        <v>0</v>
      </c>
      <c r="U111" s="137">
        <f t="shared" ca="1" si="37"/>
        <v>0</v>
      </c>
      <c r="V111" s="137">
        <f t="shared" ca="1" si="37"/>
        <v>0</v>
      </c>
      <c r="W111" s="137">
        <f t="shared" ca="1" si="37"/>
        <v>0</v>
      </c>
      <c r="X111" s="137">
        <f t="shared" ca="1" si="37"/>
        <v>0</v>
      </c>
      <c r="Y111" s="143">
        <f t="shared" ca="1" si="30"/>
        <v>0</v>
      </c>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row>
    <row r="112" spans="3:80">
      <c r="C112" s="34" t="s">
        <v>1052</v>
      </c>
      <c r="E112" s="137">
        <f t="shared" ref="E112:X112" ca="1" si="38">E75-E74</f>
        <v>0</v>
      </c>
      <c r="F112" s="137">
        <f t="shared" ca="1" si="38"/>
        <v>0</v>
      </c>
      <c r="G112" s="137">
        <f t="shared" ca="1" si="38"/>
        <v>0</v>
      </c>
      <c r="H112" s="137">
        <f t="shared" ca="1" si="38"/>
        <v>0</v>
      </c>
      <c r="I112" s="137">
        <f t="shared" ca="1" si="38"/>
        <v>0</v>
      </c>
      <c r="J112" s="137">
        <f t="shared" ca="1" si="38"/>
        <v>0</v>
      </c>
      <c r="K112" s="137">
        <f t="shared" ca="1" si="38"/>
        <v>0</v>
      </c>
      <c r="L112" s="137">
        <f t="shared" ca="1" si="38"/>
        <v>0</v>
      </c>
      <c r="M112" s="137">
        <f t="shared" ca="1" si="38"/>
        <v>0</v>
      </c>
      <c r="N112" s="137">
        <f t="shared" ca="1" si="38"/>
        <v>0</v>
      </c>
      <c r="O112" s="137">
        <f t="shared" ca="1" si="38"/>
        <v>0</v>
      </c>
      <c r="P112" s="137">
        <f t="shared" ca="1" si="38"/>
        <v>0</v>
      </c>
      <c r="Q112" s="137">
        <f t="shared" ca="1" si="38"/>
        <v>0</v>
      </c>
      <c r="R112" s="137">
        <f t="shared" ca="1" si="38"/>
        <v>0</v>
      </c>
      <c r="S112" s="137">
        <f t="shared" ca="1" si="38"/>
        <v>0</v>
      </c>
      <c r="T112" s="137">
        <f t="shared" ca="1" si="38"/>
        <v>0</v>
      </c>
      <c r="U112" s="137">
        <f t="shared" ca="1" si="38"/>
        <v>0</v>
      </c>
      <c r="V112" s="137">
        <f t="shared" ca="1" si="38"/>
        <v>0</v>
      </c>
      <c r="W112" s="137">
        <f t="shared" ca="1" si="38"/>
        <v>0</v>
      </c>
      <c r="X112" s="137">
        <f t="shared" ca="1" si="38"/>
        <v>0</v>
      </c>
      <c r="Y112" s="143">
        <f t="shared" ca="1" si="30"/>
        <v>0</v>
      </c>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row>
    <row r="113" spans="3:80">
      <c r="C113" s="34" t="s">
        <v>1302</v>
      </c>
      <c r="E113" s="137">
        <f t="shared" ref="E113:X113" ca="1" si="39">E76-E75</f>
        <v>0</v>
      </c>
      <c r="F113" s="137">
        <f t="shared" ca="1" si="39"/>
        <v>0</v>
      </c>
      <c r="G113" s="137">
        <f t="shared" ca="1" si="39"/>
        <v>0</v>
      </c>
      <c r="H113" s="137">
        <f t="shared" ca="1" si="39"/>
        <v>0</v>
      </c>
      <c r="I113" s="137">
        <f t="shared" ca="1" si="39"/>
        <v>0</v>
      </c>
      <c r="J113" s="137">
        <f t="shared" ca="1" si="39"/>
        <v>0</v>
      </c>
      <c r="K113" s="137">
        <f t="shared" ca="1" si="39"/>
        <v>0</v>
      </c>
      <c r="L113" s="137">
        <f t="shared" ca="1" si="39"/>
        <v>0</v>
      </c>
      <c r="M113" s="137">
        <f t="shared" ca="1" si="39"/>
        <v>0</v>
      </c>
      <c r="N113" s="137">
        <f t="shared" ca="1" si="39"/>
        <v>0</v>
      </c>
      <c r="O113" s="137">
        <f t="shared" ca="1" si="39"/>
        <v>0</v>
      </c>
      <c r="P113" s="137">
        <f t="shared" ca="1" si="39"/>
        <v>0</v>
      </c>
      <c r="Q113" s="137">
        <f t="shared" ca="1" si="39"/>
        <v>0</v>
      </c>
      <c r="R113" s="137">
        <f t="shared" ca="1" si="39"/>
        <v>0</v>
      </c>
      <c r="S113" s="137">
        <f t="shared" ca="1" si="39"/>
        <v>0</v>
      </c>
      <c r="T113" s="137">
        <f t="shared" ca="1" si="39"/>
        <v>0</v>
      </c>
      <c r="U113" s="137">
        <f t="shared" ca="1" si="39"/>
        <v>0</v>
      </c>
      <c r="V113" s="137">
        <f t="shared" ca="1" si="39"/>
        <v>0</v>
      </c>
      <c r="W113" s="137">
        <f t="shared" ca="1" si="39"/>
        <v>0</v>
      </c>
      <c r="X113" s="137">
        <f t="shared" ca="1" si="39"/>
        <v>0</v>
      </c>
      <c r="Y113" s="143">
        <f t="shared" ca="1" si="30"/>
        <v>0</v>
      </c>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row>
    <row r="114" spans="3:80">
      <c r="C114" s="34" t="s">
        <v>1304</v>
      </c>
      <c r="E114" s="137">
        <f t="shared" ref="E114:X114" ca="1" si="40">E77-E76</f>
        <v>0</v>
      </c>
      <c r="F114" s="137">
        <f t="shared" ca="1" si="40"/>
        <v>0</v>
      </c>
      <c r="G114" s="137">
        <f t="shared" ca="1" si="40"/>
        <v>0</v>
      </c>
      <c r="H114" s="137">
        <f t="shared" ca="1" si="40"/>
        <v>0</v>
      </c>
      <c r="I114" s="137">
        <f t="shared" ca="1" si="40"/>
        <v>0</v>
      </c>
      <c r="J114" s="137">
        <f t="shared" ca="1" si="40"/>
        <v>0</v>
      </c>
      <c r="K114" s="137">
        <f t="shared" ca="1" si="40"/>
        <v>0</v>
      </c>
      <c r="L114" s="137">
        <f t="shared" ca="1" si="40"/>
        <v>0</v>
      </c>
      <c r="M114" s="137">
        <f t="shared" ca="1" si="40"/>
        <v>0</v>
      </c>
      <c r="N114" s="137">
        <f t="shared" ca="1" si="40"/>
        <v>0</v>
      </c>
      <c r="O114" s="137">
        <f t="shared" ca="1" si="40"/>
        <v>0</v>
      </c>
      <c r="P114" s="137">
        <f t="shared" ca="1" si="40"/>
        <v>0</v>
      </c>
      <c r="Q114" s="137">
        <f t="shared" ca="1" si="40"/>
        <v>0</v>
      </c>
      <c r="R114" s="137">
        <f t="shared" ca="1" si="40"/>
        <v>0</v>
      </c>
      <c r="S114" s="137">
        <f t="shared" ca="1" si="40"/>
        <v>0</v>
      </c>
      <c r="T114" s="137">
        <f t="shared" ca="1" si="40"/>
        <v>0</v>
      </c>
      <c r="U114" s="137">
        <f t="shared" ca="1" si="40"/>
        <v>0</v>
      </c>
      <c r="V114" s="137">
        <f t="shared" ca="1" si="40"/>
        <v>0</v>
      </c>
      <c r="W114" s="137">
        <f t="shared" ca="1" si="40"/>
        <v>0</v>
      </c>
      <c r="X114" s="137">
        <f t="shared" ca="1" si="40"/>
        <v>0</v>
      </c>
      <c r="Y114" s="143">
        <f t="shared" ca="1" si="30"/>
        <v>0</v>
      </c>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row>
    <row r="115" spans="3:80">
      <c r="C115" s="34" t="s">
        <v>1307</v>
      </c>
      <c r="E115" s="137">
        <f t="shared" ref="E115:X115" ca="1" si="41">E78-E77</f>
        <v>0</v>
      </c>
      <c r="F115" s="137">
        <f t="shared" ca="1" si="41"/>
        <v>0</v>
      </c>
      <c r="G115" s="137">
        <f t="shared" ca="1" si="41"/>
        <v>0</v>
      </c>
      <c r="H115" s="137">
        <f t="shared" ca="1" si="41"/>
        <v>0</v>
      </c>
      <c r="I115" s="137">
        <f t="shared" ca="1" si="41"/>
        <v>0</v>
      </c>
      <c r="J115" s="137">
        <f t="shared" ca="1" si="41"/>
        <v>0</v>
      </c>
      <c r="K115" s="137">
        <f t="shared" ca="1" si="41"/>
        <v>0</v>
      </c>
      <c r="L115" s="137">
        <f t="shared" ca="1" si="41"/>
        <v>0</v>
      </c>
      <c r="M115" s="137">
        <f t="shared" ca="1" si="41"/>
        <v>0</v>
      </c>
      <c r="N115" s="137">
        <f t="shared" ca="1" si="41"/>
        <v>0</v>
      </c>
      <c r="O115" s="137">
        <f t="shared" ca="1" si="41"/>
        <v>0</v>
      </c>
      <c r="P115" s="137">
        <f t="shared" ca="1" si="41"/>
        <v>0</v>
      </c>
      <c r="Q115" s="137">
        <f t="shared" ca="1" si="41"/>
        <v>0</v>
      </c>
      <c r="R115" s="137">
        <f t="shared" ca="1" si="41"/>
        <v>0</v>
      </c>
      <c r="S115" s="137">
        <f t="shared" ca="1" si="41"/>
        <v>0</v>
      </c>
      <c r="T115" s="137">
        <f t="shared" ca="1" si="41"/>
        <v>0</v>
      </c>
      <c r="U115" s="137">
        <f t="shared" ca="1" si="41"/>
        <v>0</v>
      </c>
      <c r="V115" s="137">
        <f t="shared" ca="1" si="41"/>
        <v>0</v>
      </c>
      <c r="W115" s="137">
        <f t="shared" ca="1" si="41"/>
        <v>0</v>
      </c>
      <c r="X115" s="137">
        <f t="shared" ca="1" si="41"/>
        <v>0</v>
      </c>
      <c r="Y115" s="143">
        <f t="shared" ca="1" si="30"/>
        <v>0</v>
      </c>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row>
    <row r="116" spans="3:80">
      <c r="C116" s="34" t="s">
        <v>1310</v>
      </c>
      <c r="E116" s="137">
        <f t="shared" ref="E116:X116" ca="1" si="42">E79-E78</f>
        <v>0</v>
      </c>
      <c r="F116" s="137">
        <f t="shared" ca="1" si="42"/>
        <v>0</v>
      </c>
      <c r="G116" s="137">
        <f t="shared" ca="1" si="42"/>
        <v>0</v>
      </c>
      <c r="H116" s="137">
        <f t="shared" ca="1" si="42"/>
        <v>0</v>
      </c>
      <c r="I116" s="137">
        <f t="shared" ca="1" si="42"/>
        <v>0</v>
      </c>
      <c r="J116" s="137">
        <f t="shared" ca="1" si="42"/>
        <v>0</v>
      </c>
      <c r="K116" s="137">
        <f t="shared" ca="1" si="42"/>
        <v>0</v>
      </c>
      <c r="L116" s="137">
        <f t="shared" ca="1" si="42"/>
        <v>0</v>
      </c>
      <c r="M116" s="137">
        <f t="shared" ca="1" si="42"/>
        <v>0</v>
      </c>
      <c r="N116" s="137">
        <f t="shared" ca="1" si="42"/>
        <v>0</v>
      </c>
      <c r="O116" s="137">
        <f t="shared" ca="1" si="42"/>
        <v>0</v>
      </c>
      <c r="P116" s="137">
        <f t="shared" ca="1" si="42"/>
        <v>0</v>
      </c>
      <c r="Q116" s="137">
        <f t="shared" ca="1" si="42"/>
        <v>0</v>
      </c>
      <c r="R116" s="137">
        <f t="shared" ca="1" si="42"/>
        <v>0</v>
      </c>
      <c r="S116" s="137">
        <f t="shared" ca="1" si="42"/>
        <v>0</v>
      </c>
      <c r="T116" s="137">
        <f t="shared" ca="1" si="42"/>
        <v>0</v>
      </c>
      <c r="U116" s="137">
        <f t="shared" ca="1" si="42"/>
        <v>0</v>
      </c>
      <c r="V116" s="137">
        <f t="shared" ca="1" si="42"/>
        <v>0</v>
      </c>
      <c r="W116" s="137">
        <f t="shared" ca="1" si="42"/>
        <v>0</v>
      </c>
      <c r="X116" s="137">
        <f t="shared" ca="1" si="42"/>
        <v>0</v>
      </c>
      <c r="Y116" s="143">
        <f t="shared" ca="1" si="30"/>
        <v>0</v>
      </c>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row>
    <row r="117" spans="3:80">
      <c r="C117" s="34" t="s">
        <v>1313</v>
      </c>
      <c r="E117" s="137">
        <f t="shared" ref="E117:X117" ca="1" si="43">E80-E79</f>
        <v>0</v>
      </c>
      <c r="F117" s="137">
        <f t="shared" ca="1" si="43"/>
        <v>0</v>
      </c>
      <c r="G117" s="137">
        <f t="shared" ca="1" si="43"/>
        <v>0</v>
      </c>
      <c r="H117" s="137">
        <f t="shared" ca="1" si="43"/>
        <v>0</v>
      </c>
      <c r="I117" s="137">
        <f t="shared" ca="1" si="43"/>
        <v>0</v>
      </c>
      <c r="J117" s="137">
        <f t="shared" ca="1" si="43"/>
        <v>0</v>
      </c>
      <c r="K117" s="137">
        <f t="shared" ca="1" si="43"/>
        <v>0</v>
      </c>
      <c r="L117" s="137">
        <f t="shared" ca="1" si="43"/>
        <v>0</v>
      </c>
      <c r="M117" s="137">
        <f t="shared" ca="1" si="43"/>
        <v>0</v>
      </c>
      <c r="N117" s="137">
        <f t="shared" ca="1" si="43"/>
        <v>0</v>
      </c>
      <c r="O117" s="137">
        <f t="shared" ca="1" si="43"/>
        <v>0</v>
      </c>
      <c r="P117" s="137">
        <f t="shared" ca="1" si="43"/>
        <v>0</v>
      </c>
      <c r="Q117" s="137">
        <f t="shared" ca="1" si="43"/>
        <v>0</v>
      </c>
      <c r="R117" s="137">
        <f t="shared" ca="1" si="43"/>
        <v>0</v>
      </c>
      <c r="S117" s="137">
        <f t="shared" ca="1" si="43"/>
        <v>0</v>
      </c>
      <c r="T117" s="137">
        <f t="shared" ca="1" si="43"/>
        <v>0</v>
      </c>
      <c r="U117" s="137">
        <f t="shared" ca="1" si="43"/>
        <v>0</v>
      </c>
      <c r="V117" s="137">
        <f t="shared" ca="1" si="43"/>
        <v>0</v>
      </c>
      <c r="W117" s="137">
        <f t="shared" ca="1" si="43"/>
        <v>0</v>
      </c>
      <c r="X117" s="137">
        <f t="shared" ca="1" si="43"/>
        <v>0</v>
      </c>
      <c r="Y117" s="143">
        <f t="shared" ca="1" si="30"/>
        <v>0</v>
      </c>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row>
    <row r="118" spans="3:80">
      <c r="C118" s="34" t="s">
        <v>1316</v>
      </c>
      <c r="E118" s="137">
        <f t="shared" ref="E118:X118" ca="1" si="44">E81-E80</f>
        <v>0</v>
      </c>
      <c r="F118" s="137">
        <f t="shared" ca="1" si="44"/>
        <v>0</v>
      </c>
      <c r="G118" s="137">
        <f t="shared" ca="1" si="44"/>
        <v>0</v>
      </c>
      <c r="H118" s="137">
        <f t="shared" ca="1" si="44"/>
        <v>0</v>
      </c>
      <c r="I118" s="137">
        <f t="shared" ca="1" si="44"/>
        <v>0</v>
      </c>
      <c r="J118" s="137">
        <f t="shared" ca="1" si="44"/>
        <v>0</v>
      </c>
      <c r="K118" s="137">
        <f t="shared" ca="1" si="44"/>
        <v>0</v>
      </c>
      <c r="L118" s="137">
        <f t="shared" ca="1" si="44"/>
        <v>0</v>
      </c>
      <c r="M118" s="137">
        <f t="shared" ca="1" si="44"/>
        <v>0</v>
      </c>
      <c r="N118" s="137">
        <f t="shared" ca="1" si="44"/>
        <v>0</v>
      </c>
      <c r="O118" s="137">
        <f t="shared" ca="1" si="44"/>
        <v>0</v>
      </c>
      <c r="P118" s="137">
        <f t="shared" ca="1" si="44"/>
        <v>0</v>
      </c>
      <c r="Q118" s="137">
        <f t="shared" ca="1" si="44"/>
        <v>0</v>
      </c>
      <c r="R118" s="137">
        <f t="shared" ca="1" si="44"/>
        <v>0</v>
      </c>
      <c r="S118" s="137">
        <f t="shared" ca="1" si="44"/>
        <v>0</v>
      </c>
      <c r="T118" s="137">
        <f t="shared" ca="1" si="44"/>
        <v>0</v>
      </c>
      <c r="U118" s="137">
        <f t="shared" ca="1" si="44"/>
        <v>0</v>
      </c>
      <c r="V118" s="137">
        <f t="shared" ca="1" si="44"/>
        <v>0</v>
      </c>
      <c r="W118" s="137">
        <f t="shared" ca="1" si="44"/>
        <v>0</v>
      </c>
      <c r="X118" s="137">
        <f t="shared" ca="1" si="44"/>
        <v>0</v>
      </c>
      <c r="Y118" s="143">
        <f t="shared" ca="1" si="30"/>
        <v>0</v>
      </c>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row>
    <row r="119" spans="3:80">
      <c r="C119" s="34" t="s">
        <v>1319</v>
      </c>
      <c r="E119" s="137">
        <f t="shared" ref="E119:X119" ca="1" si="45">E82-E81</f>
        <v>0</v>
      </c>
      <c r="F119" s="137">
        <f t="shared" ca="1" si="45"/>
        <v>0</v>
      </c>
      <c r="G119" s="137">
        <f t="shared" ca="1" si="45"/>
        <v>0</v>
      </c>
      <c r="H119" s="137">
        <f t="shared" ca="1" si="45"/>
        <v>0</v>
      </c>
      <c r="I119" s="137">
        <f t="shared" ca="1" si="45"/>
        <v>0</v>
      </c>
      <c r="J119" s="137">
        <f t="shared" ca="1" si="45"/>
        <v>0</v>
      </c>
      <c r="K119" s="137">
        <f t="shared" ca="1" si="45"/>
        <v>0</v>
      </c>
      <c r="L119" s="137">
        <f t="shared" ca="1" si="45"/>
        <v>0</v>
      </c>
      <c r="M119" s="137">
        <f t="shared" ca="1" si="45"/>
        <v>0</v>
      </c>
      <c r="N119" s="137">
        <f t="shared" ca="1" si="45"/>
        <v>0</v>
      </c>
      <c r="O119" s="137">
        <f t="shared" ca="1" si="45"/>
        <v>0</v>
      </c>
      <c r="P119" s="137">
        <f t="shared" ca="1" si="45"/>
        <v>0</v>
      </c>
      <c r="Q119" s="137">
        <f t="shared" ca="1" si="45"/>
        <v>0</v>
      </c>
      <c r="R119" s="137">
        <f t="shared" ca="1" si="45"/>
        <v>0</v>
      </c>
      <c r="S119" s="137">
        <f t="shared" ca="1" si="45"/>
        <v>0</v>
      </c>
      <c r="T119" s="137">
        <f t="shared" ca="1" si="45"/>
        <v>0</v>
      </c>
      <c r="U119" s="137">
        <f t="shared" ca="1" si="45"/>
        <v>0</v>
      </c>
      <c r="V119" s="137">
        <f t="shared" ca="1" si="45"/>
        <v>0</v>
      </c>
      <c r="W119" s="137">
        <f t="shared" ca="1" si="45"/>
        <v>0</v>
      </c>
      <c r="X119" s="137">
        <f t="shared" ca="1" si="45"/>
        <v>0</v>
      </c>
      <c r="Y119" s="143">
        <f t="shared" ca="1" si="30"/>
        <v>0</v>
      </c>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row>
    <row r="120" spans="3:80">
      <c r="C120" s="34" t="s">
        <v>1322</v>
      </c>
      <c r="E120" s="137">
        <f t="shared" ref="E120:X120" ca="1" si="46">E83-E82</f>
        <v>0</v>
      </c>
      <c r="F120" s="137">
        <f t="shared" ca="1" si="46"/>
        <v>0</v>
      </c>
      <c r="G120" s="137">
        <f t="shared" ca="1" si="46"/>
        <v>0</v>
      </c>
      <c r="H120" s="137">
        <f t="shared" ca="1" si="46"/>
        <v>0</v>
      </c>
      <c r="I120" s="137">
        <f t="shared" ca="1" si="46"/>
        <v>0</v>
      </c>
      <c r="J120" s="137">
        <f t="shared" ca="1" si="46"/>
        <v>0</v>
      </c>
      <c r="K120" s="137">
        <f t="shared" ca="1" si="46"/>
        <v>0</v>
      </c>
      <c r="L120" s="137">
        <f t="shared" ca="1" si="46"/>
        <v>0</v>
      </c>
      <c r="M120" s="137">
        <f t="shared" ca="1" si="46"/>
        <v>0</v>
      </c>
      <c r="N120" s="137">
        <f t="shared" ca="1" si="46"/>
        <v>0</v>
      </c>
      <c r="O120" s="137">
        <f t="shared" ca="1" si="46"/>
        <v>0</v>
      </c>
      <c r="P120" s="137">
        <f t="shared" ca="1" si="46"/>
        <v>0</v>
      </c>
      <c r="Q120" s="137">
        <f t="shared" ca="1" si="46"/>
        <v>0</v>
      </c>
      <c r="R120" s="137">
        <f t="shared" ca="1" si="46"/>
        <v>0</v>
      </c>
      <c r="S120" s="137">
        <f t="shared" ca="1" si="46"/>
        <v>0</v>
      </c>
      <c r="T120" s="137">
        <f t="shared" ca="1" si="46"/>
        <v>0</v>
      </c>
      <c r="U120" s="137">
        <f t="shared" ca="1" si="46"/>
        <v>0</v>
      </c>
      <c r="V120" s="137">
        <f t="shared" ca="1" si="46"/>
        <v>0</v>
      </c>
      <c r="W120" s="137">
        <f t="shared" ca="1" si="46"/>
        <v>0</v>
      </c>
      <c r="X120" s="137">
        <f t="shared" ca="1" si="46"/>
        <v>0</v>
      </c>
      <c r="Y120" s="143">
        <f t="shared" ca="1" si="30"/>
        <v>0</v>
      </c>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row>
    <row r="121" spans="3:80">
      <c r="C121" s="34" t="s">
        <v>1325</v>
      </c>
      <c r="E121" s="137">
        <f t="shared" ref="E121:X121" ca="1" si="47">E84-E83</f>
        <v>0</v>
      </c>
      <c r="F121" s="137">
        <f t="shared" ca="1" si="47"/>
        <v>0</v>
      </c>
      <c r="G121" s="137">
        <f t="shared" ca="1" si="47"/>
        <v>0</v>
      </c>
      <c r="H121" s="137">
        <f t="shared" ca="1" si="47"/>
        <v>0</v>
      </c>
      <c r="I121" s="137">
        <f t="shared" ca="1" si="47"/>
        <v>0</v>
      </c>
      <c r="J121" s="137">
        <f t="shared" ca="1" si="47"/>
        <v>0</v>
      </c>
      <c r="K121" s="137">
        <f t="shared" ca="1" si="47"/>
        <v>0</v>
      </c>
      <c r="L121" s="137">
        <f t="shared" ca="1" si="47"/>
        <v>0</v>
      </c>
      <c r="M121" s="137">
        <f t="shared" ca="1" si="47"/>
        <v>0</v>
      </c>
      <c r="N121" s="137">
        <f t="shared" ca="1" si="47"/>
        <v>0</v>
      </c>
      <c r="O121" s="137">
        <f t="shared" ca="1" si="47"/>
        <v>0</v>
      </c>
      <c r="P121" s="137">
        <f t="shared" ca="1" si="47"/>
        <v>0</v>
      </c>
      <c r="Q121" s="137">
        <f t="shared" ca="1" si="47"/>
        <v>0</v>
      </c>
      <c r="R121" s="137">
        <f t="shared" ca="1" si="47"/>
        <v>0</v>
      </c>
      <c r="S121" s="137">
        <f t="shared" ca="1" si="47"/>
        <v>0</v>
      </c>
      <c r="T121" s="137">
        <f t="shared" ca="1" si="47"/>
        <v>0</v>
      </c>
      <c r="U121" s="137">
        <f t="shared" ca="1" si="47"/>
        <v>0</v>
      </c>
      <c r="V121" s="137">
        <f t="shared" ca="1" si="47"/>
        <v>0</v>
      </c>
      <c r="W121" s="137">
        <f t="shared" ca="1" si="47"/>
        <v>0</v>
      </c>
      <c r="X121" s="137">
        <f t="shared" ca="1" si="47"/>
        <v>0</v>
      </c>
      <c r="Y121" s="143">
        <f t="shared" ca="1" si="30"/>
        <v>0</v>
      </c>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row>
    <row r="122" spans="3:80">
      <c r="C122" s="34" t="s">
        <v>1328</v>
      </c>
      <c r="E122" s="137">
        <f t="shared" ref="E122:X122" ca="1" si="48">E85-E84</f>
        <v>0</v>
      </c>
      <c r="F122" s="137">
        <f t="shared" ca="1" si="48"/>
        <v>0</v>
      </c>
      <c r="G122" s="137">
        <f t="shared" ca="1" si="48"/>
        <v>0</v>
      </c>
      <c r="H122" s="137">
        <f t="shared" ca="1" si="48"/>
        <v>0</v>
      </c>
      <c r="I122" s="137">
        <f t="shared" ca="1" si="48"/>
        <v>0</v>
      </c>
      <c r="J122" s="137">
        <f t="shared" ca="1" si="48"/>
        <v>0</v>
      </c>
      <c r="K122" s="137">
        <f t="shared" ca="1" si="48"/>
        <v>0</v>
      </c>
      <c r="L122" s="137">
        <f t="shared" ca="1" si="48"/>
        <v>0</v>
      </c>
      <c r="M122" s="137">
        <f t="shared" ca="1" si="48"/>
        <v>0</v>
      </c>
      <c r="N122" s="137">
        <f t="shared" ca="1" si="48"/>
        <v>0</v>
      </c>
      <c r="O122" s="137">
        <f t="shared" ca="1" si="48"/>
        <v>0</v>
      </c>
      <c r="P122" s="137">
        <f t="shared" ca="1" si="48"/>
        <v>0</v>
      </c>
      <c r="Q122" s="137">
        <f t="shared" ca="1" si="48"/>
        <v>0</v>
      </c>
      <c r="R122" s="137">
        <f t="shared" ca="1" si="48"/>
        <v>0</v>
      </c>
      <c r="S122" s="137">
        <f t="shared" ca="1" si="48"/>
        <v>0</v>
      </c>
      <c r="T122" s="137">
        <f t="shared" ca="1" si="48"/>
        <v>0</v>
      </c>
      <c r="U122" s="137">
        <f t="shared" ca="1" si="48"/>
        <v>0</v>
      </c>
      <c r="V122" s="137">
        <f t="shared" ca="1" si="48"/>
        <v>0</v>
      </c>
      <c r="W122" s="137">
        <f t="shared" ca="1" si="48"/>
        <v>0</v>
      </c>
      <c r="X122" s="137">
        <f t="shared" ca="1" si="48"/>
        <v>0</v>
      </c>
      <c r="Y122" s="143">
        <f t="shared" ca="1" si="30"/>
        <v>0</v>
      </c>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row>
    <row r="123" spans="3:80">
      <c r="C123" s="34" t="s">
        <v>1331</v>
      </c>
      <c r="E123" s="137">
        <f t="shared" ref="E123:X123" ca="1" si="49">E86-E75</f>
        <v>0</v>
      </c>
      <c r="F123" s="137">
        <f t="shared" ca="1" si="49"/>
        <v>0</v>
      </c>
      <c r="G123" s="137">
        <f t="shared" ca="1" si="49"/>
        <v>0</v>
      </c>
      <c r="H123" s="137">
        <f t="shared" ca="1" si="49"/>
        <v>0</v>
      </c>
      <c r="I123" s="137">
        <f t="shared" ca="1" si="49"/>
        <v>0</v>
      </c>
      <c r="J123" s="137">
        <f t="shared" ca="1" si="49"/>
        <v>0</v>
      </c>
      <c r="K123" s="137">
        <f t="shared" ca="1" si="49"/>
        <v>0</v>
      </c>
      <c r="L123" s="137">
        <f t="shared" ca="1" si="49"/>
        <v>0</v>
      </c>
      <c r="M123" s="137">
        <f t="shared" ca="1" si="49"/>
        <v>0</v>
      </c>
      <c r="N123" s="137">
        <f t="shared" ca="1" si="49"/>
        <v>0</v>
      </c>
      <c r="O123" s="137">
        <f t="shared" ca="1" si="49"/>
        <v>0</v>
      </c>
      <c r="P123" s="137">
        <f t="shared" ca="1" si="49"/>
        <v>0</v>
      </c>
      <c r="Q123" s="137">
        <f t="shared" ca="1" si="49"/>
        <v>0</v>
      </c>
      <c r="R123" s="137">
        <f t="shared" ca="1" si="49"/>
        <v>0</v>
      </c>
      <c r="S123" s="137">
        <f t="shared" ca="1" si="49"/>
        <v>0</v>
      </c>
      <c r="T123" s="137">
        <f t="shared" ca="1" si="49"/>
        <v>0</v>
      </c>
      <c r="U123" s="137">
        <f t="shared" ca="1" si="49"/>
        <v>0</v>
      </c>
      <c r="V123" s="137">
        <f t="shared" ca="1" si="49"/>
        <v>0</v>
      </c>
      <c r="W123" s="137">
        <f t="shared" ca="1" si="49"/>
        <v>0</v>
      </c>
      <c r="X123" s="137">
        <f t="shared" ca="1" si="49"/>
        <v>0</v>
      </c>
      <c r="Y123" s="143">
        <f t="shared" ca="1" si="30"/>
        <v>0</v>
      </c>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row>
    <row r="124" spans="3:80">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row>
    <row r="125" spans="3:80" ht="15">
      <c r="C125" s="551" t="s">
        <v>1060</v>
      </c>
      <c r="D125" s="551"/>
      <c r="E125" s="552">
        <f t="shared" ref="E125:X125" ca="1" si="50">SUM(E92:E123)</f>
        <v>1.385238998679817E-3</v>
      </c>
      <c r="F125" s="552">
        <f t="shared" ca="1" si="50"/>
        <v>2.70762724643562E-3</v>
      </c>
      <c r="G125" s="552">
        <f t="shared" ca="1" si="50"/>
        <v>3.9666169376665712E-3</v>
      </c>
      <c r="H125" s="552">
        <f t="shared" ca="1" si="50"/>
        <v>5.1220743021644704E-3</v>
      </c>
      <c r="I125" s="552">
        <f t="shared" ca="1" si="50"/>
        <v>6.1085060385108469E-3</v>
      </c>
      <c r="J125" s="552">
        <f t="shared" ca="1" si="50"/>
        <v>6.9332576213094301E-3</v>
      </c>
      <c r="K125" s="552">
        <f t="shared" ca="1" si="50"/>
        <v>7.6568505914818745E-3</v>
      </c>
      <c r="L125" s="552">
        <f t="shared" ca="1" si="50"/>
        <v>8.4062284811445634E-3</v>
      </c>
      <c r="M125" s="552">
        <f t="shared" ca="1" si="50"/>
        <v>9.0262558217789664E-3</v>
      </c>
      <c r="N125" s="552">
        <f t="shared" ca="1" si="50"/>
        <v>9.6717595481601477E-3</v>
      </c>
      <c r="O125" s="552">
        <f t="shared" ca="1" si="50"/>
        <v>1.0062476687235793E-2</v>
      </c>
      <c r="P125" s="552">
        <f t="shared" ca="1" si="50"/>
        <v>1.0295961971115378E-2</v>
      </c>
      <c r="Q125" s="552">
        <f t="shared" ca="1" si="50"/>
        <v>1.0418015601614214E-2</v>
      </c>
      <c r="R125" s="552">
        <f t="shared" ca="1" si="50"/>
        <v>1.054429525432906E-2</v>
      </c>
      <c r="S125" s="552">
        <f t="shared" ca="1" si="50"/>
        <v>1.0665473124211381E-2</v>
      </c>
      <c r="T125" s="552">
        <f t="shared" ca="1" si="50"/>
        <v>1.0635144478141028E-2</v>
      </c>
      <c r="U125" s="552">
        <f t="shared" ca="1" si="50"/>
        <v>1.0398692368144211E-2</v>
      </c>
      <c r="V125" s="552">
        <f t="shared" ca="1" si="50"/>
        <v>1.0305757386167276E-2</v>
      </c>
      <c r="W125" s="552">
        <f t="shared" ca="1" si="50"/>
        <v>1.0219833714112975E-2</v>
      </c>
      <c r="X125" s="552">
        <f t="shared" ca="1" si="50"/>
        <v>1.0224212274762697E-2</v>
      </c>
      <c r="Y125" s="552"/>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row>
    <row r="126" spans="3:80" ht="15">
      <c r="C126" s="551" t="s">
        <v>1061</v>
      </c>
      <c r="D126" s="551"/>
      <c r="E126" s="552">
        <f ca="1">E125</f>
        <v>1.385238998679817E-3</v>
      </c>
      <c r="F126" s="552">
        <f t="shared" ref="F126:X126" ca="1" si="51">E126+F125</f>
        <v>4.0928662451154372E-3</v>
      </c>
      <c r="G126" s="552">
        <f t="shared" ca="1" si="51"/>
        <v>8.0594831827820075E-3</v>
      </c>
      <c r="H126" s="552">
        <f t="shared" ca="1" si="51"/>
        <v>1.3181557484946479E-2</v>
      </c>
      <c r="I126" s="552">
        <f t="shared" ca="1" si="51"/>
        <v>1.9290063523457326E-2</v>
      </c>
      <c r="J126" s="552">
        <f t="shared" ca="1" si="51"/>
        <v>2.6223321144766755E-2</v>
      </c>
      <c r="K126" s="552">
        <f t="shared" ca="1" si="51"/>
        <v>3.3880171736248632E-2</v>
      </c>
      <c r="L126" s="552">
        <f t="shared" ca="1" si="51"/>
        <v>4.2286400217393195E-2</v>
      </c>
      <c r="M126" s="552">
        <f t="shared" ca="1" si="51"/>
        <v>5.1312656039172164E-2</v>
      </c>
      <c r="N126" s="552">
        <f t="shared" ca="1" si="51"/>
        <v>6.0984415587332308E-2</v>
      </c>
      <c r="O126" s="552">
        <f t="shared" ca="1" si="51"/>
        <v>7.1046892274568105E-2</v>
      </c>
      <c r="P126" s="552">
        <f t="shared" ca="1" si="51"/>
        <v>8.134285424568348E-2</v>
      </c>
      <c r="Q126" s="552">
        <f t="shared" ca="1" si="51"/>
        <v>9.1760869847297699E-2</v>
      </c>
      <c r="R126" s="552">
        <f t="shared" ca="1" si="51"/>
        <v>0.10230516510162677</v>
      </c>
      <c r="S126" s="552">
        <f t="shared" ca="1" si="51"/>
        <v>0.11297063822583815</v>
      </c>
      <c r="T126" s="552">
        <f t="shared" ca="1" si="51"/>
        <v>0.12360578270397918</v>
      </c>
      <c r="U126" s="552">
        <f t="shared" ca="1" si="51"/>
        <v>0.13400447507212337</v>
      </c>
      <c r="V126" s="552">
        <f t="shared" ca="1" si="51"/>
        <v>0.14431023245829064</v>
      </c>
      <c r="W126" s="552">
        <f t="shared" ca="1" si="51"/>
        <v>0.15453006617240361</v>
      </c>
      <c r="X126" s="552">
        <f t="shared" ca="1" si="51"/>
        <v>0.16475427844716631</v>
      </c>
      <c r="Y126" s="552">
        <f ca="1">SUM(Y92:Y123)</f>
        <v>0.16475427844716634</v>
      </c>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row>
    <row r="128" spans="3:80">
      <c r="E128" s="137"/>
      <c r="F128" s="137"/>
      <c r="G128" s="137"/>
      <c r="H128" s="137"/>
      <c r="I128" s="137"/>
      <c r="J128" s="137"/>
      <c r="K128" s="137"/>
      <c r="L128" s="137"/>
      <c r="M128" s="137"/>
      <c r="N128" s="137"/>
      <c r="O128" s="137"/>
      <c r="P128" s="137"/>
      <c r="Q128" s="137"/>
      <c r="R128" s="137"/>
      <c r="S128" s="137"/>
      <c r="T128" s="137"/>
      <c r="U128" s="137"/>
      <c r="V128" s="137"/>
      <c r="W128" s="137"/>
      <c r="X128" s="137"/>
      <c r="Y128" s="137"/>
    </row>
    <row r="129" spans="1:27">
      <c r="A129" s="34" t="s">
        <v>1062</v>
      </c>
      <c r="E129" s="137"/>
      <c r="F129" s="137"/>
      <c r="G129" s="137"/>
      <c r="H129" s="137"/>
      <c r="I129" s="137"/>
      <c r="J129" s="137"/>
      <c r="K129" s="137"/>
      <c r="L129" s="137"/>
      <c r="M129" s="137"/>
      <c r="N129" s="137"/>
      <c r="O129" s="137"/>
      <c r="P129" s="137"/>
      <c r="Q129" s="137"/>
      <c r="R129" s="137"/>
      <c r="S129" s="137"/>
      <c r="T129" s="137"/>
      <c r="U129" s="137"/>
      <c r="V129" s="137"/>
      <c r="W129" s="137"/>
      <c r="X129" s="137"/>
      <c r="Y129" s="137"/>
    </row>
    <row r="130" spans="1:27" customFormat="1"/>
    <row r="131" spans="1:27" customFormat="1"/>
    <row r="132" spans="1:27" customFormat="1"/>
    <row r="133" spans="1:27" ht="15">
      <c r="A133" s="538" t="s">
        <v>1063</v>
      </c>
      <c r="B133" s="538"/>
      <c r="E133" s="137"/>
      <c r="F133" s="137"/>
      <c r="G133" s="137"/>
      <c r="H133" s="137"/>
      <c r="I133" s="137"/>
      <c r="J133" s="137"/>
      <c r="K133" s="137"/>
      <c r="L133" s="137"/>
      <c r="M133" s="137"/>
      <c r="N133" s="137"/>
      <c r="O133" s="137"/>
      <c r="P133" s="137"/>
      <c r="Q133" s="137"/>
      <c r="R133" s="137"/>
      <c r="S133" s="137"/>
      <c r="T133" s="137"/>
      <c r="U133" s="137"/>
      <c r="V133" s="137"/>
      <c r="W133" s="137"/>
      <c r="X133" s="137"/>
      <c r="Y133" s="137"/>
      <c r="AA133" s="137"/>
    </row>
    <row r="134" spans="1:27">
      <c r="A134" s="34" t="s">
        <v>1064</v>
      </c>
      <c r="C134"/>
      <c r="E134" s="137" t="s">
        <v>1065</v>
      </c>
      <c r="F134" s="137"/>
      <c r="G134" s="137"/>
      <c r="H134" s="137"/>
      <c r="I134" s="137"/>
      <c r="J134" s="137"/>
      <c r="K134" s="137"/>
      <c r="L134" s="137"/>
      <c r="M134" s="137"/>
      <c r="N134" s="137"/>
      <c r="O134" s="137"/>
      <c r="P134" s="137"/>
      <c r="Q134" s="137"/>
      <c r="R134" s="137"/>
      <c r="S134" s="137"/>
      <c r="T134" s="137"/>
      <c r="U134" s="137"/>
      <c r="V134" s="137"/>
      <c r="W134" s="137"/>
      <c r="X134" s="137"/>
      <c r="Y134" s="137"/>
      <c r="AA134" s="137"/>
    </row>
    <row r="135" spans="1:27" ht="15">
      <c r="E135" s="553">
        <v>2016</v>
      </c>
      <c r="F135" s="554">
        <v>2017</v>
      </c>
      <c r="G135" s="554">
        <v>2018</v>
      </c>
      <c r="H135" s="554">
        <v>2019</v>
      </c>
      <c r="I135" s="554">
        <v>2020</v>
      </c>
      <c r="J135" s="554">
        <v>2021</v>
      </c>
      <c r="K135" s="554">
        <v>2022</v>
      </c>
      <c r="L135" s="554">
        <v>2023</v>
      </c>
      <c r="M135" s="554">
        <v>2024</v>
      </c>
      <c r="N135" s="554">
        <v>2025</v>
      </c>
      <c r="O135" s="554">
        <v>2026</v>
      </c>
      <c r="P135" s="554">
        <v>2027</v>
      </c>
      <c r="Q135" s="554">
        <v>2028</v>
      </c>
      <c r="R135" s="554">
        <v>2029</v>
      </c>
      <c r="S135" s="554">
        <v>2030</v>
      </c>
      <c r="T135" s="554">
        <v>2031</v>
      </c>
      <c r="U135" s="554">
        <v>2032</v>
      </c>
      <c r="V135" s="554">
        <v>2033</v>
      </c>
      <c r="W135" s="554">
        <v>2034</v>
      </c>
      <c r="X135" s="554">
        <v>2035</v>
      </c>
      <c r="Y135" s="555"/>
      <c r="AA135" s="137"/>
    </row>
    <row r="136" spans="1:27">
      <c r="C136" s="34" t="str">
        <f>C13</f>
        <v>Single Family</v>
      </c>
      <c r="E136" s="137">
        <f ca="1">E13-E33/$B23</f>
        <v>56857.963939455607</v>
      </c>
      <c r="F136" s="137">
        <f t="shared" ref="F136:X139" ca="1" si="52">F13-F33/$B23</f>
        <v>48812.678661357357</v>
      </c>
      <c r="G136" s="137">
        <f t="shared" ca="1" si="52"/>
        <v>40982.709581956973</v>
      </c>
      <c r="H136" s="137">
        <f t="shared" ca="1" si="52"/>
        <v>34537.650127081753</v>
      </c>
      <c r="I136" s="137">
        <f t="shared" ca="1" si="52"/>
        <v>28634.951304740971</v>
      </c>
      <c r="J136" s="137">
        <f t="shared" ca="1" si="52"/>
        <v>23017.70260999837</v>
      </c>
      <c r="K136" s="137">
        <f t="shared" ca="1" si="52"/>
        <v>19058.897970086335</v>
      </c>
      <c r="L136" s="137">
        <f t="shared" ca="1" si="52"/>
        <v>16326.383602483947</v>
      </c>
      <c r="M136" s="137">
        <f t="shared" ca="1" si="52"/>
        <v>14066.728505986073</v>
      </c>
      <c r="N136" s="137">
        <f t="shared" ca="1" si="52"/>
        <v>12613.963593989691</v>
      </c>
      <c r="O136" s="137">
        <f t="shared" ca="1" si="52"/>
        <v>11330.332206966821</v>
      </c>
      <c r="P136" s="137">
        <f t="shared" ca="1" si="52"/>
        <v>10101.582545968151</v>
      </c>
      <c r="Q136" s="137">
        <f t="shared" ca="1" si="52"/>
        <v>8990.3061287981982</v>
      </c>
      <c r="R136" s="137">
        <f t="shared" ca="1" si="52"/>
        <v>8323.9763867877555</v>
      </c>
      <c r="S136" s="137">
        <f t="shared" ca="1" si="52"/>
        <v>7874.2864045550232</v>
      </c>
      <c r="T136" s="137">
        <f t="shared" ca="1" si="52"/>
        <v>7405.1180567050105</v>
      </c>
      <c r="U136" s="137">
        <f t="shared" ca="1" si="52"/>
        <v>7157.2764424779089</v>
      </c>
      <c r="V136" s="137">
        <f t="shared" ca="1" si="52"/>
        <v>7144.0041469284261</v>
      </c>
      <c r="W136" s="137">
        <f t="shared" ca="1" si="52"/>
        <v>7161.7968322856541</v>
      </c>
      <c r="X136" s="137">
        <f t="shared" ca="1" si="52"/>
        <v>7210.3024692590843</v>
      </c>
      <c r="Y136" s="137"/>
      <c r="AA136" s="137">
        <f t="shared" ref="AA136:AA139" ca="1" si="53">SUM(E136:Y136)</f>
        <v>377608.61151786911</v>
      </c>
    </row>
    <row r="137" spans="1:27">
      <c r="C137" s="34" t="str">
        <f>C14</f>
        <v>Multifamily - Low Rise</v>
      </c>
      <c r="E137" s="137">
        <f t="shared" ref="E137:T139" ca="1" si="54">E14-E34/$B24</f>
        <v>21116.010351908502</v>
      </c>
      <c r="F137" s="137">
        <f t="shared" ca="1" si="54"/>
        <v>18737.632786860901</v>
      </c>
      <c r="G137" s="137">
        <f t="shared" ca="1" si="54"/>
        <v>16449.331913906208</v>
      </c>
      <c r="H137" s="137">
        <f t="shared" ca="1" si="54"/>
        <v>13872.746661202877</v>
      </c>
      <c r="I137" s="137">
        <f t="shared" ca="1" si="54"/>
        <v>11140.840491344446</v>
      </c>
      <c r="J137" s="137">
        <f t="shared" ca="1" si="54"/>
        <v>9061.458315557622</v>
      </c>
      <c r="K137" s="137">
        <f t="shared" ca="1" si="54"/>
        <v>7647.8487295165069</v>
      </c>
      <c r="L137" s="137">
        <f t="shared" ca="1" si="54"/>
        <v>6705.2469593847272</v>
      </c>
      <c r="M137" s="137">
        <f t="shared" ca="1" si="54"/>
        <v>5979.4159442774289</v>
      </c>
      <c r="N137" s="137">
        <f t="shared" ca="1" si="54"/>
        <v>5411.4460268184575</v>
      </c>
      <c r="O137" s="137">
        <f t="shared" ca="1" si="54"/>
        <v>4847.2052638482528</v>
      </c>
      <c r="P137" s="137">
        <f t="shared" ca="1" si="54"/>
        <v>4378.9424084889142</v>
      </c>
      <c r="Q137" s="137">
        <f t="shared" ca="1" si="54"/>
        <v>4009.6709193407987</v>
      </c>
      <c r="R137" s="137">
        <f t="shared" ca="1" si="54"/>
        <v>3668.2713864879006</v>
      </c>
      <c r="S137" s="137">
        <f t="shared" ca="1" si="54"/>
        <v>3388.7301421531847</v>
      </c>
      <c r="T137" s="137">
        <f t="shared" ca="1" si="54"/>
        <v>3134.9902943853849</v>
      </c>
      <c r="U137" s="137">
        <f t="shared" ca="1" si="52"/>
        <v>3080.3060613099442</v>
      </c>
      <c r="V137" s="137">
        <f t="shared" ca="1" si="52"/>
        <v>3040.8185090563529</v>
      </c>
      <c r="W137" s="137">
        <f t="shared" ca="1" si="52"/>
        <v>2982.1255192590834</v>
      </c>
      <c r="X137" s="137">
        <f t="shared" ca="1" si="52"/>
        <v>2970.796557555419</v>
      </c>
      <c r="Y137" s="137"/>
      <c r="AA137" s="34">
        <f t="shared" ca="1" si="53"/>
        <v>151623.8352426629</v>
      </c>
    </row>
    <row r="138" spans="1:27">
      <c r="C138" s="34" t="str">
        <f>C15</f>
        <v>Multifamily - High Rise</v>
      </c>
      <c r="E138" s="137">
        <f t="shared" ca="1" si="54"/>
        <v>4740.3636587321453</v>
      </c>
      <c r="F138" s="137">
        <f t="shared" ca="1" si="52"/>
        <v>4265.6529534677429</v>
      </c>
      <c r="G138" s="137">
        <f t="shared" ca="1" si="52"/>
        <v>3801.0790089740535</v>
      </c>
      <c r="H138" s="137">
        <f t="shared" ca="1" si="52"/>
        <v>3131.7649776537237</v>
      </c>
      <c r="I138" s="137">
        <f t="shared" ca="1" si="52"/>
        <v>2466.3243250460291</v>
      </c>
      <c r="J138" s="137">
        <f t="shared" ca="1" si="52"/>
        <v>2036.0400781143335</v>
      </c>
      <c r="K138" s="137">
        <f t="shared" ca="1" si="52"/>
        <v>1723.4571591590388</v>
      </c>
      <c r="L138" s="137">
        <f t="shared" ca="1" si="52"/>
        <v>1529.8231687572534</v>
      </c>
      <c r="M138" s="137">
        <f t="shared" ca="1" si="52"/>
        <v>1354.6316155135055</v>
      </c>
      <c r="N138" s="137">
        <f t="shared" ca="1" si="52"/>
        <v>1225.8302461166377</v>
      </c>
      <c r="O138" s="137">
        <f t="shared" ca="1" si="52"/>
        <v>1084.7976201827414</v>
      </c>
      <c r="P138" s="137">
        <f t="shared" ca="1" si="52"/>
        <v>978.10512899128753</v>
      </c>
      <c r="Q138" s="137">
        <f t="shared" ca="1" si="52"/>
        <v>887.89658708070692</v>
      </c>
      <c r="R138" s="137">
        <f t="shared" ca="1" si="52"/>
        <v>818.66138313396414</v>
      </c>
      <c r="S138" s="137">
        <f t="shared" ca="1" si="52"/>
        <v>759.87789957014184</v>
      </c>
      <c r="T138" s="137">
        <f t="shared" ca="1" si="52"/>
        <v>702.4822318178758</v>
      </c>
      <c r="U138" s="137">
        <f t="shared" ca="1" si="52"/>
        <v>691.05685405212125</v>
      </c>
      <c r="V138" s="137">
        <f t="shared" ca="1" si="52"/>
        <v>675.04359411827227</v>
      </c>
      <c r="W138" s="137">
        <f t="shared" ca="1" si="52"/>
        <v>672.43428757144193</v>
      </c>
      <c r="X138" s="137">
        <f t="shared" ca="1" si="52"/>
        <v>669.36021407090766</v>
      </c>
      <c r="Y138" s="137"/>
      <c r="AA138" s="137">
        <f t="shared" ca="1" si="53"/>
        <v>34214.682992123926</v>
      </c>
    </row>
    <row r="139" spans="1:27">
      <c r="C139" s="34" t="str">
        <f>C16</f>
        <v>Manufactured</v>
      </c>
      <c r="E139" s="137">
        <f t="shared" ca="1" si="54"/>
        <v>1695.763960756186</v>
      </c>
      <c r="F139" s="137">
        <f t="shared" ca="1" si="52"/>
        <v>1531.901101937663</v>
      </c>
      <c r="G139" s="137">
        <f t="shared" ca="1" si="52"/>
        <v>1405.5103768750018</v>
      </c>
      <c r="H139" s="137">
        <f t="shared" ca="1" si="52"/>
        <v>1269.5667495369767</v>
      </c>
      <c r="I139" s="137">
        <f t="shared" ca="1" si="52"/>
        <v>1048.6453497725279</v>
      </c>
      <c r="J139" s="137">
        <f t="shared" ca="1" si="52"/>
        <v>870.72604682984843</v>
      </c>
      <c r="K139" s="137">
        <f t="shared" ca="1" si="52"/>
        <v>744.08881755140578</v>
      </c>
      <c r="L139" s="137">
        <f t="shared" ca="1" si="52"/>
        <v>644.07914330215635</v>
      </c>
      <c r="M139" s="137">
        <f t="shared" ca="1" si="52"/>
        <v>563.79558189181944</v>
      </c>
      <c r="N139" s="137">
        <f t="shared" ca="1" si="52"/>
        <v>497.05467159852037</v>
      </c>
      <c r="O139" s="137">
        <f t="shared" ca="1" si="52"/>
        <v>440.9835296692047</v>
      </c>
      <c r="P139" s="137">
        <f t="shared" ca="1" si="52"/>
        <v>397.85418460827077</v>
      </c>
      <c r="Q139" s="137">
        <f t="shared" ca="1" si="52"/>
        <v>364.23880977269482</v>
      </c>
      <c r="R139" s="137">
        <f t="shared" ca="1" si="52"/>
        <v>337.26777893793201</v>
      </c>
      <c r="S139" s="137">
        <f t="shared" ca="1" si="52"/>
        <v>315.48158085467776</v>
      </c>
      <c r="T139" s="137">
        <f t="shared" ca="1" si="52"/>
        <v>297.80877760168687</v>
      </c>
      <c r="U139" s="137">
        <f t="shared" ca="1" si="52"/>
        <v>297.48680767094243</v>
      </c>
      <c r="V139" s="137">
        <f t="shared" ca="1" si="52"/>
        <v>297.4768969965121</v>
      </c>
      <c r="W139" s="137">
        <f t="shared" ca="1" si="52"/>
        <v>297.55270812590629</v>
      </c>
      <c r="X139" s="137">
        <f t="shared" ca="1" si="52"/>
        <v>297.58308431193927</v>
      </c>
      <c r="Y139" s="137"/>
      <c r="AA139" s="137">
        <f t="shared" ca="1" si="53"/>
        <v>13614.865958601873</v>
      </c>
    </row>
    <row r="140" spans="1:27">
      <c r="E140" s="137"/>
      <c r="F140" s="137"/>
      <c r="G140" s="137"/>
      <c r="H140" s="137"/>
      <c r="I140" s="137"/>
      <c r="J140" s="137"/>
      <c r="K140" s="137"/>
      <c r="L140" s="137"/>
      <c r="M140" s="137"/>
      <c r="N140" s="137"/>
      <c r="O140" s="137"/>
      <c r="P140" s="137"/>
      <c r="Q140" s="137"/>
      <c r="R140" s="137"/>
      <c r="S140" s="137"/>
      <c r="T140" s="137"/>
      <c r="U140" s="137"/>
      <c r="V140" s="137"/>
      <c r="W140" s="137"/>
      <c r="X140" s="137"/>
      <c r="Y140" s="137"/>
    </row>
    <row r="141" spans="1:27">
      <c r="C141" s="34" t="s">
        <v>1066</v>
      </c>
      <c r="E141" s="137">
        <f t="shared" ref="E141:X141" ca="1" si="55">SUM(E136:E139)</f>
        <v>84410.101910852449</v>
      </c>
      <c r="F141" s="137">
        <f t="shared" ca="1" si="55"/>
        <v>73347.86550362366</v>
      </c>
      <c r="G141" s="137">
        <f t="shared" ca="1" si="55"/>
        <v>62638.630881712241</v>
      </c>
      <c r="H141" s="137">
        <f t="shared" ca="1" si="55"/>
        <v>52811.728515475334</v>
      </c>
      <c r="I141" s="137">
        <f t="shared" ca="1" si="55"/>
        <v>43290.761470903977</v>
      </c>
      <c r="J141" s="137">
        <f t="shared" ca="1" si="55"/>
        <v>34985.927050500177</v>
      </c>
      <c r="K141" s="137">
        <f t="shared" ca="1" si="55"/>
        <v>29174.292676313285</v>
      </c>
      <c r="L141" s="137">
        <f t="shared" ca="1" si="55"/>
        <v>25205.532873928085</v>
      </c>
      <c r="M141" s="137">
        <f t="shared" ca="1" si="55"/>
        <v>21964.571647668829</v>
      </c>
      <c r="N141" s="137">
        <f t="shared" ca="1" si="55"/>
        <v>19748.294538523307</v>
      </c>
      <c r="O141" s="137">
        <f t="shared" ca="1" si="55"/>
        <v>17703.318620667018</v>
      </c>
      <c r="P141" s="137">
        <f t="shared" ca="1" si="55"/>
        <v>15856.484268056622</v>
      </c>
      <c r="Q141" s="137">
        <f t="shared" ca="1" si="55"/>
        <v>14252.112444992399</v>
      </c>
      <c r="R141" s="137">
        <f t="shared" ca="1" si="55"/>
        <v>13148.176935347552</v>
      </c>
      <c r="S141" s="137">
        <f t="shared" ca="1" si="55"/>
        <v>12338.376027133027</v>
      </c>
      <c r="T141" s="137">
        <f t="shared" ca="1" si="55"/>
        <v>11540.399360509959</v>
      </c>
      <c r="U141" s="137">
        <f t="shared" ca="1" si="55"/>
        <v>11226.126165510917</v>
      </c>
      <c r="V141" s="137">
        <f t="shared" ca="1" si="55"/>
        <v>11157.343147099564</v>
      </c>
      <c r="W141" s="137">
        <f t="shared" ca="1" si="55"/>
        <v>11113.909347242086</v>
      </c>
      <c r="X141" s="137">
        <f t="shared" ca="1" si="55"/>
        <v>11148.042325197352</v>
      </c>
      <c r="Y141" s="137"/>
      <c r="AA141" s="137">
        <f ca="1">SUM(E141:Y141)</f>
        <v>577061.99571125803</v>
      </c>
    </row>
  </sheetData>
  <mergeCells count="1">
    <mergeCell ref="B1:T6"/>
  </mergeCells>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sheetPr codeName="Sheet2"/>
  <dimension ref="A1:CA223"/>
  <sheetViews>
    <sheetView tabSelected="1" topLeftCell="D1" zoomScaleNormal="100" workbookViewId="0">
      <selection activeCell="E13" sqref="E13"/>
    </sheetView>
  </sheetViews>
  <sheetFormatPr defaultRowHeight="12.75"/>
  <cols>
    <col min="1" max="1" width="35" style="34" customWidth="1"/>
    <col min="2" max="4" width="20.7109375" style="34" customWidth="1"/>
    <col min="5" max="5" width="19.85546875" style="34" customWidth="1"/>
    <col min="6" max="6" width="9.28515625" style="34" bestFit="1" customWidth="1"/>
    <col min="7" max="24" width="9.140625" style="34"/>
    <col min="25" max="25" width="9.5703125" style="34" bestFit="1" customWidth="1"/>
    <col min="26" max="29" width="9.140625" style="34"/>
    <col min="30" max="30" width="21.7109375" style="34" customWidth="1"/>
    <col min="31" max="31" width="35.85546875" style="34" customWidth="1"/>
    <col min="32" max="32" width="35.28515625" style="34" customWidth="1"/>
    <col min="33" max="33" width="15" style="34" customWidth="1"/>
    <col min="34" max="34" width="17.7109375" style="34" customWidth="1"/>
    <col min="35" max="35" width="15.140625" style="34" customWidth="1"/>
    <col min="36" max="36" width="15.7109375" style="34" customWidth="1"/>
    <col min="37" max="37" width="21.28515625" style="34" customWidth="1"/>
    <col min="38" max="38" width="17.7109375" style="34" bestFit="1" customWidth="1"/>
    <col min="39" max="39" width="15.42578125" style="34" bestFit="1" customWidth="1"/>
    <col min="40" max="40" width="14.28515625" style="34" bestFit="1" customWidth="1"/>
    <col min="41" max="41" width="14.28515625" style="34" customWidth="1"/>
    <col min="42" max="42" width="12.5703125" style="34" customWidth="1"/>
    <col min="43" max="43" width="14" style="34" bestFit="1" customWidth="1"/>
    <col min="44" max="45" width="10.85546875" style="34" bestFit="1" customWidth="1"/>
    <col min="46" max="46" width="13.42578125" style="34" customWidth="1"/>
    <col min="47" max="47" width="11.85546875" style="34" bestFit="1" customWidth="1"/>
    <col min="48" max="48" width="11" style="34" bestFit="1" customWidth="1"/>
    <col min="49" max="49" width="14.28515625" style="34" bestFit="1" customWidth="1"/>
    <col min="50" max="50" width="10.7109375" style="34" customWidth="1"/>
    <col min="51" max="51" width="13.85546875" style="34" bestFit="1" customWidth="1"/>
    <col min="52" max="52" width="11.7109375" style="34" bestFit="1" customWidth="1"/>
    <col min="53" max="53" width="15.28515625" style="34" bestFit="1" customWidth="1"/>
    <col min="54" max="56" width="12.28515625" style="34" bestFit="1" customWidth="1"/>
    <col min="57" max="57" width="12.5703125" style="34" bestFit="1" customWidth="1"/>
    <col min="58" max="60" width="14.28515625" style="34" bestFit="1" customWidth="1"/>
    <col min="61" max="61" width="13.7109375" style="34" bestFit="1" customWidth="1"/>
    <col min="62" max="62" width="14" style="34" bestFit="1" customWidth="1"/>
    <col min="63" max="63" width="12.85546875" style="34" bestFit="1" customWidth="1"/>
    <col min="64" max="64" width="15.28515625" style="34" bestFit="1" customWidth="1"/>
    <col min="65" max="65" width="12.28515625" style="34" bestFit="1" customWidth="1"/>
    <col min="66" max="66" width="10.85546875" style="34" bestFit="1" customWidth="1"/>
    <col min="67" max="67" width="12.28515625" style="34" bestFit="1" customWidth="1"/>
    <col min="68" max="68" width="12.5703125" style="34" bestFit="1" customWidth="1"/>
    <col min="69" max="16384" width="9.140625" style="34"/>
  </cols>
  <sheetData>
    <row r="1" spans="1:68" ht="12.75" customHeight="1">
      <c r="A1" s="529" t="s">
        <v>973</v>
      </c>
      <c r="B1" s="619" t="s">
        <v>1116</v>
      </c>
      <c r="C1" s="619"/>
      <c r="D1" s="619"/>
      <c r="E1" s="619"/>
      <c r="F1" s="619"/>
      <c r="G1" s="619"/>
      <c r="H1" s="619"/>
      <c r="I1" s="619"/>
      <c r="J1" s="619"/>
      <c r="K1" s="619"/>
      <c r="L1" s="619"/>
      <c r="M1" s="619"/>
      <c r="N1" s="619"/>
      <c r="O1" s="619"/>
      <c r="P1" s="619"/>
      <c r="Q1" s="619"/>
      <c r="R1" s="619"/>
      <c r="S1" s="619"/>
      <c r="T1" s="619"/>
      <c r="U1" s="619"/>
      <c r="V1" s="533"/>
      <c r="W1" s="533"/>
      <c r="X1" s="533"/>
      <c r="Y1" s="533"/>
      <c r="Z1" s="533"/>
    </row>
    <row r="2" spans="1:68" ht="12.75" customHeight="1">
      <c r="A2" s="530" t="s">
        <v>975</v>
      </c>
      <c r="B2" s="619"/>
      <c r="C2" s="619"/>
      <c r="D2" s="619"/>
      <c r="E2" s="619"/>
      <c r="F2" s="619"/>
      <c r="G2" s="619"/>
      <c r="H2" s="619"/>
      <c r="I2" s="619"/>
      <c r="J2" s="619"/>
      <c r="K2" s="619"/>
      <c r="L2" s="619"/>
      <c r="M2" s="619"/>
      <c r="N2" s="619"/>
      <c r="O2" s="619"/>
      <c r="P2" s="619"/>
      <c r="Q2" s="619"/>
      <c r="R2" s="619"/>
      <c r="S2" s="619"/>
      <c r="T2" s="619"/>
      <c r="U2" s="619"/>
      <c r="V2" s="532"/>
      <c r="W2" s="532"/>
      <c r="X2" s="532"/>
      <c r="Y2" s="532"/>
    </row>
    <row r="3" spans="1:68">
      <c r="B3" s="619"/>
      <c r="C3" s="619"/>
      <c r="D3" s="619"/>
      <c r="E3" s="619"/>
      <c r="F3" s="619"/>
      <c r="G3" s="619"/>
      <c r="H3" s="619"/>
      <c r="I3" s="619"/>
      <c r="J3" s="619"/>
      <c r="K3" s="619"/>
      <c r="L3" s="619"/>
      <c r="M3" s="619"/>
      <c r="N3" s="619"/>
      <c r="O3" s="619"/>
      <c r="P3" s="619"/>
      <c r="Q3" s="619"/>
      <c r="R3" s="619"/>
      <c r="S3" s="619"/>
      <c r="T3" s="619"/>
      <c r="U3" s="619"/>
      <c r="V3" s="532"/>
      <c r="W3" s="532"/>
      <c r="X3" s="532"/>
      <c r="Y3" s="532"/>
      <c r="Z3" s="532"/>
    </row>
    <row r="4" spans="1:68">
      <c r="B4" s="619"/>
      <c r="C4" s="619"/>
      <c r="D4" s="619"/>
      <c r="E4" s="619"/>
      <c r="F4" s="619"/>
      <c r="G4" s="619"/>
      <c r="H4" s="619"/>
      <c r="I4" s="619"/>
      <c r="J4" s="619"/>
      <c r="K4" s="619"/>
      <c r="L4" s="619"/>
      <c r="M4" s="619"/>
      <c r="N4" s="619"/>
      <c r="O4" s="619"/>
      <c r="P4" s="619"/>
      <c r="Q4" s="619"/>
      <c r="R4" s="619"/>
      <c r="S4" s="619"/>
      <c r="T4" s="619"/>
      <c r="U4" s="619"/>
      <c r="V4" s="532"/>
      <c r="W4" s="532"/>
      <c r="X4" s="532"/>
      <c r="Y4" s="532"/>
      <c r="Z4" s="532"/>
    </row>
    <row r="5" spans="1:68">
      <c r="B5" s="619"/>
      <c r="C5" s="619"/>
      <c r="D5" s="619"/>
      <c r="E5" s="619"/>
      <c r="F5" s="619"/>
      <c r="G5" s="619"/>
      <c r="H5" s="619"/>
      <c r="I5" s="619"/>
      <c r="J5" s="619"/>
      <c r="K5" s="619"/>
      <c r="L5" s="619"/>
      <c r="M5" s="619"/>
      <c r="N5" s="619"/>
      <c r="O5" s="619"/>
      <c r="P5" s="619"/>
      <c r="Q5" s="619"/>
      <c r="R5" s="619"/>
      <c r="S5" s="619"/>
      <c r="T5" s="619"/>
      <c r="U5" s="619"/>
      <c r="V5" s="532"/>
      <c r="W5" s="532"/>
      <c r="X5" s="532"/>
      <c r="Y5" s="532"/>
      <c r="Z5" s="532"/>
    </row>
    <row r="6" spans="1:68">
      <c r="B6" s="619"/>
      <c r="C6" s="619"/>
      <c r="D6" s="619"/>
      <c r="E6" s="619"/>
      <c r="F6" s="619"/>
      <c r="G6" s="619"/>
      <c r="H6" s="619"/>
      <c r="I6" s="619"/>
      <c r="J6" s="619"/>
      <c r="K6" s="619"/>
      <c r="L6" s="619"/>
      <c r="M6" s="619"/>
      <c r="N6" s="619"/>
      <c r="O6" s="619"/>
      <c r="P6" s="619"/>
      <c r="Q6" s="619"/>
      <c r="R6" s="619"/>
      <c r="S6" s="619"/>
      <c r="T6" s="619"/>
      <c r="U6" s="619"/>
      <c r="V6" s="532"/>
      <c r="W6" s="532"/>
      <c r="X6" s="532"/>
      <c r="Y6" s="532"/>
      <c r="Z6" s="532"/>
    </row>
    <row r="7" spans="1:68">
      <c r="A7" s="616"/>
      <c r="B7" s="616" t="s">
        <v>976</v>
      </c>
      <c r="C7" s="531" t="s">
        <v>1067</v>
      </c>
      <c r="D7" s="531" t="s">
        <v>1117</v>
      </c>
    </row>
    <row r="8" spans="1:68">
      <c r="A8" s="616" t="s">
        <v>1352</v>
      </c>
      <c r="B8" s="616" t="s">
        <v>978</v>
      </c>
      <c r="C8" s="531" t="str">
        <f>[2]MLIST!$B$13</f>
        <v>Dishwasher</v>
      </c>
      <c r="D8" s="531" t="str">
        <f>[1]!switch_ForecastState</f>
        <v>Region</v>
      </c>
      <c r="F8"/>
    </row>
    <row r="9" spans="1:68">
      <c r="A9" s="616" t="str">
        <f>INDEX([2]ACHIEV!$A$19:$B$100,MATCH(CONCATENATE($C$8," - ",$C$7),[2]ACHIEV!$B$19:$B$100,0),1)</f>
        <v>Water Heating</v>
      </c>
      <c r="B9" s="617" t="s">
        <v>979</v>
      </c>
      <c r="C9" s="531">
        <f>[2]FILES!$H$4</f>
        <v>2035</v>
      </c>
      <c r="D9" s="531" t="str">
        <f>[1]!switch_ForecastScenario</f>
        <v>Base</v>
      </c>
    </row>
    <row r="10" spans="1:68">
      <c r="A10" s="616"/>
      <c r="B10" s="616" t="s">
        <v>1354</v>
      </c>
      <c r="C10" s="618">
        <f ca="1">MIN(SUM(E86:X86),Y86)</f>
        <v>0.76936177080110313</v>
      </c>
      <c r="D10" s="534"/>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ht="15">
      <c r="A11" s="538" t="s">
        <v>1068</v>
      </c>
      <c r="E11" s="549">
        <v>2016</v>
      </c>
      <c r="F11" s="542">
        <v>2017</v>
      </c>
      <c r="G11" s="542">
        <v>2018</v>
      </c>
      <c r="H11" s="542">
        <v>2019</v>
      </c>
      <c r="I11" s="542">
        <v>2020</v>
      </c>
      <c r="J11" s="542">
        <v>2021</v>
      </c>
      <c r="K11" s="542">
        <v>2022</v>
      </c>
      <c r="L11" s="542">
        <v>2023</v>
      </c>
      <c r="M11" s="542">
        <v>2024</v>
      </c>
      <c r="N11" s="542">
        <v>2025</v>
      </c>
      <c r="O11" s="542">
        <v>2026</v>
      </c>
      <c r="P11" s="542">
        <v>2027</v>
      </c>
      <c r="Q11" s="542">
        <v>2028</v>
      </c>
      <c r="R11" s="542">
        <v>2029</v>
      </c>
      <c r="S11" s="542">
        <v>2030</v>
      </c>
      <c r="T11" s="542">
        <v>2031</v>
      </c>
      <c r="U11" s="542">
        <v>2032</v>
      </c>
      <c r="V11" s="542">
        <v>2033</v>
      </c>
      <c r="W11" s="542">
        <v>2034</v>
      </c>
      <c r="X11" s="542">
        <v>2035</v>
      </c>
      <c r="Y11" s="543"/>
      <c r="Z11"/>
    </row>
    <row r="12" spans="1:68" ht="15">
      <c r="E12" s="550" t="str">
        <f>CONCATENATE("HOMES_",E11)</f>
        <v>HOMES_2016</v>
      </c>
      <c r="F12" s="544" t="str">
        <f t="shared" ref="F12:X12" si="0">CONCATENATE("HOMES_",F11)</f>
        <v>HOMES_2017</v>
      </c>
      <c r="G12" s="544" t="str">
        <f t="shared" si="0"/>
        <v>HOMES_2018</v>
      </c>
      <c r="H12" s="544" t="str">
        <f t="shared" si="0"/>
        <v>HOMES_2019</v>
      </c>
      <c r="I12" s="544" t="str">
        <f t="shared" si="0"/>
        <v>HOMES_2020</v>
      </c>
      <c r="J12" s="544" t="str">
        <f t="shared" si="0"/>
        <v>HOMES_2021</v>
      </c>
      <c r="K12" s="544" t="str">
        <f t="shared" si="0"/>
        <v>HOMES_2022</v>
      </c>
      <c r="L12" s="544" t="str">
        <f t="shared" si="0"/>
        <v>HOMES_2023</v>
      </c>
      <c r="M12" s="544" t="str">
        <f t="shared" si="0"/>
        <v>HOMES_2024</v>
      </c>
      <c r="N12" s="544" t="str">
        <f t="shared" si="0"/>
        <v>HOMES_2025</v>
      </c>
      <c r="O12" s="544" t="str">
        <f t="shared" si="0"/>
        <v>HOMES_2026</v>
      </c>
      <c r="P12" s="544" t="str">
        <f t="shared" si="0"/>
        <v>HOMES_2027</v>
      </c>
      <c r="Q12" s="544" t="str">
        <f t="shared" si="0"/>
        <v>HOMES_2028</v>
      </c>
      <c r="R12" s="544" t="str">
        <f t="shared" si="0"/>
        <v>HOMES_2029</v>
      </c>
      <c r="S12" s="544" t="str">
        <f t="shared" si="0"/>
        <v>HOMES_2030</v>
      </c>
      <c r="T12" s="544" t="str">
        <f t="shared" si="0"/>
        <v>HOMES_2031</v>
      </c>
      <c r="U12" s="544" t="str">
        <f t="shared" si="0"/>
        <v>HOMES_2032</v>
      </c>
      <c r="V12" s="544" t="str">
        <f t="shared" si="0"/>
        <v>HOMES_2033</v>
      </c>
      <c r="W12" s="544" t="str">
        <f t="shared" si="0"/>
        <v>HOMES_2034</v>
      </c>
      <c r="X12" s="544" t="str">
        <f t="shared" si="0"/>
        <v>HOMES_2035</v>
      </c>
      <c r="Y12" s="545"/>
      <c r="Z12"/>
    </row>
    <row r="13" spans="1:68">
      <c r="C13" s="34" t="s">
        <v>930</v>
      </c>
      <c r="E13" s="137">
        <f ca="1">INDEX([1]!tbl_Forecast,MATCH($D$8&amp;$C13&amp;$D$7,[1]!rng_ForecastRowLookup,0),MATCH(E$11,[1]!rng_ForecastColumnLookup,0))</f>
        <v>4203528.2719999999</v>
      </c>
      <c r="F13" s="137">
        <f ca="1">INDEX([1]!tbl_Forecast,MATCH($D$8&amp;$C13&amp;$D$7,[1]!rng_ForecastRowLookup,0),MATCH(F$11,[1]!rng_ForecastColumnLookup,0))</f>
        <v>4193982.9785983553</v>
      </c>
      <c r="G13" s="137">
        <f ca="1">INDEX([1]!tbl_Forecast,MATCH($D$8&amp;$C13&amp;$D$7,[1]!rng_ForecastRowLookup,0),MATCH(G$11,[1]!rng_ForecastColumnLookup,0))</f>
        <v>4184459.3604704877</v>
      </c>
      <c r="H13" s="137">
        <f ca="1">INDEX([1]!tbl_Forecast,MATCH($D$8&amp;$C13&amp;$D$7,[1]!rng_ForecastRowLookup,0),MATCH(H$11,[1]!rng_ForecastColumnLookup,0))</f>
        <v>4174957.36839659</v>
      </c>
      <c r="I13" s="137">
        <f ca="1">INDEX([1]!tbl_Forecast,MATCH($D$8&amp;$C13&amp;$D$7,[1]!rng_ForecastRowLookup,0),MATCH(I$11,[1]!rng_ForecastColumnLookup,0))</f>
        <v>4165476.9532686244</v>
      </c>
      <c r="J13" s="137">
        <f ca="1">INDEX([1]!tbl_Forecast,MATCH($D$8&amp;$C13&amp;$D$7,[1]!rng_ForecastRowLookup,0),MATCH(J$11,[1]!rng_ForecastColumnLookup,0))</f>
        <v>4156018.0660900641</v>
      </c>
      <c r="K13" s="137">
        <f ca="1">INDEX([1]!tbl_Forecast,MATCH($D$8&amp;$C13&amp;$D$7,[1]!rng_ForecastRowLookup,0),MATCH(K$11,[1]!rng_ForecastColumnLookup,0))</f>
        <v>4146580.6579756448</v>
      </c>
      <c r="L13" s="137">
        <f ca="1">INDEX([1]!tbl_Forecast,MATCH($D$8&amp;$C13&amp;$D$7,[1]!rng_ForecastRowLookup,0),MATCH(L$11,[1]!rng_ForecastColumnLookup,0))</f>
        <v>4137164.6801511091</v>
      </c>
      <c r="M13" s="137">
        <f ca="1">INDEX([1]!tbl_Forecast,MATCH($D$8&amp;$C13&amp;$D$7,[1]!rng_ForecastRowLookup,0),MATCH(M$11,[1]!rng_ForecastColumnLookup,0))</f>
        <v>4127770.0839529554</v>
      </c>
      <c r="N13" s="137">
        <f ca="1">INDEX([1]!tbl_Forecast,MATCH($D$8&amp;$C13&amp;$D$7,[1]!rng_ForecastRowLookup,0),MATCH(N$11,[1]!rng_ForecastColumnLookup,0))</f>
        <v>4118396.8208281873</v>
      </c>
      <c r="O13" s="137">
        <f ca="1">INDEX([1]!tbl_Forecast,MATCH($D$8&amp;$C13&amp;$D$7,[1]!rng_ForecastRowLookup,0),MATCH(O$11,[1]!rng_ForecastColumnLookup,0))</f>
        <v>4109044.8423340586</v>
      </c>
      <c r="P13" s="137">
        <f ca="1">INDEX([1]!tbl_Forecast,MATCH($D$8&amp;$C13&amp;$D$7,[1]!rng_ForecastRowLookup,0),MATCH(P$11,[1]!rng_ForecastColumnLookup,0))</f>
        <v>4099714.1001378288</v>
      </c>
      <c r="Q13" s="137">
        <f ca="1">INDEX([1]!tbl_Forecast,MATCH($D$8&amp;$C13&amp;$D$7,[1]!rng_ForecastRowLookup,0),MATCH(Q$11,[1]!rng_ForecastColumnLookup,0))</f>
        <v>4090404.5460165106</v>
      </c>
      <c r="R13" s="137">
        <f ca="1">INDEX([1]!tbl_Forecast,MATCH($D$8&amp;$C13&amp;$D$7,[1]!rng_ForecastRowLookup,0),MATCH(R$11,[1]!rng_ForecastColumnLookup,0))</f>
        <v>4081116.1318566194</v>
      </c>
      <c r="S13" s="137">
        <f ca="1">INDEX([1]!tbl_Forecast,MATCH($D$8&amp;$C13&amp;$D$7,[1]!rng_ForecastRowLookup,0),MATCH(S$11,[1]!rng_ForecastColumnLookup,0))</f>
        <v>4071848.8096539262</v>
      </c>
      <c r="T13" s="137">
        <f ca="1">INDEX([1]!tbl_Forecast,MATCH($D$8&amp;$C13&amp;$D$7,[1]!rng_ForecastRowLookup,0),MATCH(T$11,[1]!rng_ForecastColumnLookup,0))</f>
        <v>4062602.5315132081</v>
      </c>
      <c r="U13" s="137">
        <f ca="1">INDEX([1]!tbl_Forecast,MATCH($D$8&amp;$C13&amp;$D$7,[1]!rng_ForecastRowLookup,0),MATCH(U$11,[1]!rng_ForecastColumnLookup,0))</f>
        <v>4053377.2496480034</v>
      </c>
      <c r="V13" s="137">
        <f ca="1">INDEX([1]!tbl_Forecast,MATCH($D$8&amp;$C13&amp;$D$7,[1]!rng_ForecastRowLookup,0),MATCH(V$11,[1]!rng_ForecastColumnLookup,0))</f>
        <v>4044172.9163803621</v>
      </c>
      <c r="W13" s="137">
        <f ca="1">INDEX([1]!tbl_Forecast,MATCH($D$8&amp;$C13&amp;$D$7,[1]!rng_ForecastRowLookup,0),MATCH(W$11,[1]!rng_ForecastColumnLookup,0))</f>
        <v>4034989.4841406001</v>
      </c>
      <c r="X13" s="137">
        <f ca="1">INDEX([1]!tbl_Forecast,MATCH($D$8&amp;$C13&amp;$D$7,[1]!rng_ForecastRowLookup,0),MATCH(X$11,[1]!rng_ForecastColumnLookup,0))</f>
        <v>4025826.9054670548</v>
      </c>
      <c r="Y13" s="137"/>
      <c r="Z13"/>
    </row>
    <row r="14" spans="1:68">
      <c r="C14" s="34" t="s">
        <v>941</v>
      </c>
      <c r="E14" s="137">
        <f ca="1">INDEX([1]!tbl_Forecast,MATCH($D$8&amp;$C14&amp;$D$7,[1]!rng_ForecastRowLookup,0),MATCH(E$11,[1]!rng_ForecastColumnLookup,0))</f>
        <v>926243.25609262148</v>
      </c>
      <c r="F14" s="137">
        <f ca="1">INDEX([1]!tbl_Forecast,MATCH($D$8&amp;$C14&amp;$D$7,[1]!rng_ForecastRowLookup,0),MATCH(F$11,[1]!rng_ForecastColumnLookup,0))</f>
        <v>924139.92640956037</v>
      </c>
      <c r="G14" s="137">
        <f ca="1">INDEX([1]!tbl_Forecast,MATCH($D$8&amp;$C14&amp;$D$7,[1]!rng_ForecastRowLookup,0),MATCH(G$11,[1]!rng_ForecastColumnLookup,0))</f>
        <v>922041.3730050053</v>
      </c>
      <c r="H14" s="137">
        <f ca="1">INDEX([1]!tbl_Forecast,MATCH($D$8&amp;$C14&amp;$D$7,[1]!rng_ForecastRowLookup,0),MATCH(H$11,[1]!rng_ForecastColumnLookup,0))</f>
        <v>919947.58503289847</v>
      </c>
      <c r="I14" s="137">
        <f ca="1">INDEX([1]!tbl_Forecast,MATCH($D$8&amp;$C14&amp;$D$7,[1]!rng_ForecastRowLookup,0),MATCH(I$11,[1]!rng_ForecastColumnLookup,0))</f>
        <v>917858.55167181045</v>
      </c>
      <c r="J14" s="137">
        <f ca="1">INDEX([1]!tbl_Forecast,MATCH($D$8&amp;$C14&amp;$D$7,[1]!rng_ForecastRowLookup,0),MATCH(J$11,[1]!rng_ForecastColumnLookup,0))</f>
        <v>915774.26212488639</v>
      </c>
      <c r="K14" s="137">
        <f ca="1">INDEX([1]!tbl_Forecast,MATCH($D$8&amp;$C14&amp;$D$7,[1]!rng_ForecastRowLookup,0),MATCH(K$11,[1]!rng_ForecastColumnLookup,0))</f>
        <v>913694.70561978838</v>
      </c>
      <c r="L14" s="137">
        <f ca="1">INDEX([1]!tbl_Forecast,MATCH($D$8&amp;$C14&amp;$D$7,[1]!rng_ForecastRowLookup,0),MATCH(L$11,[1]!rng_ForecastColumnLookup,0))</f>
        <v>911619.87140864041</v>
      </c>
      <c r="M14" s="137">
        <f ca="1">INDEX([1]!tbl_Forecast,MATCH($D$8&amp;$C14&amp;$D$7,[1]!rng_ForecastRowLookup,0),MATCH(M$11,[1]!rng_ForecastColumnLookup,0))</f>
        <v>909549.74876797362</v>
      </c>
      <c r="N14" s="137">
        <f ca="1">INDEX([1]!tbl_Forecast,MATCH($D$8&amp;$C14&amp;$D$7,[1]!rng_ForecastRowLookup,0),MATCH(N$11,[1]!rng_ForecastColumnLookup,0))</f>
        <v>907484.32699866977</v>
      </c>
      <c r="O14" s="137">
        <f ca="1">INDEX([1]!tbl_Forecast,MATCH($D$8&amp;$C14&amp;$D$7,[1]!rng_ForecastRowLookup,0),MATCH(O$11,[1]!rng_ForecastColumnLookup,0))</f>
        <v>905423.59542590659</v>
      </c>
      <c r="P14" s="137">
        <f ca="1">INDEX([1]!tbl_Forecast,MATCH($D$8&amp;$C14&amp;$D$7,[1]!rng_ForecastRowLookup,0),MATCH(P$11,[1]!rng_ForecastColumnLookup,0))</f>
        <v>903367.54339910217</v>
      </c>
      <c r="Q14" s="137">
        <f ca="1">INDEX([1]!tbl_Forecast,MATCH($D$8&amp;$C14&amp;$D$7,[1]!rng_ForecastRowLookup,0),MATCH(Q$11,[1]!rng_ForecastColumnLookup,0))</f>
        <v>901316.16029185988</v>
      </c>
      <c r="R14" s="137">
        <f ca="1">INDEX([1]!tbl_Forecast,MATCH($D$8&amp;$C14&amp;$D$7,[1]!rng_ForecastRowLookup,0),MATCH(R$11,[1]!rng_ForecastColumnLookup,0))</f>
        <v>899269.43550191447</v>
      </c>
      <c r="S14" s="137">
        <f ca="1">INDEX([1]!tbl_Forecast,MATCH($D$8&amp;$C14&amp;$D$7,[1]!rng_ForecastRowLookup,0),MATCH(S$11,[1]!rng_ForecastColumnLookup,0))</f>
        <v>897227.35845107585</v>
      </c>
      <c r="T14" s="137">
        <f ca="1">INDEX([1]!tbl_Forecast,MATCH($D$8&amp;$C14&amp;$D$7,[1]!rng_ForecastRowLookup,0),MATCH(T$11,[1]!rng_ForecastColumnLookup,0))</f>
        <v>895189.9185851753</v>
      </c>
      <c r="U14" s="137">
        <f ca="1">INDEX([1]!tbl_Forecast,MATCH($D$8&amp;$C14&amp;$D$7,[1]!rng_ForecastRowLookup,0),MATCH(U$11,[1]!rng_ForecastColumnLookup,0))</f>
        <v>893157.10537401051</v>
      </c>
      <c r="V14" s="137">
        <f ca="1">INDEX([1]!tbl_Forecast,MATCH($D$8&amp;$C14&amp;$D$7,[1]!rng_ForecastRowLookup,0),MATCH(V$11,[1]!rng_ForecastColumnLookup,0))</f>
        <v>891128.90831129183</v>
      </c>
      <c r="W14" s="137">
        <f ca="1">INDEX([1]!tbl_Forecast,MATCH($D$8&amp;$C14&amp;$D$7,[1]!rng_ForecastRowLookup,0),MATCH(W$11,[1]!rng_ForecastColumnLookup,0))</f>
        <v>889105.31691458682</v>
      </c>
      <c r="X14" s="137">
        <f ca="1">INDEX([1]!tbl_Forecast,MATCH($D$8&amp;$C14&amp;$D$7,[1]!rng_ForecastRowLookup,0),MATCH(X$11,[1]!rng_ForecastColumnLookup,0))</f>
        <v>887086.32072526717</v>
      </c>
      <c r="Y14" s="137"/>
      <c r="Z14" s="137"/>
    </row>
    <row r="15" spans="1:68">
      <c r="C15" s="34" t="s">
        <v>942</v>
      </c>
      <c r="E15" s="137">
        <f ca="1">INDEX([1]!tbl_Forecast,MATCH($D$8&amp;$C15&amp;$D$7,[1]!rng_ForecastRowLookup,0),MATCH(E$11,[1]!rng_ForecastColumnLookup,0))</f>
        <v>211180.07985625503</v>
      </c>
      <c r="F15" s="137">
        <f ca="1">INDEX([1]!tbl_Forecast,MATCH($D$8&amp;$C15&amp;$D$7,[1]!rng_ForecastRowLookup,0),MATCH(F$11,[1]!rng_ForecastColumnLookup,0))</f>
        <v>210700.52836963299</v>
      </c>
      <c r="G15" s="137">
        <f ca="1">INDEX([1]!tbl_Forecast,MATCH($D$8&amp;$C15&amp;$D$7,[1]!rng_ForecastRowLookup,0),MATCH(G$11,[1]!rng_ForecastColumnLookup,0))</f>
        <v>210222.06585706791</v>
      </c>
      <c r="H15" s="137">
        <f ca="1">INDEX([1]!tbl_Forecast,MATCH($D$8&amp;$C15&amp;$D$7,[1]!rng_ForecastRowLookup,0),MATCH(H$11,[1]!rng_ForecastColumnLookup,0))</f>
        <v>209744.68984569819</v>
      </c>
      <c r="I15" s="137">
        <f ca="1">INDEX([1]!tbl_Forecast,MATCH($D$8&amp;$C15&amp;$D$7,[1]!rng_ForecastRowLookup,0),MATCH(I$11,[1]!rng_ForecastColumnLookup,0))</f>
        <v>209268.39786827751</v>
      </c>
      <c r="J15" s="137">
        <f ca="1">INDEX([1]!tbl_Forecast,MATCH($D$8&amp;$C15&amp;$D$7,[1]!rng_ForecastRowLookup,0),MATCH(J$11,[1]!rng_ForecastColumnLookup,0))</f>
        <v>208793.18746316229</v>
      </c>
      <c r="K15" s="137">
        <f ca="1">INDEX([1]!tbl_Forecast,MATCH($D$8&amp;$C15&amp;$D$7,[1]!rng_ForecastRowLookup,0),MATCH(K$11,[1]!rng_ForecastColumnLookup,0))</f>
        <v>208319.05617429892</v>
      </c>
      <c r="L15" s="137">
        <f ca="1">INDEX([1]!tbl_Forecast,MATCH($D$8&amp;$C15&amp;$D$7,[1]!rng_ForecastRowLookup,0),MATCH(L$11,[1]!rng_ForecastColumnLookup,0))</f>
        <v>207846.00155121088</v>
      </c>
      <c r="M15" s="137">
        <f ca="1">INDEX([1]!tbl_Forecast,MATCH($D$8&amp;$C15&amp;$D$7,[1]!rng_ForecastRowLookup,0),MATCH(M$11,[1]!rng_ForecastColumnLookup,0))</f>
        <v>207374.0211489865</v>
      </c>
      <c r="N15" s="137">
        <f ca="1">INDEX([1]!tbl_Forecast,MATCH($D$8&amp;$C15&amp;$D$7,[1]!rng_ForecastRowLookup,0),MATCH(N$11,[1]!rng_ForecastColumnLookup,0))</f>
        <v>206903.11252826577</v>
      </c>
      <c r="O15" s="137">
        <f ca="1">INDEX([1]!tbl_Forecast,MATCH($D$8&amp;$C15&amp;$D$7,[1]!rng_ForecastRowLookup,0),MATCH(O$11,[1]!rng_ForecastColumnLookup,0))</f>
        <v>206433.27325522827</v>
      </c>
      <c r="P15" s="137">
        <f ca="1">INDEX([1]!tbl_Forecast,MATCH($D$8&amp;$C15&amp;$D$7,[1]!rng_ForecastRowLookup,0),MATCH(P$11,[1]!rng_ForecastColumnLookup,0))</f>
        <v>205964.50090158021</v>
      </c>
      <c r="Q15" s="137">
        <f ca="1">INDEX([1]!tbl_Forecast,MATCH($D$8&amp;$C15&amp;$D$7,[1]!rng_ForecastRowLookup,0),MATCH(Q$11,[1]!rng_ForecastColumnLookup,0))</f>
        <v>205496.79304454199</v>
      </c>
      <c r="R15" s="137">
        <f ca="1">INDEX([1]!tbl_Forecast,MATCH($D$8&amp;$C15&amp;$D$7,[1]!rng_ForecastRowLookup,0),MATCH(R$11,[1]!rng_ForecastColumnLookup,0))</f>
        <v>205030.14726683579</v>
      </c>
      <c r="S15" s="137">
        <f ca="1">INDEX([1]!tbl_Forecast,MATCH($D$8&amp;$C15&amp;$D$7,[1]!rng_ForecastRowLookup,0),MATCH(S$11,[1]!rng_ForecastColumnLookup,0))</f>
        <v>204564.56115667295</v>
      </c>
      <c r="T15" s="137">
        <f ca="1">INDEX([1]!tbl_Forecast,MATCH($D$8&amp;$C15&amp;$D$7,[1]!rng_ForecastRowLookup,0),MATCH(T$11,[1]!rng_ForecastColumnLookup,0))</f>
        <v>204100.03230774152</v>
      </c>
      <c r="U15" s="137">
        <f ca="1">INDEX([1]!tbl_Forecast,MATCH($D$8&amp;$C15&amp;$D$7,[1]!rng_ForecastRowLookup,0),MATCH(U$11,[1]!rng_ForecastColumnLookup,0))</f>
        <v>203636.55831919383</v>
      </c>
      <c r="V15" s="137">
        <f ca="1">INDEX([1]!tbl_Forecast,MATCH($D$8&amp;$C15&amp;$D$7,[1]!rng_ForecastRowLookup,0),MATCH(V$11,[1]!rng_ForecastColumnLookup,0))</f>
        <v>203174.13679563423</v>
      </c>
      <c r="W15" s="137">
        <f ca="1">INDEX([1]!tbl_Forecast,MATCH($D$8&amp;$C15&amp;$D$7,[1]!rng_ForecastRowLookup,0),MATCH(W$11,[1]!rng_ForecastColumnLookup,0))</f>
        <v>202712.76534710638</v>
      </c>
      <c r="X15" s="137">
        <f ca="1">INDEX([1]!tbl_Forecast,MATCH($D$8&amp;$C15&amp;$D$7,[1]!rng_ForecastRowLookup,0),MATCH(X$11,[1]!rng_ForecastColumnLookup,0))</f>
        <v>202252.44158908122</v>
      </c>
      <c r="Y15" s="137"/>
      <c r="Z15" s="137"/>
    </row>
    <row r="16" spans="1:68">
      <c r="C16" s="34" t="s">
        <v>931</v>
      </c>
      <c r="E16" s="137">
        <f ca="1">INDEX([1]!tbl_Forecast,MATCH($D$8&amp;$C16&amp;$D$7,[1]!rng_ForecastRowLookup,0),MATCH(E$11,[1]!rng_ForecastColumnLookup,0))</f>
        <v>572006.3278356482</v>
      </c>
      <c r="F16" s="137">
        <f ca="1">INDEX([1]!tbl_Forecast,MATCH($D$8&amp;$C16&amp;$D$7,[1]!rng_ForecastRowLookup,0),MATCH(F$11,[1]!rng_ForecastColumnLookup,0))</f>
        <v>565893.30394507048</v>
      </c>
      <c r="G16" s="137">
        <f ca="1">INDEX([1]!tbl_Forecast,MATCH($D$8&amp;$C16&amp;$D$7,[1]!rng_ForecastRowLookup,0),MATCH(G$11,[1]!rng_ForecastColumnLookup,0))</f>
        <v>559845.60985814757</v>
      </c>
      <c r="H16" s="137">
        <f ca="1">INDEX([1]!tbl_Forecast,MATCH($D$8&amp;$C16&amp;$D$7,[1]!rng_ForecastRowLookup,0),MATCH(H$11,[1]!rng_ForecastColumnLookup,0))</f>
        <v>553862.54739615123</v>
      </c>
      <c r="I16" s="137">
        <f ca="1">INDEX([1]!tbl_Forecast,MATCH($D$8&amp;$C16&amp;$D$7,[1]!rng_ForecastRowLookup,0),MATCH(I$11,[1]!rng_ForecastColumnLookup,0))</f>
        <v>547943.42584177968</v>
      </c>
      <c r="J16" s="137">
        <f ca="1">INDEX([1]!tbl_Forecast,MATCH($D$8&amp;$C16&amp;$D$7,[1]!rng_ForecastRowLookup,0),MATCH(J$11,[1]!rng_ForecastColumnLookup,0))</f>
        <v>542087.56185941794</v>
      </c>
      <c r="K16" s="137">
        <f ca="1">INDEX([1]!tbl_Forecast,MATCH($D$8&amp;$C16&amp;$D$7,[1]!rng_ForecastRowLookup,0),MATCH(K$11,[1]!rng_ForecastColumnLookup,0))</f>
        <v>536294.27941624937</v>
      </c>
      <c r="L16" s="137">
        <f ca="1">INDEX([1]!tbl_Forecast,MATCH($D$8&amp;$C16&amp;$D$7,[1]!rng_ForecastRowLookup,0),MATCH(L$11,[1]!rng_ForecastColumnLookup,0))</f>
        <v>530562.90970421082</v>
      </c>
      <c r="M16" s="137">
        <f ca="1">INDEX([1]!tbl_Forecast,MATCH($D$8&amp;$C16&amp;$D$7,[1]!rng_ForecastRowLookup,0),MATCH(M$11,[1]!rng_ForecastColumnLookup,0))</f>
        <v>524892.79106278194</v>
      </c>
      <c r="N16" s="137">
        <f ca="1">INDEX([1]!tbl_Forecast,MATCH($D$8&amp;$C16&amp;$D$7,[1]!rng_ForecastRowLookup,0),MATCH(N$11,[1]!rng_ForecastColumnLookup,0))</f>
        <v>519283.26890259917</v>
      </c>
      <c r="O16" s="137">
        <f ca="1">INDEX([1]!tbl_Forecast,MATCH($D$8&amp;$C16&amp;$D$7,[1]!rng_ForecastRowLookup,0),MATCH(O$11,[1]!rng_ForecastColumnLookup,0))</f>
        <v>513733.69562988722</v>
      </c>
      <c r="P16" s="137">
        <f ca="1">INDEX([1]!tbl_Forecast,MATCH($D$8&amp;$C16&amp;$D$7,[1]!rng_ForecastRowLookup,0),MATCH(P$11,[1]!rng_ForecastColumnLookup,0))</f>
        <v>508243.4305716962</v>
      </c>
      <c r="Q16" s="137">
        <f ca="1">INDEX([1]!tbl_Forecast,MATCH($D$8&amp;$C16&amp;$D$7,[1]!rng_ForecastRowLookup,0),MATCH(Q$11,[1]!rng_ForecastColumnLookup,0))</f>
        <v>502811.8399019395</v>
      </c>
      <c r="R16" s="137">
        <f ca="1">INDEX([1]!tbl_Forecast,MATCH($D$8&amp;$C16&amp;$D$7,[1]!rng_ForecastRowLookup,0),MATCH(R$11,[1]!rng_ForecastColumnLookup,0))</f>
        <v>497438.2965682213</v>
      </c>
      <c r="S16" s="137">
        <f ca="1">INDEX([1]!tbl_Forecast,MATCH($D$8&amp;$C16&amp;$D$7,[1]!rng_ForecastRowLookup,0),MATCH(S$11,[1]!rng_ForecastColumnLookup,0))</f>
        <v>492122.18021944637</v>
      </c>
      <c r="T16" s="137">
        <f ca="1">INDEX([1]!tbl_Forecast,MATCH($D$8&amp;$C16&amp;$D$7,[1]!rng_ForecastRowLookup,0),MATCH(T$11,[1]!rng_ForecastColumnLookup,0))</f>
        <v>486862.87713420321</v>
      </c>
      <c r="U16" s="137">
        <f ca="1">INDEX([1]!tbl_Forecast,MATCH($D$8&amp;$C16&amp;$D$7,[1]!rng_ForecastRowLookup,0),MATCH(U$11,[1]!rng_ForecastColumnLookup,0))</f>
        <v>481659.78014991269</v>
      </c>
      <c r="V16" s="137">
        <f ca="1">INDEX([1]!tbl_Forecast,MATCH($D$8&amp;$C16&amp;$D$7,[1]!rng_ForecastRowLookup,0),MATCH(V$11,[1]!rng_ForecastColumnLookup,0))</f>
        <v>476512.28859273402</v>
      </c>
      <c r="W16" s="137">
        <f ca="1">INDEX([1]!tbl_Forecast,MATCH($D$8&amp;$C16&amp;$D$7,[1]!rng_ForecastRowLookup,0),MATCH(W$11,[1]!rng_ForecastColumnLookup,0))</f>
        <v>471419.80820821953</v>
      </c>
      <c r="X16" s="137">
        <f ca="1">INDEX([1]!tbl_Forecast,MATCH($D$8&amp;$C16&amp;$D$7,[1]!rng_ForecastRowLookup,0),MATCH(X$11,[1]!rng_ForecastColumnLookup,0))</f>
        <v>466381.75109271082</v>
      </c>
      <c r="Y16" s="137"/>
      <c r="Z16" s="137"/>
    </row>
    <row r="17" spans="1:32">
      <c r="E17" s="137"/>
      <c r="F17" s="137"/>
      <c r="G17" s="137"/>
      <c r="H17" s="137"/>
      <c r="I17" s="137"/>
      <c r="J17" s="137"/>
      <c r="K17" s="137"/>
      <c r="L17" s="137"/>
      <c r="M17" s="137"/>
      <c r="N17" s="137"/>
      <c r="O17" s="137"/>
      <c r="P17" s="137"/>
      <c r="Q17" s="137"/>
      <c r="R17" s="137"/>
      <c r="S17" s="137"/>
      <c r="T17" s="137"/>
      <c r="U17" s="137"/>
      <c r="V17" s="137"/>
      <c r="W17" s="137"/>
      <c r="X17" s="137"/>
      <c r="Y17" s="137"/>
    </row>
    <row r="18" spans="1:32">
      <c r="B18" s="34" t="s">
        <v>981</v>
      </c>
      <c r="C18" s="34" t="s">
        <v>982</v>
      </c>
      <c r="E18" s="137">
        <f t="shared" ref="E18:X18" ca="1" si="1">SUM(E13:E16)</f>
        <v>5912957.9357845243</v>
      </c>
      <c r="F18" s="137">
        <f t="shared" ca="1" si="1"/>
        <v>5894716.7373226183</v>
      </c>
      <c r="G18" s="137">
        <f t="shared" ca="1" si="1"/>
        <v>5876568.4091907088</v>
      </c>
      <c r="H18" s="137">
        <f t="shared" ca="1" si="1"/>
        <v>5858512.1906713378</v>
      </c>
      <c r="I18" s="137">
        <f t="shared" ca="1" si="1"/>
        <v>5840547.3286504922</v>
      </c>
      <c r="J18" s="137">
        <f t="shared" ca="1" si="1"/>
        <v>5822673.077537531</v>
      </c>
      <c r="K18" s="137">
        <f t="shared" ca="1" si="1"/>
        <v>5804888.6991859814</v>
      </c>
      <c r="L18" s="137">
        <f t="shared" ca="1" si="1"/>
        <v>5787193.462815172</v>
      </c>
      <c r="M18" s="137">
        <f t="shared" ca="1" si="1"/>
        <v>5769586.6449326966</v>
      </c>
      <c r="N18" s="137">
        <f t="shared" ca="1" si="1"/>
        <v>5752067.5292577213</v>
      </c>
      <c r="O18" s="137">
        <f t="shared" ca="1" si="1"/>
        <v>5734635.406645081</v>
      </c>
      <c r="P18" s="137">
        <f t="shared" ca="1" si="1"/>
        <v>5717289.5750102066</v>
      </c>
      <c r="Q18" s="137">
        <f t="shared" ca="1" si="1"/>
        <v>5700029.3392548524</v>
      </c>
      <c r="R18" s="137">
        <f t="shared" ca="1" si="1"/>
        <v>5682854.0111935912</v>
      </c>
      <c r="S18" s="137">
        <f t="shared" ca="1" si="1"/>
        <v>5665762.9094811222</v>
      </c>
      <c r="T18" s="137">
        <f t="shared" ca="1" si="1"/>
        <v>5648755.3595403275</v>
      </c>
      <c r="U18" s="137">
        <f t="shared" ca="1" si="1"/>
        <v>5631830.6934911208</v>
      </c>
      <c r="V18" s="137">
        <f t="shared" ca="1" si="1"/>
        <v>5614988.250080023</v>
      </c>
      <c r="W18" s="137">
        <f t="shared" ca="1" si="1"/>
        <v>5598227.3746105134</v>
      </c>
      <c r="X18" s="137">
        <f t="shared" ca="1" si="1"/>
        <v>5581547.4188741138</v>
      </c>
      <c r="Y18" s="137"/>
      <c r="Z18" s="137"/>
    </row>
    <row r="19" spans="1:32">
      <c r="E19" s="137"/>
      <c r="F19" s="137"/>
      <c r="G19" s="137"/>
      <c r="H19" s="137"/>
      <c r="I19" s="137"/>
      <c r="J19" s="137"/>
      <c r="K19" s="137"/>
      <c r="L19" s="137"/>
      <c r="M19" s="137"/>
      <c r="N19" s="137"/>
      <c r="O19" s="137"/>
      <c r="P19" s="137"/>
      <c r="Q19" s="137"/>
      <c r="R19" s="137"/>
      <c r="S19" s="137"/>
      <c r="T19" s="137"/>
      <c r="U19" s="137"/>
      <c r="V19" s="137"/>
      <c r="W19" s="137"/>
      <c r="X19" s="137"/>
      <c r="Y19" s="137"/>
    </row>
    <row r="20" spans="1:32">
      <c r="E20" s="137"/>
      <c r="F20" s="137"/>
      <c r="G20" s="137"/>
      <c r="H20" s="137"/>
      <c r="I20" s="137"/>
      <c r="J20" s="137"/>
      <c r="K20" s="137"/>
      <c r="L20" s="137"/>
      <c r="M20" s="137"/>
      <c r="N20" s="137"/>
      <c r="O20" s="137"/>
      <c r="P20" s="137"/>
      <c r="Q20" s="137"/>
      <c r="R20" s="137"/>
      <c r="S20" s="137"/>
      <c r="T20" s="137"/>
      <c r="U20" s="137"/>
      <c r="V20" s="137"/>
      <c r="W20" s="137"/>
      <c r="X20" s="137"/>
      <c r="Y20" s="137"/>
    </row>
    <row r="21" spans="1:32" ht="15">
      <c r="A21" s="538" t="s">
        <v>1069</v>
      </c>
      <c r="E21" s="137"/>
      <c r="F21" s="137"/>
      <c r="G21" s="137"/>
      <c r="H21" s="137"/>
      <c r="I21" s="137"/>
      <c r="J21" s="137"/>
      <c r="K21" s="137"/>
      <c r="L21" s="137"/>
      <c r="M21" s="137"/>
      <c r="N21" s="137"/>
      <c r="O21" s="137"/>
      <c r="P21" s="137"/>
      <c r="Q21" s="137"/>
      <c r="R21" s="137"/>
      <c r="S21" s="137"/>
      <c r="T21" s="137"/>
      <c r="U21" s="137"/>
      <c r="V21" s="137"/>
      <c r="W21" s="137"/>
      <c r="X21" s="137"/>
      <c r="Y21" s="137"/>
    </row>
    <row r="22" spans="1:32" ht="15">
      <c r="A22" s="34" t="s">
        <v>1070</v>
      </c>
      <c r="E22" s="536">
        <v>1</v>
      </c>
      <c r="F22" s="536">
        <v>2</v>
      </c>
      <c r="G22" s="536">
        <v>3</v>
      </c>
      <c r="H22" s="536">
        <v>4</v>
      </c>
      <c r="I22" s="536">
        <v>5</v>
      </c>
      <c r="J22" s="536">
        <v>6</v>
      </c>
      <c r="K22" s="536">
        <v>7</v>
      </c>
      <c r="L22" s="536">
        <v>8</v>
      </c>
      <c r="M22" s="536">
        <v>9</v>
      </c>
      <c r="N22" s="536">
        <v>10</v>
      </c>
      <c r="O22" s="536">
        <v>11</v>
      </c>
      <c r="P22" s="536">
        <v>12</v>
      </c>
      <c r="Q22" s="536">
        <v>13</v>
      </c>
      <c r="R22" s="536">
        <v>14</v>
      </c>
      <c r="S22" s="536">
        <v>15</v>
      </c>
      <c r="T22" s="536">
        <v>16</v>
      </c>
      <c r="U22" s="536">
        <v>17</v>
      </c>
      <c r="V22" s="536">
        <v>18</v>
      </c>
      <c r="W22" s="536">
        <v>19</v>
      </c>
      <c r="X22" s="536">
        <v>20</v>
      </c>
      <c r="Y22" s="536"/>
    </row>
    <row r="23" spans="1:32">
      <c r="C23" s="34" t="str">
        <f>C13</f>
        <v>Single Family</v>
      </c>
      <c r="E23" s="137">
        <f>IF(E$22&lt;=1/$C$43,0,INDEX('SC-New'!$E136:$Y139,1,E$22-ROUND(1/$C$43,0)))</f>
        <v>0</v>
      </c>
      <c r="F23" s="137">
        <f>IF(F$22&lt;=1/$C$43,0,INDEX('SC-New'!$E136:$Y139,1,F$22-ROUND(1/$C$43,0)))</f>
        <v>0</v>
      </c>
      <c r="G23" s="137">
        <f>IF(G$22&lt;=1/$C$43,0,INDEX('SC-New'!$E136:$Y139,1,G$22-ROUND(1/$C$43,0)))</f>
        <v>0</v>
      </c>
      <c r="H23" s="137">
        <f>IF(H$22&lt;=1/$C$43,0,INDEX('SC-New'!$E136:$Y139,1,H$22-ROUND(1/$C$43,0)))</f>
        <v>0</v>
      </c>
      <c r="I23" s="137">
        <f>IF(I$22&lt;=1/$C$43,0,INDEX('SC-New'!$E136:$Y139,1,I$22-ROUND(1/$C$43,0)))</f>
        <v>0</v>
      </c>
      <c r="J23" s="137">
        <f>IF(J$22&lt;=1/$C$43,0,INDEX('SC-New'!$E136:$Y139,1,J$22-ROUND(1/$C$43,0)))</f>
        <v>0</v>
      </c>
      <c r="K23" s="137">
        <f>IF(K$22&lt;=1/$C$43,0,INDEX('SC-New'!$E136:$Y139,1,K$22-ROUND(1/$C$43,0)))</f>
        <v>0</v>
      </c>
      <c r="L23" s="137">
        <f>IF(L$22&lt;=1/$C$43,0,INDEX('SC-New'!$E136:$Y139,1,L$22-ROUND(1/$C$43,0)))</f>
        <v>0</v>
      </c>
      <c r="M23" s="137">
        <f>IF(M$22&lt;=1/$C$43,0,INDEX('SC-New'!$E136:$Y139,1,M$22-ROUND(1/$C$43,0)))</f>
        <v>0</v>
      </c>
      <c r="N23" s="137">
        <f>IF(N$22&lt;=1/$C$43,0,INDEX('SC-New'!$E136:$Y139,1,N$22-ROUND(1/$C$43,0)))</f>
        <v>0</v>
      </c>
      <c r="O23" s="137">
        <f>IF(O$22&lt;=1/$C$43,0,INDEX('SC-New'!$E136:$Y139,1,O$22-ROUND(1/$C$43,0)))</f>
        <v>0</v>
      </c>
      <c r="P23" s="137">
        <f>IF(P$22&lt;=1/$C$43,0,INDEX('SC-New'!$E136:$Y139,1,P$22-ROUND(1/$C$43,0)))</f>
        <v>0</v>
      </c>
      <c r="Q23" s="137">
        <f>IF(Q$22&lt;=1/$C$43,0,INDEX('SC-New'!$E136:$Y139,1,Q$22-ROUND(1/$C$43,0)))</f>
        <v>0</v>
      </c>
      <c r="R23" s="137">
        <f>IF(R$22&lt;=1/$C$43,0,INDEX('SC-New'!$E136:$Y139,1,R$22-ROUND(1/$C$43,0)))</f>
        <v>0</v>
      </c>
      <c r="S23" s="137">
        <f>IF(S$22&lt;=1/$C$43,0,INDEX('SC-New'!$E136:$Y139,1,S$22-ROUND(1/$C$43,0)))</f>
        <v>0</v>
      </c>
      <c r="T23" s="137">
        <f ca="1">IF(T$22&lt;=1/$C$43,0,INDEX('SC-New'!$E136:$Y139,1,T$22-ROUND(1/$C$43,0)))</f>
        <v>56857.963939455607</v>
      </c>
      <c r="U23" s="137">
        <f ca="1">IF(U$22&lt;=1/$C$43,0,INDEX('SC-New'!$E136:$Y139,1,U$22-ROUND(1/$C$43,0)))</f>
        <v>48812.678661357357</v>
      </c>
      <c r="V23" s="137">
        <f ca="1">IF(V$22&lt;=1/$C$43,0,INDEX('SC-New'!$E136:$Y139,1,V$22-ROUND(1/$C$43,0)))</f>
        <v>40982.709581956973</v>
      </c>
      <c r="W23" s="137">
        <f ca="1">IF(W$22&lt;=1/$C$43,0,INDEX('SC-New'!$E136:$Y139,1,W$22-ROUND(1/$C$43,0)))</f>
        <v>34537.650127081753</v>
      </c>
      <c r="X23" s="137">
        <f ca="1">IF(X$22&lt;=1/$C$43,0,INDEX('SC-New'!$E136:$Y139,1,X$22-ROUND(1/$C$43,0)))</f>
        <v>28634.951304740971</v>
      </c>
      <c r="Y23" s="137"/>
      <c r="Z23" s="137"/>
      <c r="AB23" s="137"/>
      <c r="AC23" s="137"/>
      <c r="AD23" s="137"/>
      <c r="AE23" s="137"/>
      <c r="AF23" s="137"/>
    </row>
    <row r="24" spans="1:32">
      <c r="C24" s="34" t="str">
        <f t="shared" ref="C24:C26" si="2">C14</f>
        <v>Multifamily - Low Rise</v>
      </c>
      <c r="E24" s="137">
        <f>IF(E$22&lt;=1/$C$43,0,INDEX('SC-New'!$E137:$Y140,1,E$22-ROUND(1/$C$43,0)))</f>
        <v>0</v>
      </c>
      <c r="F24" s="137">
        <f>IF(F$22&lt;=1/$C$43,0,INDEX('SC-New'!$E137:$Y140,1,F$22-ROUND(1/$C$43,0)))</f>
        <v>0</v>
      </c>
      <c r="G24" s="137">
        <f>IF(G$22&lt;=1/$C$43,0,INDEX('SC-New'!$E137:$Y140,1,G$22-ROUND(1/$C$43,0)))</f>
        <v>0</v>
      </c>
      <c r="H24" s="137">
        <f>IF(H$22&lt;=1/$C$43,0,INDEX('SC-New'!$E137:$Y140,1,H$22-ROUND(1/$C$43,0)))</f>
        <v>0</v>
      </c>
      <c r="I24" s="137">
        <f>IF(I$22&lt;=1/$C$43,0,INDEX('SC-New'!$E137:$Y140,1,I$22-ROUND(1/$C$43,0)))</f>
        <v>0</v>
      </c>
      <c r="J24" s="137">
        <f>IF(J$22&lt;=1/$C$43,0,INDEX('SC-New'!$E137:$Y140,1,J$22-ROUND(1/$C$43,0)))</f>
        <v>0</v>
      </c>
      <c r="K24" s="137">
        <f>IF(K$22&lt;=1/$C$43,0,INDEX('SC-New'!$E137:$Y140,1,K$22-ROUND(1/$C$43,0)))</f>
        <v>0</v>
      </c>
      <c r="L24" s="137">
        <f>IF(L$22&lt;=1/$C$43,0,INDEX('SC-New'!$E137:$Y140,1,L$22-ROUND(1/$C$43,0)))</f>
        <v>0</v>
      </c>
      <c r="M24" s="137">
        <f>IF(M$22&lt;=1/$C$43,0,INDEX('SC-New'!$E137:$Y140,1,M$22-ROUND(1/$C$43,0)))</f>
        <v>0</v>
      </c>
      <c r="N24" s="137">
        <f>IF(N$22&lt;=1/$C$43,0,INDEX('SC-New'!$E137:$Y140,1,N$22-ROUND(1/$C$43,0)))</f>
        <v>0</v>
      </c>
      <c r="O24" s="137">
        <f>IF(O$22&lt;=1/$C$43,0,INDEX('SC-New'!$E137:$Y140,1,O$22-ROUND(1/$C$43,0)))</f>
        <v>0</v>
      </c>
      <c r="P24" s="137">
        <f>IF(P$22&lt;=1/$C$43,0,INDEX('SC-New'!$E137:$Y140,1,P$22-ROUND(1/$C$43,0)))</f>
        <v>0</v>
      </c>
      <c r="Q24" s="137">
        <f>IF(Q$22&lt;=1/$C$43,0,INDEX('SC-New'!$E137:$Y140,1,Q$22-ROUND(1/$C$43,0)))</f>
        <v>0</v>
      </c>
      <c r="R24" s="137">
        <f>IF(R$22&lt;=1/$C$43,0,INDEX('SC-New'!$E137:$Y140,1,R$22-ROUND(1/$C$43,0)))</f>
        <v>0</v>
      </c>
      <c r="S24" s="137">
        <f>IF(S$22&lt;=1/$C$43,0,INDEX('SC-New'!$E137:$Y140,1,S$22-ROUND(1/$C$43,0)))</f>
        <v>0</v>
      </c>
      <c r="T24" s="137">
        <f ca="1">IF(T$22&lt;=1/$C$43,0,INDEX('SC-New'!$E137:$Y140,1,T$22-ROUND(1/$C$43,0)))</f>
        <v>21116.010351908502</v>
      </c>
      <c r="U24" s="137">
        <f ca="1">IF(U$22&lt;=1/$C$43,0,INDEX('SC-New'!$E137:$Y140,1,U$22-ROUND(1/$C$43,0)))</f>
        <v>18737.632786860901</v>
      </c>
      <c r="V24" s="137">
        <f ca="1">IF(V$22&lt;=1/$C$43,0,INDEX('SC-New'!$E137:$Y140,1,V$22-ROUND(1/$C$43,0)))</f>
        <v>16449.331913906208</v>
      </c>
      <c r="W24" s="137">
        <f ca="1">IF(W$22&lt;=1/$C$43,0,INDEX('SC-New'!$E137:$Y140,1,W$22-ROUND(1/$C$43,0)))</f>
        <v>13872.746661202877</v>
      </c>
      <c r="X24" s="137">
        <f ca="1">IF(X$22&lt;=1/$C$43,0,INDEX('SC-New'!$E137:$Y140,1,X$22-ROUND(1/$C$43,0)))</f>
        <v>11140.840491344446</v>
      </c>
      <c r="Y24" s="137"/>
      <c r="Z24" s="137"/>
      <c r="AB24" s="137"/>
      <c r="AC24" s="137"/>
      <c r="AD24" s="137"/>
      <c r="AE24" s="137"/>
      <c r="AF24" s="137"/>
    </row>
    <row r="25" spans="1:32">
      <c r="C25" s="34" t="str">
        <f t="shared" si="2"/>
        <v>Multifamily - High Rise</v>
      </c>
      <c r="E25" s="137">
        <f>IF(E$22&lt;=1/$C$43,0,INDEX('SC-New'!$E138:$Y141,1,E$22-ROUND(1/$C$43,0)))</f>
        <v>0</v>
      </c>
      <c r="F25" s="137">
        <f>IF(F$22&lt;=1/$C$43,0,INDEX('SC-New'!$E138:$Y141,1,F$22-ROUND(1/$C$43,0)))</f>
        <v>0</v>
      </c>
      <c r="G25" s="137">
        <f>IF(G$22&lt;=1/$C$43,0,INDEX('SC-New'!$E138:$Y141,1,G$22-ROUND(1/$C$43,0)))</f>
        <v>0</v>
      </c>
      <c r="H25" s="137">
        <f>IF(H$22&lt;=1/$C$43,0,INDEX('SC-New'!$E138:$Y141,1,H$22-ROUND(1/$C$43,0)))</f>
        <v>0</v>
      </c>
      <c r="I25" s="137">
        <f>IF(I$22&lt;=1/$C$43,0,INDEX('SC-New'!$E138:$Y141,1,I$22-ROUND(1/$C$43,0)))</f>
        <v>0</v>
      </c>
      <c r="J25" s="137">
        <f>IF(J$22&lt;=1/$C$43,0,INDEX('SC-New'!$E138:$Y141,1,J$22-ROUND(1/$C$43,0)))</f>
        <v>0</v>
      </c>
      <c r="K25" s="137">
        <f>IF(K$22&lt;=1/$C$43,0,INDEX('SC-New'!$E138:$Y141,1,K$22-ROUND(1/$C$43,0)))</f>
        <v>0</v>
      </c>
      <c r="L25" s="137">
        <f>IF(L$22&lt;=1/$C$43,0,INDEX('SC-New'!$E138:$Y141,1,L$22-ROUND(1/$C$43,0)))</f>
        <v>0</v>
      </c>
      <c r="M25" s="137">
        <f>IF(M$22&lt;=1/$C$43,0,INDEX('SC-New'!$E138:$Y141,1,M$22-ROUND(1/$C$43,0)))</f>
        <v>0</v>
      </c>
      <c r="N25" s="137">
        <f>IF(N$22&lt;=1/$C$43,0,INDEX('SC-New'!$E138:$Y141,1,N$22-ROUND(1/$C$43,0)))</f>
        <v>0</v>
      </c>
      <c r="O25" s="137">
        <f>IF(O$22&lt;=1/$C$43,0,INDEX('SC-New'!$E138:$Y141,1,O$22-ROUND(1/$C$43,0)))</f>
        <v>0</v>
      </c>
      <c r="P25" s="137">
        <f>IF(P$22&lt;=1/$C$43,0,INDEX('SC-New'!$E138:$Y141,1,P$22-ROUND(1/$C$43,0)))</f>
        <v>0</v>
      </c>
      <c r="Q25" s="137">
        <f>IF(Q$22&lt;=1/$C$43,0,INDEX('SC-New'!$E138:$Y141,1,Q$22-ROUND(1/$C$43,0)))</f>
        <v>0</v>
      </c>
      <c r="R25" s="137">
        <f>IF(R$22&lt;=1/$C$43,0,INDEX('SC-New'!$E138:$Y141,1,R$22-ROUND(1/$C$43,0)))</f>
        <v>0</v>
      </c>
      <c r="S25" s="137">
        <f>IF(S$22&lt;=1/$C$43,0,INDEX('SC-New'!$E138:$Y141,1,S$22-ROUND(1/$C$43,0)))</f>
        <v>0</v>
      </c>
      <c r="T25" s="137">
        <f ca="1">IF(T$22&lt;=1/$C$43,0,INDEX('SC-New'!$E138:$Y141,1,T$22-ROUND(1/$C$43,0)))</f>
        <v>4740.3636587321453</v>
      </c>
      <c r="U25" s="137">
        <f ca="1">IF(U$22&lt;=1/$C$43,0,INDEX('SC-New'!$E138:$Y141,1,U$22-ROUND(1/$C$43,0)))</f>
        <v>4265.6529534677429</v>
      </c>
      <c r="V25" s="137">
        <f ca="1">IF(V$22&lt;=1/$C$43,0,INDEX('SC-New'!$E138:$Y141,1,V$22-ROUND(1/$C$43,0)))</f>
        <v>3801.0790089740535</v>
      </c>
      <c r="W25" s="137">
        <f ca="1">IF(W$22&lt;=1/$C$43,0,INDEX('SC-New'!$E138:$Y141,1,W$22-ROUND(1/$C$43,0)))</f>
        <v>3131.7649776537237</v>
      </c>
      <c r="X25" s="137">
        <f ca="1">IF(X$22&lt;=1/$C$43,0,INDEX('SC-New'!$E138:$Y141,1,X$22-ROUND(1/$C$43,0)))</f>
        <v>2466.3243250460291</v>
      </c>
      <c r="Y25" s="137"/>
      <c r="Z25" s="137"/>
      <c r="AB25" s="137"/>
      <c r="AC25" s="137"/>
      <c r="AD25" s="137"/>
      <c r="AE25" s="137"/>
      <c r="AF25" s="137"/>
    </row>
    <row r="26" spans="1:32">
      <c r="C26" s="34" t="str">
        <f t="shared" si="2"/>
        <v>Manufactured</v>
      </c>
      <c r="E26" s="137">
        <f>IF(E$22&lt;=1/$C$43,0,INDEX('SC-New'!$E139:$Y142,1,E$22-ROUND(1/$C$43,0)))</f>
        <v>0</v>
      </c>
      <c r="F26" s="137">
        <f>IF(F$22&lt;=1/$C$43,0,INDEX('SC-New'!$E139:$Y142,1,F$22-ROUND(1/$C$43,0)))</f>
        <v>0</v>
      </c>
      <c r="G26" s="137">
        <f>IF(G$22&lt;=1/$C$43,0,INDEX('SC-New'!$E139:$Y142,1,G$22-ROUND(1/$C$43,0)))</f>
        <v>0</v>
      </c>
      <c r="H26" s="137">
        <f>IF(H$22&lt;=1/$C$43,0,INDEX('SC-New'!$E139:$Y142,1,H$22-ROUND(1/$C$43,0)))</f>
        <v>0</v>
      </c>
      <c r="I26" s="137">
        <f>IF(I$22&lt;=1/$C$43,0,INDEX('SC-New'!$E139:$Y142,1,I$22-ROUND(1/$C$43,0)))</f>
        <v>0</v>
      </c>
      <c r="J26" s="137">
        <f>IF(J$22&lt;=1/$C$43,0,INDEX('SC-New'!$E139:$Y142,1,J$22-ROUND(1/$C$43,0)))</f>
        <v>0</v>
      </c>
      <c r="K26" s="137">
        <f>IF(K$22&lt;=1/$C$43,0,INDEX('SC-New'!$E139:$Y142,1,K$22-ROUND(1/$C$43,0)))</f>
        <v>0</v>
      </c>
      <c r="L26" s="137">
        <f>IF(L$22&lt;=1/$C$43,0,INDEX('SC-New'!$E139:$Y142,1,L$22-ROUND(1/$C$43,0)))</f>
        <v>0</v>
      </c>
      <c r="M26" s="137">
        <f>IF(M$22&lt;=1/$C$43,0,INDEX('SC-New'!$E139:$Y142,1,M$22-ROUND(1/$C$43,0)))</f>
        <v>0</v>
      </c>
      <c r="N26" s="137">
        <f>IF(N$22&lt;=1/$C$43,0,INDEX('SC-New'!$E139:$Y142,1,N$22-ROUND(1/$C$43,0)))</f>
        <v>0</v>
      </c>
      <c r="O26" s="137">
        <f>IF(O$22&lt;=1/$C$43,0,INDEX('SC-New'!$E139:$Y142,1,O$22-ROUND(1/$C$43,0)))</f>
        <v>0</v>
      </c>
      <c r="P26" s="137">
        <f>IF(P$22&lt;=1/$C$43,0,INDEX('SC-New'!$E139:$Y142,1,P$22-ROUND(1/$C$43,0)))</f>
        <v>0</v>
      </c>
      <c r="Q26" s="137">
        <f>IF(Q$22&lt;=1/$C$43,0,INDEX('SC-New'!$E139:$Y142,1,Q$22-ROUND(1/$C$43,0)))</f>
        <v>0</v>
      </c>
      <c r="R26" s="137">
        <f>IF(R$22&lt;=1/$C$43,0,INDEX('SC-New'!$E139:$Y142,1,R$22-ROUND(1/$C$43,0)))</f>
        <v>0</v>
      </c>
      <c r="S26" s="137">
        <f>IF(S$22&lt;=1/$C$43,0,INDEX('SC-New'!$E139:$Y142,1,S$22-ROUND(1/$C$43,0)))</f>
        <v>0</v>
      </c>
      <c r="T26" s="137">
        <f ca="1">IF(T$22&lt;=1/$C$43,0,INDEX('SC-New'!$E139:$Y142,1,T$22-ROUND(1/$C$43,0)))</f>
        <v>1695.763960756186</v>
      </c>
      <c r="U26" s="137">
        <f ca="1">IF(U$22&lt;=1/$C$43,0,INDEX('SC-New'!$E139:$Y142,1,U$22-ROUND(1/$C$43,0)))</f>
        <v>1531.901101937663</v>
      </c>
      <c r="V26" s="137">
        <f ca="1">IF(V$22&lt;=1/$C$43,0,INDEX('SC-New'!$E139:$Y142,1,V$22-ROUND(1/$C$43,0)))</f>
        <v>1405.5103768750018</v>
      </c>
      <c r="W26" s="137">
        <f ca="1">IF(W$22&lt;=1/$C$43,0,INDEX('SC-New'!$E139:$Y142,1,W$22-ROUND(1/$C$43,0)))</f>
        <v>1269.5667495369767</v>
      </c>
      <c r="X26" s="137">
        <f ca="1">IF(X$22&lt;=1/$C$43,0,INDEX('SC-New'!$E139:$Y142,1,X$22-ROUND(1/$C$43,0)))</f>
        <v>1048.6453497725279</v>
      </c>
      <c r="Y26" s="137"/>
      <c r="Z26" s="137"/>
      <c r="AB26" s="137"/>
      <c r="AC26" s="137"/>
      <c r="AD26" s="137"/>
      <c r="AE26" s="137"/>
      <c r="AF26" s="137"/>
    </row>
    <row r="27" spans="1:32">
      <c r="E27" s="137"/>
      <c r="F27" s="137"/>
      <c r="G27" s="137"/>
      <c r="H27" s="137"/>
      <c r="I27" s="137"/>
      <c r="J27" s="137"/>
      <c r="K27" s="137"/>
      <c r="L27" s="137"/>
      <c r="M27" s="137"/>
      <c r="N27" s="137"/>
      <c r="O27" s="137"/>
      <c r="P27" s="137"/>
      <c r="Q27" s="137"/>
      <c r="R27" s="137"/>
      <c r="S27" s="137"/>
      <c r="T27" s="137"/>
      <c r="U27" s="137"/>
      <c r="V27" s="137"/>
      <c r="W27" s="137"/>
      <c r="X27" s="137"/>
      <c r="Y27" s="137"/>
      <c r="Z27" s="137"/>
      <c r="AB27" s="137"/>
      <c r="AC27" s="137"/>
      <c r="AD27" s="137"/>
      <c r="AE27" s="137"/>
      <c r="AF27" s="137"/>
    </row>
    <row r="28" spans="1:32">
      <c r="C28" s="34" t="s">
        <v>1071</v>
      </c>
      <c r="E28" s="137">
        <f t="shared" ref="E28:X28" si="3">SUM(E23:E26)</f>
        <v>0</v>
      </c>
      <c r="F28" s="137">
        <f t="shared" si="3"/>
        <v>0</v>
      </c>
      <c r="G28" s="137">
        <f t="shared" si="3"/>
        <v>0</v>
      </c>
      <c r="H28" s="137">
        <f t="shared" si="3"/>
        <v>0</v>
      </c>
      <c r="I28" s="137">
        <f t="shared" si="3"/>
        <v>0</v>
      </c>
      <c r="J28" s="137">
        <f t="shared" si="3"/>
        <v>0</v>
      </c>
      <c r="K28" s="137">
        <f t="shared" si="3"/>
        <v>0</v>
      </c>
      <c r="L28" s="137">
        <f t="shared" si="3"/>
        <v>0</v>
      </c>
      <c r="M28" s="137">
        <f t="shared" si="3"/>
        <v>0</v>
      </c>
      <c r="N28" s="137">
        <f t="shared" si="3"/>
        <v>0</v>
      </c>
      <c r="O28" s="137">
        <f t="shared" si="3"/>
        <v>0</v>
      </c>
      <c r="P28" s="137">
        <f t="shared" si="3"/>
        <v>0</v>
      </c>
      <c r="Q28" s="137">
        <f t="shared" si="3"/>
        <v>0</v>
      </c>
      <c r="R28" s="137">
        <f t="shared" si="3"/>
        <v>0</v>
      </c>
      <c r="S28" s="137">
        <f t="shared" si="3"/>
        <v>0</v>
      </c>
      <c r="T28" s="137">
        <f t="shared" ca="1" si="3"/>
        <v>84410.101910852449</v>
      </c>
      <c r="U28" s="137">
        <f t="shared" ca="1" si="3"/>
        <v>73347.86550362366</v>
      </c>
      <c r="V28" s="137">
        <f t="shared" ca="1" si="3"/>
        <v>62638.630881712241</v>
      </c>
      <c r="W28" s="137">
        <f t="shared" ca="1" si="3"/>
        <v>52811.728515475334</v>
      </c>
      <c r="X28" s="137">
        <f t="shared" ca="1" si="3"/>
        <v>43290.761470903977</v>
      </c>
      <c r="Y28" s="137"/>
      <c r="Z28" s="137"/>
      <c r="AB28" s="137"/>
      <c r="AC28" s="137"/>
      <c r="AD28" s="137"/>
      <c r="AE28" s="137"/>
      <c r="AF28" s="137"/>
    </row>
    <row r="29" spans="1:32">
      <c r="E29" s="137"/>
      <c r="F29" s="137"/>
      <c r="G29" s="137"/>
      <c r="H29" s="137"/>
      <c r="I29" s="137"/>
      <c r="J29" s="137"/>
      <c r="K29" s="137"/>
      <c r="L29" s="137"/>
      <c r="M29" s="137"/>
      <c r="N29" s="137"/>
      <c r="O29" s="137"/>
      <c r="P29" s="137"/>
      <c r="Q29" s="137"/>
      <c r="R29" s="137"/>
      <c r="S29" s="137"/>
      <c r="T29" s="137"/>
      <c r="U29" s="137"/>
      <c r="V29" s="137"/>
      <c r="W29" s="137"/>
      <c r="X29" s="137"/>
      <c r="Y29" s="137"/>
    </row>
    <row r="30" spans="1:32">
      <c r="E30" s="137"/>
      <c r="F30" s="137"/>
      <c r="G30" s="137"/>
      <c r="H30" s="137"/>
      <c r="I30" s="137"/>
      <c r="J30" s="137"/>
      <c r="K30" s="137"/>
      <c r="L30" s="137"/>
      <c r="M30" s="137"/>
      <c r="N30" s="137"/>
      <c r="O30" s="137"/>
      <c r="P30" s="137"/>
      <c r="Q30" s="137"/>
      <c r="R30" s="137"/>
      <c r="S30" s="137"/>
      <c r="T30" s="137"/>
      <c r="U30" s="137"/>
      <c r="V30" s="137"/>
      <c r="W30" s="137"/>
      <c r="X30" s="137"/>
      <c r="Y30" s="137"/>
    </row>
    <row r="31" spans="1:32" ht="15">
      <c r="A31" s="538" t="s">
        <v>1072</v>
      </c>
      <c r="E31" s="137"/>
      <c r="F31" s="137"/>
      <c r="G31" s="137"/>
      <c r="H31" s="137"/>
      <c r="I31" s="137"/>
      <c r="J31" s="137"/>
      <c r="K31" s="137"/>
      <c r="L31" s="137"/>
      <c r="M31" s="137"/>
      <c r="N31" s="137"/>
      <c r="O31" s="137"/>
      <c r="P31" s="137"/>
      <c r="Q31" s="137"/>
      <c r="R31" s="137"/>
      <c r="S31" s="137"/>
      <c r="T31" s="137"/>
      <c r="U31" s="137"/>
      <c r="V31" s="137"/>
      <c r="W31" s="137"/>
      <c r="X31" s="137"/>
      <c r="Y31" s="137"/>
      <c r="Z31" s="556">
        <v>0.85</v>
      </c>
    </row>
    <row r="32" spans="1:32">
      <c r="E32" s="137">
        <v>2</v>
      </c>
      <c r="F32" s="137">
        <v>3</v>
      </c>
      <c r="G32" s="137">
        <v>4</v>
      </c>
      <c r="H32" s="137">
        <v>5</v>
      </c>
      <c r="I32" s="137">
        <v>6</v>
      </c>
      <c r="J32" s="137">
        <v>7</v>
      </c>
      <c r="K32" s="137">
        <v>8</v>
      </c>
      <c r="L32" s="137">
        <v>9</v>
      </c>
      <c r="M32" s="137">
        <v>10</v>
      </c>
      <c r="N32" s="137">
        <v>11</v>
      </c>
      <c r="O32" s="137">
        <v>12</v>
      </c>
      <c r="P32" s="137">
        <v>13</v>
      </c>
      <c r="Q32" s="137">
        <v>14</v>
      </c>
      <c r="R32" s="137">
        <v>15</v>
      </c>
      <c r="S32" s="137">
        <v>16</v>
      </c>
      <c r="T32" s="137">
        <v>17</v>
      </c>
      <c r="U32" s="137">
        <v>18</v>
      </c>
      <c r="V32" s="137">
        <v>19</v>
      </c>
      <c r="W32" s="137">
        <v>20</v>
      </c>
      <c r="X32" s="137">
        <v>21</v>
      </c>
      <c r="Y32" s="137"/>
      <c r="Z32" s="557" t="s">
        <v>1073</v>
      </c>
    </row>
    <row r="33" spans="1:30">
      <c r="C33" s="34" t="str">
        <f>C13</f>
        <v>Single Family</v>
      </c>
      <c r="E33" s="137">
        <f ca="1">SUM(E13,E23)</f>
        <v>4203528.2719999999</v>
      </c>
      <c r="F33" s="137">
        <f t="shared" ref="F33:X36" ca="1" si="4">SUM(F13,F23)</f>
        <v>4193982.9785983553</v>
      </c>
      <c r="G33" s="137">
        <f t="shared" ca="1" si="4"/>
        <v>4184459.3604704877</v>
      </c>
      <c r="H33" s="137">
        <f t="shared" ca="1" si="4"/>
        <v>4174957.36839659</v>
      </c>
      <c r="I33" s="137">
        <f t="shared" ca="1" si="4"/>
        <v>4165476.9532686244</v>
      </c>
      <c r="J33" s="137">
        <f t="shared" ca="1" si="4"/>
        <v>4156018.0660900641</v>
      </c>
      <c r="K33" s="137">
        <f t="shared" ca="1" si="4"/>
        <v>4146580.6579756448</v>
      </c>
      <c r="L33" s="137">
        <f t="shared" ca="1" si="4"/>
        <v>4137164.6801511091</v>
      </c>
      <c r="M33" s="137">
        <f t="shared" ca="1" si="4"/>
        <v>4127770.0839529554</v>
      </c>
      <c r="N33" s="137">
        <f t="shared" ca="1" si="4"/>
        <v>4118396.8208281873</v>
      </c>
      <c r="O33" s="137">
        <f t="shared" ca="1" si="4"/>
        <v>4109044.8423340586</v>
      </c>
      <c r="P33" s="137">
        <f t="shared" ca="1" si="4"/>
        <v>4099714.1001378288</v>
      </c>
      <c r="Q33" s="137">
        <f t="shared" ca="1" si="4"/>
        <v>4090404.5460165106</v>
      </c>
      <c r="R33" s="137">
        <f t="shared" ca="1" si="4"/>
        <v>4081116.1318566194</v>
      </c>
      <c r="S33" s="137">
        <f ca="1">SUM(S13,S23)</f>
        <v>4071848.8096539262</v>
      </c>
      <c r="T33" s="137">
        <f t="shared" ca="1" si="4"/>
        <v>4119460.4954526639</v>
      </c>
      <c r="U33" s="137">
        <f t="shared" ca="1" si="4"/>
        <v>4102189.9283093605</v>
      </c>
      <c r="V33" s="137">
        <f t="shared" ca="1" si="4"/>
        <v>4085155.6259623193</v>
      </c>
      <c r="W33" s="137">
        <f t="shared" ca="1" si="4"/>
        <v>4069527.1342676817</v>
      </c>
      <c r="X33" s="137">
        <f t="shared" ca="1" si="4"/>
        <v>4054461.856771796</v>
      </c>
      <c r="Y33" s="137"/>
      <c r="Z33" s="558">
        <f ca="1">INDEX(E33:Y33,1,MATCH($C$9,$E$11:$Y$11,0))*$Z$31*A43*B43</f>
        <v>3024621.0926339631</v>
      </c>
    </row>
    <row r="34" spans="1:30">
      <c r="C34" s="34" t="str">
        <f t="shared" ref="C34:C36" si="5">C14</f>
        <v>Multifamily - Low Rise</v>
      </c>
      <c r="E34" s="137">
        <f ca="1">SUM(E14,E24)</f>
        <v>926243.25609262148</v>
      </c>
      <c r="F34" s="137">
        <f t="shared" ca="1" si="4"/>
        <v>924139.92640956037</v>
      </c>
      <c r="G34" s="137">
        <f t="shared" ca="1" si="4"/>
        <v>922041.3730050053</v>
      </c>
      <c r="H34" s="137">
        <f t="shared" ca="1" si="4"/>
        <v>919947.58503289847</v>
      </c>
      <c r="I34" s="137">
        <f t="shared" ca="1" si="4"/>
        <v>917858.55167181045</v>
      </c>
      <c r="J34" s="137">
        <f t="shared" ca="1" si="4"/>
        <v>915774.26212488639</v>
      </c>
      <c r="K34" s="137">
        <f t="shared" ca="1" si="4"/>
        <v>913694.70561978838</v>
      </c>
      <c r="L34" s="137">
        <f t="shared" ca="1" si="4"/>
        <v>911619.87140864041</v>
      </c>
      <c r="M34" s="137">
        <f t="shared" ca="1" si="4"/>
        <v>909549.74876797362</v>
      </c>
      <c r="N34" s="137">
        <f t="shared" ca="1" si="4"/>
        <v>907484.32699866977</v>
      </c>
      <c r="O34" s="137">
        <f t="shared" ca="1" si="4"/>
        <v>905423.59542590659</v>
      </c>
      <c r="P34" s="137">
        <f t="shared" ca="1" si="4"/>
        <v>903367.54339910217</v>
      </c>
      <c r="Q34" s="137">
        <f t="shared" ca="1" si="4"/>
        <v>901316.16029185988</v>
      </c>
      <c r="R34" s="137">
        <f t="shared" ca="1" si="4"/>
        <v>899269.43550191447</v>
      </c>
      <c r="S34" s="137">
        <f t="shared" ca="1" si="4"/>
        <v>897227.35845107585</v>
      </c>
      <c r="T34" s="137">
        <f t="shared" ca="1" si="4"/>
        <v>916305.92893708381</v>
      </c>
      <c r="U34" s="137">
        <f t="shared" ca="1" si="4"/>
        <v>911894.73816087143</v>
      </c>
      <c r="V34" s="137">
        <f t="shared" ca="1" si="4"/>
        <v>907578.24022519798</v>
      </c>
      <c r="W34" s="137">
        <f t="shared" ca="1" si="4"/>
        <v>902978.06357578968</v>
      </c>
      <c r="X34" s="137">
        <f t="shared" ca="1" si="4"/>
        <v>898227.16121661162</v>
      </c>
      <c r="Y34" s="137"/>
      <c r="Z34" s="558">
        <f ca="1">INDEX(E34:Y34,1,MATCH($C$9,$E$11:$Y$11,0))*$Z$31*A44*B44</f>
        <v>596393.07414873899</v>
      </c>
    </row>
    <row r="35" spans="1:30">
      <c r="C35" s="34" t="str">
        <f t="shared" si="5"/>
        <v>Multifamily - High Rise</v>
      </c>
      <c r="E35" s="137">
        <f ca="1">SUM(E15,E25)</f>
        <v>211180.07985625503</v>
      </c>
      <c r="F35" s="137">
        <f t="shared" ca="1" si="4"/>
        <v>210700.52836963299</v>
      </c>
      <c r="G35" s="137">
        <f t="shared" ca="1" si="4"/>
        <v>210222.06585706791</v>
      </c>
      <c r="H35" s="137">
        <f t="shared" ca="1" si="4"/>
        <v>209744.68984569819</v>
      </c>
      <c r="I35" s="137">
        <f t="shared" ca="1" si="4"/>
        <v>209268.39786827751</v>
      </c>
      <c r="J35" s="137">
        <f t="shared" ca="1" si="4"/>
        <v>208793.18746316229</v>
      </c>
      <c r="K35" s="137">
        <f t="shared" ca="1" si="4"/>
        <v>208319.05617429892</v>
      </c>
      <c r="L35" s="137">
        <f t="shared" ca="1" si="4"/>
        <v>207846.00155121088</v>
      </c>
      <c r="M35" s="137">
        <f t="shared" ca="1" si="4"/>
        <v>207374.0211489865</v>
      </c>
      <c r="N35" s="137">
        <f t="shared" ca="1" si="4"/>
        <v>206903.11252826577</v>
      </c>
      <c r="O35" s="137">
        <f t="shared" ca="1" si="4"/>
        <v>206433.27325522827</v>
      </c>
      <c r="P35" s="137">
        <f t="shared" ca="1" si="4"/>
        <v>205964.50090158021</v>
      </c>
      <c r="Q35" s="137">
        <f t="shared" ca="1" si="4"/>
        <v>205496.79304454199</v>
      </c>
      <c r="R35" s="137">
        <f t="shared" ca="1" si="4"/>
        <v>205030.14726683579</v>
      </c>
      <c r="S35" s="137">
        <f t="shared" ca="1" si="4"/>
        <v>204564.56115667295</v>
      </c>
      <c r="T35" s="137">
        <f t="shared" ca="1" si="4"/>
        <v>208840.39596647368</v>
      </c>
      <c r="U35" s="137">
        <f t="shared" ca="1" si="4"/>
        <v>207902.21127266157</v>
      </c>
      <c r="V35" s="137">
        <f t="shared" ca="1" si="4"/>
        <v>206975.21580460828</v>
      </c>
      <c r="W35" s="137">
        <f t="shared" ca="1" si="4"/>
        <v>205844.5303247601</v>
      </c>
      <c r="X35" s="137">
        <f t="shared" ca="1" si="4"/>
        <v>204718.76591412726</v>
      </c>
      <c r="Y35" s="137"/>
      <c r="Z35" s="558">
        <f t="shared" ref="Z35:Z36" ca="1" si="6">INDEX(E35:Y35,1,MATCH($C$9,$E$11:$Y$11,0))*$Z$31*A45*B45</f>
        <v>135926.47763411285</v>
      </c>
    </row>
    <row r="36" spans="1:30">
      <c r="C36" s="34" t="str">
        <f t="shared" si="5"/>
        <v>Manufactured</v>
      </c>
      <c r="E36" s="137">
        <f ca="1">SUM(E16,E26)</f>
        <v>572006.3278356482</v>
      </c>
      <c r="F36" s="137">
        <f t="shared" ca="1" si="4"/>
        <v>565893.30394507048</v>
      </c>
      <c r="G36" s="137">
        <f t="shared" ca="1" si="4"/>
        <v>559845.60985814757</v>
      </c>
      <c r="H36" s="137">
        <f t="shared" ca="1" si="4"/>
        <v>553862.54739615123</v>
      </c>
      <c r="I36" s="137">
        <f t="shared" ca="1" si="4"/>
        <v>547943.42584177968</v>
      </c>
      <c r="J36" s="137">
        <f t="shared" ca="1" si="4"/>
        <v>542087.56185941794</v>
      </c>
      <c r="K36" s="137">
        <f t="shared" ca="1" si="4"/>
        <v>536294.27941624937</v>
      </c>
      <c r="L36" s="137">
        <f t="shared" ca="1" si="4"/>
        <v>530562.90970421082</v>
      </c>
      <c r="M36" s="137">
        <f t="shared" ca="1" si="4"/>
        <v>524892.79106278194</v>
      </c>
      <c r="N36" s="137">
        <f t="shared" ca="1" si="4"/>
        <v>519283.26890259917</v>
      </c>
      <c r="O36" s="137">
        <f t="shared" ca="1" si="4"/>
        <v>513733.69562988722</v>
      </c>
      <c r="P36" s="137">
        <f t="shared" ca="1" si="4"/>
        <v>508243.4305716962</v>
      </c>
      <c r="Q36" s="137">
        <f t="shared" ca="1" si="4"/>
        <v>502811.8399019395</v>
      </c>
      <c r="R36" s="137">
        <f t="shared" ca="1" si="4"/>
        <v>497438.2965682213</v>
      </c>
      <c r="S36" s="137">
        <f t="shared" ca="1" si="4"/>
        <v>492122.18021944637</v>
      </c>
      <c r="T36" s="137">
        <f t="shared" ca="1" si="4"/>
        <v>488558.6410949594</v>
      </c>
      <c r="U36" s="137">
        <f t="shared" ca="1" si="4"/>
        <v>483191.68125185033</v>
      </c>
      <c r="V36" s="137">
        <f t="shared" ca="1" si="4"/>
        <v>477917.79896960902</v>
      </c>
      <c r="W36" s="137">
        <f t="shared" ca="1" si="4"/>
        <v>472689.37495775649</v>
      </c>
      <c r="X36" s="137">
        <f t="shared" ca="1" si="4"/>
        <v>467430.39644248335</v>
      </c>
      <c r="Y36" s="137"/>
      <c r="Z36" s="558">
        <f t="shared" ca="1" si="6"/>
        <v>302740.90369921981</v>
      </c>
    </row>
    <row r="37" spans="1:30">
      <c r="E37" s="137"/>
      <c r="F37" s="137"/>
      <c r="G37" s="137"/>
      <c r="H37" s="137"/>
      <c r="I37" s="137"/>
      <c r="J37" s="137"/>
      <c r="K37" s="137"/>
      <c r="L37" s="137"/>
      <c r="M37" s="137"/>
      <c r="N37" s="137"/>
      <c r="O37" s="137"/>
      <c r="P37" s="137"/>
      <c r="Q37" s="137"/>
      <c r="R37" s="137"/>
      <c r="S37" s="137"/>
      <c r="T37" s="137"/>
      <c r="U37" s="137"/>
      <c r="V37" s="137"/>
      <c r="W37" s="137"/>
      <c r="X37" s="137"/>
      <c r="Y37" s="137"/>
    </row>
    <row r="38" spans="1:30">
      <c r="E38" s="137">
        <f t="shared" ref="E38:Z38" ca="1" si="7">SUM(E33:E36)</f>
        <v>5912957.9357845243</v>
      </c>
      <c r="F38" s="137">
        <f t="shared" ca="1" si="7"/>
        <v>5894716.7373226183</v>
      </c>
      <c r="G38" s="137">
        <f t="shared" ca="1" si="7"/>
        <v>5876568.4091907088</v>
      </c>
      <c r="H38" s="137">
        <f t="shared" ca="1" si="7"/>
        <v>5858512.1906713378</v>
      </c>
      <c r="I38" s="137">
        <f t="shared" ca="1" si="7"/>
        <v>5840547.3286504922</v>
      </c>
      <c r="J38" s="137">
        <f t="shared" ca="1" si="7"/>
        <v>5822673.077537531</v>
      </c>
      <c r="K38" s="137">
        <f t="shared" ca="1" si="7"/>
        <v>5804888.6991859814</v>
      </c>
      <c r="L38" s="137">
        <f t="shared" ca="1" si="7"/>
        <v>5787193.462815172</v>
      </c>
      <c r="M38" s="137">
        <f t="shared" ca="1" si="7"/>
        <v>5769586.6449326966</v>
      </c>
      <c r="N38" s="137">
        <f t="shared" ca="1" si="7"/>
        <v>5752067.5292577213</v>
      </c>
      <c r="O38" s="137">
        <f t="shared" ca="1" si="7"/>
        <v>5734635.406645081</v>
      </c>
      <c r="P38" s="137">
        <f t="shared" ca="1" si="7"/>
        <v>5717289.5750102066</v>
      </c>
      <c r="Q38" s="137">
        <f t="shared" ca="1" si="7"/>
        <v>5700029.3392548524</v>
      </c>
      <c r="R38" s="137">
        <f t="shared" ca="1" si="7"/>
        <v>5682854.0111935912</v>
      </c>
      <c r="S38" s="137">
        <f t="shared" ca="1" si="7"/>
        <v>5665762.9094811222</v>
      </c>
      <c r="T38" s="137">
        <f t="shared" ca="1" si="7"/>
        <v>5733165.4614511812</v>
      </c>
      <c r="U38" s="137">
        <f t="shared" ca="1" si="7"/>
        <v>5705178.558994743</v>
      </c>
      <c r="V38" s="137">
        <f t="shared" ca="1" si="7"/>
        <v>5677626.8809617348</v>
      </c>
      <c r="W38" s="137">
        <f t="shared" ca="1" si="7"/>
        <v>5651039.1031259876</v>
      </c>
      <c r="X38" s="137">
        <f t="shared" ca="1" si="7"/>
        <v>5624838.1803450184</v>
      </c>
      <c r="Y38" s="137"/>
      <c r="Z38" s="137">
        <f t="shared" ca="1" si="7"/>
        <v>4059681.5481160348</v>
      </c>
    </row>
    <row r="39" spans="1:30">
      <c r="E39" s="137"/>
      <c r="F39" s="137"/>
      <c r="G39" s="137"/>
      <c r="H39" s="137"/>
      <c r="I39" s="137"/>
      <c r="J39" s="137"/>
      <c r="K39" s="137"/>
      <c r="L39" s="137"/>
      <c r="M39" s="137"/>
      <c r="N39" s="137"/>
      <c r="O39" s="137"/>
      <c r="P39" s="137"/>
      <c r="Q39" s="137"/>
      <c r="R39" s="137"/>
      <c r="S39" s="137"/>
      <c r="T39" s="137"/>
      <c r="U39" s="137"/>
      <c r="V39" s="137"/>
      <c r="W39" s="137"/>
      <c r="X39" s="137"/>
      <c r="Y39" s="137"/>
    </row>
    <row r="40" spans="1:30">
      <c r="E40" s="137"/>
      <c r="F40" s="137"/>
      <c r="G40" s="137"/>
      <c r="H40" s="137"/>
      <c r="I40" s="137"/>
      <c r="J40" s="137"/>
      <c r="K40" s="137"/>
      <c r="L40" s="137"/>
      <c r="M40" s="137"/>
      <c r="N40" s="137"/>
      <c r="O40" s="137"/>
      <c r="P40" s="137"/>
      <c r="Q40" s="137"/>
      <c r="R40" s="137"/>
      <c r="S40" s="137"/>
      <c r="T40" s="137"/>
      <c r="U40" s="137"/>
      <c r="V40" s="137"/>
      <c r="W40" s="137"/>
      <c r="X40" s="137"/>
      <c r="Y40" s="137"/>
    </row>
    <row r="41" spans="1:30" ht="15">
      <c r="A41" s="535" t="s">
        <v>1074</v>
      </c>
      <c r="B41" s="535"/>
      <c r="E41" s="533"/>
      <c r="F41" s="533"/>
      <c r="G41" s="137"/>
      <c r="H41" s="137"/>
      <c r="I41" s="137"/>
      <c r="J41" s="137"/>
      <c r="K41" s="137"/>
      <c r="L41" s="137"/>
      <c r="M41" s="137"/>
      <c r="N41" s="137"/>
      <c r="O41" s="137"/>
      <c r="P41" s="137"/>
      <c r="Q41" s="137"/>
      <c r="R41" s="137"/>
      <c r="S41" s="137"/>
      <c r="T41" s="137"/>
      <c r="U41" s="137"/>
      <c r="V41" s="137"/>
      <c r="W41" s="137"/>
      <c r="X41" s="137"/>
      <c r="Y41" s="137"/>
    </row>
    <row r="42" spans="1:30" ht="15">
      <c r="A42" s="536" t="s">
        <v>983</v>
      </c>
      <c r="B42" s="536" t="s">
        <v>984</v>
      </c>
      <c r="C42" s="536" t="s">
        <v>1075</v>
      </c>
      <c r="D42" s="536" t="str">
        <f>CONCATENATE(C8," - ",C7)</f>
        <v>Dishwasher - NR</v>
      </c>
      <c r="E42" s="553">
        <v>2016</v>
      </c>
      <c r="F42" s="554">
        <v>2017</v>
      </c>
      <c r="G42" s="554">
        <v>2018</v>
      </c>
      <c r="H42" s="554">
        <v>2019</v>
      </c>
      <c r="I42" s="554">
        <v>2020</v>
      </c>
      <c r="J42" s="554">
        <v>2021</v>
      </c>
      <c r="K42" s="554">
        <v>2022</v>
      </c>
      <c r="L42" s="554">
        <v>2023</v>
      </c>
      <c r="M42" s="554">
        <v>2024</v>
      </c>
      <c r="N42" s="554">
        <v>2025</v>
      </c>
      <c r="O42" s="554">
        <v>2026</v>
      </c>
      <c r="P42" s="554">
        <v>2027</v>
      </c>
      <c r="Q42" s="554">
        <v>2028</v>
      </c>
      <c r="R42" s="554">
        <v>2029</v>
      </c>
      <c r="S42" s="554">
        <v>2030</v>
      </c>
      <c r="T42" s="554">
        <v>2031</v>
      </c>
      <c r="U42" s="554">
        <v>2032</v>
      </c>
      <c r="V42" s="554">
        <v>2033</v>
      </c>
      <c r="W42" s="554">
        <v>2034</v>
      </c>
      <c r="X42" s="554">
        <v>2035</v>
      </c>
      <c r="Y42" s="555"/>
    </row>
    <row r="43" spans="1:30">
      <c r="A43" s="537">
        <f>INDEX([2]!ResApplic,MATCH($D$42,[2]APPLIC!$B$9:$B$120,0)+1,MATCH($D43,[2]APPLIC!$C$8:$F$8,0)+1)</f>
        <v>1</v>
      </c>
      <c r="B43" s="537">
        <f>VLOOKUP($C$8,[2]!ExistingSat,MATCH($D43,[2]SATS!$C$10:$F$10,0)+1,FALSE)</f>
        <v>0.87764489634961651</v>
      </c>
      <c r="C43" s="537">
        <f>VLOOKUP($D$42,[2]TURN!$B$10:$F$78,MATCH(D43,$D$43:$D$46,0)+1,FALSE)</f>
        <v>6.4935064935064929E-2</v>
      </c>
      <c r="D43" s="34" t="str">
        <f>C13</f>
        <v>Single Family</v>
      </c>
      <c r="E43" s="137">
        <f ca="1">E13*$C43*$A43*$B43</f>
        <v>239558.7749728651</v>
      </c>
      <c r="F43" s="137">
        <f t="shared" ref="F43:X46" ca="1" si="8">F13*$C43*$A43*$B43</f>
        <v>239014.78938597461</v>
      </c>
      <c r="G43" s="137">
        <f t="shared" ca="1" si="8"/>
        <v>238472.03907138336</v>
      </c>
      <c r="H43" s="137">
        <f t="shared" ca="1" si="8"/>
        <v>237930.52122405794</v>
      </c>
      <c r="I43" s="137">
        <f t="shared" ca="1" si="8"/>
        <v>237390.2330453349</v>
      </c>
      <c r="J43" s="137">
        <f t="shared" ca="1" si="8"/>
        <v>236851.17174290566</v>
      </c>
      <c r="K43" s="137">
        <f t="shared" ca="1" si="8"/>
        <v>236313.33453080256</v>
      </c>
      <c r="L43" s="137">
        <f t="shared" ca="1" si="8"/>
        <v>235776.71862938404</v>
      </c>
      <c r="M43" s="137">
        <f t="shared" ca="1" si="8"/>
        <v>235241.3212653207</v>
      </c>
      <c r="N43" s="137">
        <f t="shared" ca="1" si="8"/>
        <v>234707.13967158081</v>
      </c>
      <c r="O43" s="137">
        <f t="shared" ca="1" si="8"/>
        <v>234174.17108741563</v>
      </c>
      <c r="P43" s="137">
        <f t="shared" ca="1" si="8"/>
        <v>233642.4127583458</v>
      </c>
      <c r="Q43" s="137">
        <f t="shared" ca="1" si="8"/>
        <v>233111.8619361468</v>
      </c>
      <c r="R43" s="137">
        <f t="shared" ca="1" si="8"/>
        <v>232582.51587883444</v>
      </c>
      <c r="S43" s="137">
        <f t="shared" ca="1" si="8"/>
        <v>232054.37185065122</v>
      </c>
      <c r="T43" s="137">
        <f t="shared" ca="1" si="8"/>
        <v>231527.42712205186</v>
      </c>
      <c r="U43" s="137">
        <f t="shared" ca="1" si="8"/>
        <v>231001.67896968932</v>
      </c>
      <c r="V43" s="137">
        <f t="shared" ca="1" si="8"/>
        <v>230477.12467640056</v>
      </c>
      <c r="W43" s="137">
        <f t="shared" ca="1" si="8"/>
        <v>229953.76153119281</v>
      </c>
      <c r="X43" s="137">
        <f t="shared" ca="1" si="8"/>
        <v>229431.58682922923</v>
      </c>
      <c r="Y43" s="137"/>
      <c r="Z43" s="137">
        <f ca="1">X13*A43*B43*$Z$31</f>
        <v>3003259.4715946112</v>
      </c>
      <c r="AD43" s="137"/>
    </row>
    <row r="44" spans="1:30">
      <c r="A44" s="537">
        <f>INDEX([2]!ResApplic,MATCH($D$42,[2]APPLIC!$B$9:$B$120,0)+1,MATCH($D44,[2]APPLIC!$C$8:$F$8,0)+1)</f>
        <v>1</v>
      </c>
      <c r="B44" s="537">
        <f>VLOOKUP($C$8,[2]!ExistingSat,MATCH($D44,[2]SATS!$C$10:$F$10,0)+1,FALSE)</f>
        <v>0.78113749066870952</v>
      </c>
      <c r="C44" s="537">
        <f>VLOOKUP($D$42,[2]TURN!$B$10:$F$78,MATCH(D44,$D$43:$D$46,0)+1,FALSE)</f>
        <v>6.4935064935064929E-2</v>
      </c>
      <c r="D44" s="34" t="str">
        <f t="shared" ref="D44:D46" si="9">C14</f>
        <v>Multifamily - Low Rise</v>
      </c>
      <c r="E44" s="137">
        <f ca="1">E14*$C44*$A44*$B44</f>
        <v>46982.03459824709</v>
      </c>
      <c r="F44" s="137">
        <f t="shared" ref="E44:T45" ca="1" si="10">F14*$C44*$A44*$B44</f>
        <v>46875.346957294139</v>
      </c>
      <c r="G44" s="137">
        <f t="shared" ca="1" si="10"/>
        <v>46768.901584536448</v>
      </c>
      <c r="H44" s="137">
        <f t="shared" ca="1" si="10"/>
        <v>46662.697929827111</v>
      </c>
      <c r="I44" s="137">
        <f t="shared" ca="1" si="10"/>
        <v>46556.735444268437</v>
      </c>
      <c r="J44" s="137">
        <f t="shared" ca="1" si="10"/>
        <v>46451.01358020927</v>
      </c>
      <c r="K44" s="137">
        <f t="shared" ca="1" si="10"/>
        <v>46345.531791241992</v>
      </c>
      <c r="L44" s="137">
        <f t="shared" ca="1" si="10"/>
        <v>46240.2895321998</v>
      </c>
      <c r="M44" s="137">
        <f t="shared" ca="1" si="10"/>
        <v>46135.286259153901</v>
      </c>
      <c r="N44" s="137">
        <f t="shared" ca="1" si="10"/>
        <v>46030.521429410612</v>
      </c>
      <c r="O44" s="137">
        <f t="shared" ca="1" si="10"/>
        <v>45925.994501508663</v>
      </c>
      <c r="P44" s="137">
        <f t="shared" ca="1" si="10"/>
        <v>45821.704935216309</v>
      </c>
      <c r="Q44" s="137">
        <f t="shared" ca="1" si="10"/>
        <v>45717.652191528556</v>
      </c>
      <c r="R44" s="137">
        <f t="shared" ca="1" si="10"/>
        <v>45613.83573266444</v>
      </c>
      <c r="S44" s="137">
        <f t="shared" ca="1" si="10"/>
        <v>45510.255022064164</v>
      </c>
      <c r="T44" s="137">
        <f t="shared" ca="1" si="10"/>
        <v>45406.90952438637</v>
      </c>
      <c r="U44" s="137">
        <f t="shared" ca="1" si="8"/>
        <v>45303.798705505367</v>
      </c>
      <c r="V44" s="137">
        <f t="shared" ca="1" si="8"/>
        <v>45200.922032508373</v>
      </c>
      <c r="W44" s="137">
        <f t="shared" ca="1" si="8"/>
        <v>45098.27897369273</v>
      </c>
      <c r="X44" s="137">
        <f t="shared" ca="1" si="8"/>
        <v>44995.868998563194</v>
      </c>
      <c r="Y44" s="137"/>
      <c r="Z44" s="137">
        <f ca="1">X14*A44*B44*$Z$31</f>
        <v>588995.92519119231</v>
      </c>
      <c r="AD44" s="137"/>
    </row>
    <row r="45" spans="1:30">
      <c r="A45" s="537">
        <f>INDEX([2]!ResApplic,MATCH($D$42,[2]APPLIC!$B$9:$B$120,0)+1,MATCH($D45,[2]APPLIC!$C$8:$F$8,0)+1)</f>
        <v>1</v>
      </c>
      <c r="B45" s="537">
        <f>VLOOKUP($C$8,[2]!ExistingSat,MATCH($D45,[2]SATS!$C$10:$F$10,0)+1,FALSE)</f>
        <v>0.78113749066870952</v>
      </c>
      <c r="C45" s="537">
        <f>VLOOKUP($D$42,[2]TURN!$B$10:$F$78,MATCH(D45,$D$43:$D$46,0)+1,FALSE)</f>
        <v>6.4935064935064929E-2</v>
      </c>
      <c r="D45" s="34" t="str">
        <f t="shared" si="9"/>
        <v>Multifamily - High Rise</v>
      </c>
      <c r="E45" s="137">
        <f t="shared" ca="1" si="10"/>
        <v>10711.732315463165</v>
      </c>
      <c r="F45" s="137">
        <f t="shared" ca="1" si="8"/>
        <v>10687.407922936774</v>
      </c>
      <c r="G45" s="137">
        <f t="shared" ca="1" si="8"/>
        <v>10663.138766674168</v>
      </c>
      <c r="H45" s="137">
        <f t="shared" ca="1" si="8"/>
        <v>10638.924721243859</v>
      </c>
      <c r="I45" s="137">
        <f t="shared" ca="1" si="8"/>
        <v>10614.765661499181</v>
      </c>
      <c r="J45" s="137">
        <f t="shared" ca="1" si="8"/>
        <v>10590.661462577666</v>
      </c>
      <c r="K45" s="137">
        <f t="shared" ca="1" si="8"/>
        <v>10566.611999900375</v>
      </c>
      <c r="L45" s="137">
        <f t="shared" ca="1" si="8"/>
        <v>10542.61714917127</v>
      </c>
      <c r="M45" s="137">
        <f t="shared" ca="1" si="8"/>
        <v>10518.676786376573</v>
      </c>
      <c r="N45" s="137">
        <f t="shared" ca="1" si="8"/>
        <v>10494.790787784101</v>
      </c>
      <c r="O45" s="137">
        <f t="shared" ca="1" si="8"/>
        <v>10470.959029942664</v>
      </c>
      <c r="P45" s="137">
        <f t="shared" ca="1" si="8"/>
        <v>10447.181389681396</v>
      </c>
      <c r="Q45" s="137">
        <f t="shared" ca="1" si="8"/>
        <v>10423.457744109133</v>
      </c>
      <c r="R45" s="137">
        <f t="shared" ca="1" si="8"/>
        <v>10399.78797061377</v>
      </c>
      <c r="S45" s="137">
        <f t="shared" ca="1" si="8"/>
        <v>10376.171946861641</v>
      </c>
      <c r="T45" s="137">
        <f t="shared" ca="1" si="8"/>
        <v>10352.609550796866</v>
      </c>
      <c r="U45" s="137">
        <f t="shared" ca="1" si="8"/>
        <v>10329.100660640739</v>
      </c>
      <c r="V45" s="137">
        <f t="shared" ca="1" si="8"/>
        <v>10305.645154891094</v>
      </c>
      <c r="W45" s="137">
        <f t="shared" ca="1" si="8"/>
        <v>10282.242912321663</v>
      </c>
      <c r="X45" s="137">
        <f t="shared" ca="1" si="8"/>
        <v>10258.89381198147</v>
      </c>
      <c r="Y45" s="137"/>
      <c r="Z45" s="137">
        <f t="shared" ref="Z45:Z46" ca="1" si="11">X15*A45*B45*$Z$31</f>
        <v>134288.91999883746</v>
      </c>
      <c r="AD45" s="137"/>
    </row>
    <row r="46" spans="1:30">
      <c r="A46" s="537">
        <f>INDEX([2]!ResApplic,MATCH($D$42,[2]APPLIC!$B$9:$B$120,0)+1,MATCH($D46,[2]APPLIC!$C$8:$F$8,0)+1)</f>
        <v>1</v>
      </c>
      <c r="B46" s="537">
        <f>VLOOKUP($C$8,[2]!ExistingSat,MATCH($D46,[2]SATS!$C$10:$F$10,0)+1,FALSE)</f>
        <v>0.76196535734220561</v>
      </c>
      <c r="C46" s="537">
        <f>VLOOKUP($D$42,[2]TURN!$B$10:$F$78,MATCH(D46,$D$43:$D$46,0)+1,FALSE)</f>
        <v>6.4935064935064929E-2</v>
      </c>
      <c r="D46" s="34" t="str">
        <f t="shared" si="9"/>
        <v>Manufactured</v>
      </c>
      <c r="E46" s="137">
        <f ca="1">E16*$C46*$A46*$B46</f>
        <v>28301.883505928083</v>
      </c>
      <c r="F46" s="137">
        <f t="shared" ca="1" si="8"/>
        <v>27999.421659614734</v>
      </c>
      <c r="G46" s="137">
        <f t="shared" ca="1" si="8"/>
        <v>27700.192218962882</v>
      </c>
      <c r="H46" s="137">
        <f t="shared" ca="1" si="8"/>
        <v>27404.160639296926</v>
      </c>
      <c r="I46" s="137">
        <f t="shared" ca="1" si="8"/>
        <v>27111.292745119739</v>
      </c>
      <c r="J46" s="137">
        <f t="shared" ca="1" si="8"/>
        <v>26821.554726167295</v>
      </c>
      <c r="K46" s="137">
        <f t="shared" ca="1" si="8"/>
        <v>26534.913133505393</v>
      </c>
      <c r="L46" s="137">
        <f t="shared" ca="1" si="8"/>
        <v>26251.334875668137</v>
      </c>
      <c r="M46" s="137">
        <f t="shared" ca="1" si="8"/>
        <v>25970.787214837681</v>
      </c>
      <c r="N46" s="137">
        <f t="shared" ca="1" si="8"/>
        <v>25693.237763064779</v>
      </c>
      <c r="O46" s="137">
        <f t="shared" ca="1" si="8"/>
        <v>25418.654478529796</v>
      </c>
      <c r="P46" s="137">
        <f t="shared" ca="1" si="8"/>
        <v>25147.005661843563</v>
      </c>
      <c r="Q46" s="137">
        <f t="shared" ca="1" si="8"/>
        <v>24878.259952387871</v>
      </c>
      <c r="R46" s="137">
        <f t="shared" ca="1" si="8"/>
        <v>24612.386324694984</v>
      </c>
      <c r="S46" s="137">
        <f t="shared" ca="1" si="8"/>
        <v>24349.354084865954</v>
      </c>
      <c r="T46" s="137">
        <f t="shared" ca="1" si="8"/>
        <v>24089.13286702711</v>
      </c>
      <c r="U46" s="137">
        <f t="shared" ca="1" si="8"/>
        <v>23831.69262982444</v>
      </c>
      <c r="V46" s="137">
        <f t="shared" ca="1" si="8"/>
        <v>23577.003652955504</v>
      </c>
      <c r="W46" s="137">
        <f t="shared" ca="1" si="8"/>
        <v>23325.036533738312</v>
      </c>
      <c r="X46" s="137">
        <f t="shared" ca="1" si="8"/>
        <v>23075.762183716946</v>
      </c>
      <c r="Y46" s="137"/>
      <c r="Z46" s="137">
        <f t="shared" ca="1" si="11"/>
        <v>302061.72698485485</v>
      </c>
      <c r="AD46" s="137"/>
    </row>
    <row r="47" spans="1:30">
      <c r="E47" s="137"/>
      <c r="F47" s="137"/>
      <c r="G47" s="137"/>
      <c r="H47" s="137"/>
      <c r="I47" s="137"/>
      <c r="J47" s="137"/>
      <c r="K47" s="137"/>
      <c r="L47" s="137"/>
      <c r="M47" s="137"/>
      <c r="N47" s="137"/>
      <c r="O47" s="137"/>
      <c r="P47" s="137"/>
      <c r="Q47" s="137"/>
      <c r="R47" s="137"/>
      <c r="S47" s="137"/>
      <c r="T47" s="137"/>
      <c r="U47" s="137"/>
      <c r="V47" s="137"/>
      <c r="W47" s="137"/>
      <c r="X47" s="137"/>
      <c r="Y47" s="137"/>
    </row>
    <row r="48" spans="1:30">
      <c r="E48" s="137">
        <f t="shared" ref="E48:X48" ca="1" si="12">SUM(E43:E46)</f>
        <v>325554.42539250344</v>
      </c>
      <c r="F48" s="137">
        <f t="shared" ca="1" si="12"/>
        <v>324576.96592582023</v>
      </c>
      <c r="G48" s="137">
        <f t="shared" ca="1" si="12"/>
        <v>323604.27164155687</v>
      </c>
      <c r="H48" s="137">
        <f t="shared" ca="1" si="12"/>
        <v>322636.30451442581</v>
      </c>
      <c r="I48" s="137">
        <f t="shared" ca="1" si="12"/>
        <v>321673.0268962222</v>
      </c>
      <c r="J48" s="137">
        <f t="shared" ca="1" si="12"/>
        <v>320714.40151185985</v>
      </c>
      <c r="K48" s="137">
        <f t="shared" ca="1" si="12"/>
        <v>319760.39145545033</v>
      </c>
      <c r="L48" s="137">
        <f t="shared" ca="1" si="12"/>
        <v>318810.96018642327</v>
      </c>
      <c r="M48" s="137">
        <f t="shared" ca="1" si="12"/>
        <v>317866.07152568887</v>
      </c>
      <c r="N48" s="137">
        <f t="shared" ca="1" si="12"/>
        <v>316925.68965184031</v>
      </c>
      <c r="O48" s="137">
        <f t="shared" ca="1" si="12"/>
        <v>315989.77909739676</v>
      </c>
      <c r="P48" s="137">
        <f t="shared" ca="1" si="12"/>
        <v>315058.30474508711</v>
      </c>
      <c r="Q48" s="137">
        <f t="shared" ca="1" si="12"/>
        <v>314131.23182417237</v>
      </c>
      <c r="R48" s="137">
        <f t="shared" ca="1" si="12"/>
        <v>313208.52590680757</v>
      </c>
      <c r="S48" s="137">
        <f t="shared" ca="1" si="12"/>
        <v>312290.15290444298</v>
      </c>
      <c r="T48" s="137">
        <f t="shared" ca="1" si="12"/>
        <v>311376.07906426222</v>
      </c>
      <c r="U48" s="137">
        <f t="shared" ca="1" si="12"/>
        <v>310466.27096565987</v>
      </c>
      <c r="V48" s="137">
        <f t="shared" ca="1" si="12"/>
        <v>309560.69551675551</v>
      </c>
      <c r="W48" s="137">
        <f t="shared" ca="1" si="12"/>
        <v>308659.3199509455</v>
      </c>
      <c r="X48" s="137">
        <f t="shared" ca="1" si="12"/>
        <v>307762.11182349082</v>
      </c>
      <c r="Y48" s="137"/>
      <c r="Z48" s="137">
        <f ca="1">SUM(E48:X48)</f>
        <v>6330624.9805008117</v>
      </c>
      <c r="AD48" s="137"/>
    </row>
    <row r="49" spans="1:30">
      <c r="E49" s="137"/>
      <c r="F49" s="137"/>
      <c r="G49" s="137"/>
      <c r="H49" s="137"/>
      <c r="I49" s="137"/>
      <c r="J49" s="137"/>
      <c r="K49" s="137"/>
      <c r="L49" s="137"/>
      <c r="M49" s="137"/>
      <c r="N49" s="137"/>
      <c r="O49" s="137"/>
      <c r="P49" s="137"/>
      <c r="Q49" s="137"/>
      <c r="R49" s="137"/>
      <c r="S49" s="137"/>
      <c r="T49" s="137"/>
      <c r="U49" s="137"/>
      <c r="V49" s="137"/>
      <c r="W49" s="137"/>
      <c r="X49" s="137"/>
      <c r="Y49" s="137"/>
      <c r="Z49" s="137"/>
      <c r="AD49" s="137"/>
    </row>
    <row r="50" spans="1:30" ht="15">
      <c r="A50" s="536" t="s">
        <v>983</v>
      </c>
      <c r="B50" s="536" t="s">
        <v>984</v>
      </c>
      <c r="C50" s="536" t="s">
        <v>1075</v>
      </c>
      <c r="D50" s="536" t="str">
        <f>CONCATENATE(C8," - ","NEW")</f>
        <v>Dishwasher - NEW</v>
      </c>
      <c r="E50" s="553">
        <v>2016</v>
      </c>
      <c r="F50" s="554">
        <v>2017</v>
      </c>
      <c r="G50" s="554">
        <v>2018</v>
      </c>
      <c r="H50" s="554">
        <v>2019</v>
      </c>
      <c r="I50" s="554">
        <v>2020</v>
      </c>
      <c r="J50" s="554">
        <v>2021</v>
      </c>
      <c r="K50" s="554">
        <v>2022</v>
      </c>
      <c r="L50" s="554">
        <v>2023</v>
      </c>
      <c r="M50" s="554">
        <v>2024</v>
      </c>
      <c r="N50" s="554">
        <v>2025</v>
      </c>
      <c r="O50" s="554">
        <v>2026</v>
      </c>
      <c r="P50" s="554">
        <v>2027</v>
      </c>
      <c r="Q50" s="554">
        <v>2028</v>
      </c>
      <c r="R50" s="554">
        <v>2029</v>
      </c>
      <c r="S50" s="554">
        <v>2030</v>
      </c>
      <c r="T50" s="554">
        <v>2031</v>
      </c>
      <c r="U50" s="554">
        <v>2032</v>
      </c>
      <c r="V50" s="554">
        <v>2033</v>
      </c>
      <c r="W50" s="554">
        <v>2034</v>
      </c>
      <c r="X50" s="554">
        <v>2035</v>
      </c>
      <c r="Y50" s="555"/>
    </row>
    <row r="51" spans="1:30">
      <c r="A51" s="537">
        <f>INDEX([2]!ResApplic,MATCH($D$50,[2]APPLIC!$B$9:$B$120,0)+1,MATCH($D51,[2]APPLIC!$C$8:$F$8,0)+1)</f>
        <v>1</v>
      </c>
      <c r="B51" s="537">
        <f>VLOOKUP($C$8,[2]!NewSat,MATCH($D51,[2]SATS!$C$10:$F$10,0)+1,FALSE)</f>
        <v>0.87764489634961651</v>
      </c>
      <c r="C51" s="537">
        <f>VLOOKUP($D$50,[2]TURN!$B$10:$F$78,MATCH(D51,$D$43:$D$46,0)+1,FALSE)</f>
        <v>1</v>
      </c>
      <c r="D51" s="34" t="str">
        <f>D43</f>
        <v>Single Family</v>
      </c>
      <c r="E51" s="137">
        <f>E23*$C51*$A51*$B51</f>
        <v>0</v>
      </c>
      <c r="F51" s="137">
        <f t="shared" ref="F51:X54" si="13">F23*$C51*$A51*$B51</f>
        <v>0</v>
      </c>
      <c r="G51" s="137">
        <f t="shared" si="13"/>
        <v>0</v>
      </c>
      <c r="H51" s="137">
        <f t="shared" si="13"/>
        <v>0</v>
      </c>
      <c r="I51" s="137">
        <f t="shared" si="13"/>
        <v>0</v>
      </c>
      <c r="J51" s="137">
        <f t="shared" si="13"/>
        <v>0</v>
      </c>
      <c r="K51" s="137">
        <f t="shared" si="13"/>
        <v>0</v>
      </c>
      <c r="L51" s="137">
        <f t="shared" si="13"/>
        <v>0</v>
      </c>
      <c r="M51" s="137">
        <f t="shared" si="13"/>
        <v>0</v>
      </c>
      <c r="N51" s="137">
        <f t="shared" si="13"/>
        <v>0</v>
      </c>
      <c r="O51" s="137">
        <f t="shared" si="13"/>
        <v>0</v>
      </c>
      <c r="P51" s="137">
        <f t="shared" si="13"/>
        <v>0</v>
      </c>
      <c r="Q51" s="137">
        <f t="shared" si="13"/>
        <v>0</v>
      </c>
      <c r="R51" s="137">
        <f t="shared" si="13"/>
        <v>0</v>
      </c>
      <c r="S51" s="137">
        <f t="shared" si="13"/>
        <v>0</v>
      </c>
      <c r="T51" s="137">
        <f t="shared" ca="1" si="13"/>
        <v>49901.10186829375</v>
      </c>
      <c r="U51" s="137">
        <f t="shared" ca="1" si="13"/>
        <v>42840.198304294114</v>
      </c>
      <c r="V51" s="137">
        <f t="shared" ca="1" si="13"/>
        <v>35968.265903183063</v>
      </c>
      <c r="W51" s="137">
        <f t="shared" ca="1" si="13"/>
        <v>30311.792365941987</v>
      </c>
      <c r="X51" s="137">
        <f t="shared" ca="1" si="13"/>
        <v>25131.318869825707</v>
      </c>
      <c r="Y51" s="137"/>
      <c r="Z51" s="137">
        <f ca="1">SUM(E23:X23)*A51*B51*$Z$31</f>
        <v>156529.77571480782</v>
      </c>
      <c r="AD51" s="137"/>
    </row>
    <row r="52" spans="1:30">
      <c r="A52" s="537">
        <f>INDEX([2]!ResApplic,MATCH($D$50,[2]APPLIC!$B$9:$B$120,0)+1,MATCH($D52,[2]APPLIC!$C$8:$F$8,0)+1)</f>
        <v>1</v>
      </c>
      <c r="B52" s="537">
        <f>VLOOKUP($C$8,[2]!NewSat,MATCH($D52,[2]SATS!$C$10:$F$10,0)+1,FALSE)</f>
        <v>0.78113749066870952</v>
      </c>
      <c r="C52" s="537">
        <f>VLOOKUP($D$50,[2]TURN!$B$10:$F$78,MATCH(D52,$D$43:$D$46,0)+1,FALSE)</f>
        <v>1</v>
      </c>
      <c r="D52" s="34" t="str">
        <f t="shared" ref="D52:D54" si="14">D44</f>
        <v>Multifamily - Low Rise</v>
      </c>
      <c r="E52" s="137">
        <f t="shared" ref="E52:T54" si="15">E24*$C52*$A52*$B52</f>
        <v>0</v>
      </c>
      <c r="F52" s="137">
        <f t="shared" si="15"/>
        <v>0</v>
      </c>
      <c r="G52" s="137">
        <f t="shared" si="15"/>
        <v>0</v>
      </c>
      <c r="H52" s="137">
        <f t="shared" si="15"/>
        <v>0</v>
      </c>
      <c r="I52" s="137">
        <f t="shared" si="15"/>
        <v>0</v>
      </c>
      <c r="J52" s="137">
        <f t="shared" si="15"/>
        <v>0</v>
      </c>
      <c r="K52" s="137">
        <f t="shared" si="15"/>
        <v>0</v>
      </c>
      <c r="L52" s="137">
        <f t="shared" si="15"/>
        <v>0</v>
      </c>
      <c r="M52" s="137">
        <f t="shared" si="15"/>
        <v>0</v>
      </c>
      <c r="N52" s="137">
        <f t="shared" si="15"/>
        <v>0</v>
      </c>
      <c r="O52" s="137">
        <f t="shared" si="15"/>
        <v>0</v>
      </c>
      <c r="P52" s="137">
        <f t="shared" si="15"/>
        <v>0</v>
      </c>
      <c r="Q52" s="137">
        <f t="shared" si="15"/>
        <v>0</v>
      </c>
      <c r="R52" s="137">
        <f t="shared" si="15"/>
        <v>0</v>
      </c>
      <c r="S52" s="137">
        <f t="shared" si="15"/>
        <v>0</v>
      </c>
      <c r="T52" s="137">
        <f t="shared" ca="1" si="15"/>
        <v>16494.507339224303</v>
      </c>
      <c r="U52" s="137">
        <f t="shared" ca="1" si="13"/>
        <v>14636.667456200263</v>
      </c>
      <c r="V52" s="137">
        <f t="shared" ca="1" si="13"/>
        <v>12849.189854405417</v>
      </c>
      <c r="W52" s="137">
        <f t="shared" ca="1" si="13"/>
        <v>10836.522515614733</v>
      </c>
      <c r="X52" s="137">
        <f t="shared" ca="1" si="13"/>
        <v>8702.5281853491542</v>
      </c>
      <c r="Y52" s="137"/>
      <c r="Z52" s="137">
        <f t="shared" ref="Z52:Z54" ca="1" si="16">SUM(E24:X24)*A52*B52*$Z$31</f>
        <v>53991.503048174782</v>
      </c>
      <c r="AD52" s="137"/>
    </row>
    <row r="53" spans="1:30">
      <c r="A53" s="537">
        <f>INDEX([2]!ResApplic,MATCH($D$50,[2]APPLIC!$B$9:$B$120,0)+1,MATCH($D53,[2]APPLIC!$C$8:$F$8,0)+1)</f>
        <v>1</v>
      </c>
      <c r="B53" s="537">
        <f>VLOOKUP($C$8,[2]!NewSat,MATCH($D53,[2]SATS!$C$10:$F$10,0)+1,FALSE)</f>
        <v>0.78113749066870952</v>
      </c>
      <c r="C53" s="537">
        <f>VLOOKUP($D$50,[2]TURN!$B$10:$F$78,MATCH(D53,$D$43:$D$46,0)+1,FALSE)</f>
        <v>1</v>
      </c>
      <c r="D53" s="34" t="str">
        <f t="shared" si="14"/>
        <v>Multifamily - High Rise</v>
      </c>
      <c r="E53" s="137">
        <f t="shared" si="15"/>
        <v>0</v>
      </c>
      <c r="F53" s="137">
        <f t="shared" si="13"/>
        <v>0</v>
      </c>
      <c r="G53" s="137">
        <f t="shared" si="13"/>
        <v>0</v>
      </c>
      <c r="H53" s="137">
        <f t="shared" si="13"/>
        <v>0</v>
      </c>
      <c r="I53" s="137">
        <f t="shared" si="13"/>
        <v>0</v>
      </c>
      <c r="J53" s="137">
        <f t="shared" si="13"/>
        <v>0</v>
      </c>
      <c r="K53" s="137">
        <f t="shared" si="13"/>
        <v>0</v>
      </c>
      <c r="L53" s="137">
        <f t="shared" si="13"/>
        <v>0</v>
      </c>
      <c r="M53" s="137">
        <f t="shared" si="13"/>
        <v>0</v>
      </c>
      <c r="N53" s="137">
        <f t="shared" si="13"/>
        <v>0</v>
      </c>
      <c r="O53" s="137">
        <f t="shared" si="13"/>
        <v>0</v>
      </c>
      <c r="P53" s="137">
        <f t="shared" si="13"/>
        <v>0</v>
      </c>
      <c r="Q53" s="137">
        <f t="shared" si="13"/>
        <v>0</v>
      </c>
      <c r="R53" s="137">
        <f t="shared" si="13"/>
        <v>0</v>
      </c>
      <c r="S53" s="137">
        <f t="shared" si="13"/>
        <v>0</v>
      </c>
      <c r="T53" s="137">
        <f t="shared" ca="1" si="13"/>
        <v>3702.8757732391709</v>
      </c>
      <c r="U53" s="137">
        <f t="shared" ca="1" si="13"/>
        <v>3332.0614441353623</v>
      </c>
      <c r="V53" s="137">
        <f t="shared" ca="1" si="13"/>
        <v>2969.1653189034973</v>
      </c>
      <c r="W53" s="137">
        <f t="shared" ca="1" si="13"/>
        <v>2446.3390360085768</v>
      </c>
      <c r="X53" s="137">
        <f t="shared" ca="1" si="13"/>
        <v>1926.538394441654</v>
      </c>
      <c r="Y53" s="137"/>
      <c r="Z53" s="137">
        <f t="shared" ca="1" si="16"/>
        <v>12220.432971719021</v>
      </c>
      <c r="AD53" s="137"/>
    </row>
    <row r="54" spans="1:30">
      <c r="A54" s="537">
        <f>INDEX([2]!ResApplic,MATCH($D$50,[2]APPLIC!$B$9:$B$120,0)+1,MATCH($D54,[2]APPLIC!$C$8:$F$8,0)+1)</f>
        <v>1</v>
      </c>
      <c r="B54" s="537">
        <f>VLOOKUP($C$8,[2]!NewSat,MATCH($D54,[2]SATS!$C$10:$F$10,0)+1,FALSE)</f>
        <v>0.76196535734220561</v>
      </c>
      <c r="C54" s="537">
        <f>VLOOKUP($D$50,[2]TURN!$B$10:$F$78,MATCH(D54,$D$43:$D$46,0)+1,FALSE)</f>
        <v>1</v>
      </c>
      <c r="D54" s="34" t="str">
        <f t="shared" si="14"/>
        <v>Manufactured</v>
      </c>
      <c r="E54" s="137">
        <f t="shared" si="15"/>
        <v>0</v>
      </c>
      <c r="F54" s="137">
        <f t="shared" si="13"/>
        <v>0</v>
      </c>
      <c r="G54" s="137">
        <f t="shared" si="13"/>
        <v>0</v>
      </c>
      <c r="H54" s="137">
        <f t="shared" si="13"/>
        <v>0</v>
      </c>
      <c r="I54" s="137">
        <f t="shared" si="13"/>
        <v>0</v>
      </c>
      <c r="J54" s="137">
        <f t="shared" si="13"/>
        <v>0</v>
      </c>
      <c r="K54" s="137">
        <f t="shared" si="13"/>
        <v>0</v>
      </c>
      <c r="L54" s="137">
        <f t="shared" si="13"/>
        <v>0</v>
      </c>
      <c r="M54" s="137">
        <f t="shared" si="13"/>
        <v>0</v>
      </c>
      <c r="N54" s="137">
        <f t="shared" si="13"/>
        <v>0</v>
      </c>
      <c r="O54" s="137">
        <f t="shared" si="13"/>
        <v>0</v>
      </c>
      <c r="P54" s="137">
        <f t="shared" si="13"/>
        <v>0</v>
      </c>
      <c r="Q54" s="137">
        <f t="shared" si="13"/>
        <v>0</v>
      </c>
      <c r="R54" s="137">
        <f t="shared" si="13"/>
        <v>0</v>
      </c>
      <c r="S54" s="137">
        <f t="shared" si="13"/>
        <v>0</v>
      </c>
      <c r="T54" s="137">
        <f t="shared" ca="1" si="13"/>
        <v>1292.1133923256211</v>
      </c>
      <c r="U54" s="137">
        <f t="shared" ca="1" si="13"/>
        <v>1167.2555705508501</v>
      </c>
      <c r="V54" s="137">
        <f t="shared" ca="1" si="13"/>
        <v>1070.9502165637389</v>
      </c>
      <c r="W54" s="137">
        <f t="shared" ca="1" si="13"/>
        <v>967.36588198072491</v>
      </c>
      <c r="X54" s="137">
        <f t="shared" ca="1" si="13"/>
        <v>799.03142866466635</v>
      </c>
      <c r="Y54" s="137"/>
      <c r="Z54" s="137">
        <f t="shared" ca="1" si="16"/>
        <v>4502.2090165727614</v>
      </c>
      <c r="AD54" s="137"/>
    </row>
    <row r="55" spans="1:30">
      <c r="E55" s="137"/>
      <c r="F55" s="137"/>
      <c r="G55" s="137"/>
      <c r="H55" s="137"/>
      <c r="I55" s="137"/>
      <c r="J55" s="137"/>
      <c r="K55" s="137"/>
      <c r="L55" s="137"/>
      <c r="M55" s="137"/>
      <c r="N55" s="137"/>
      <c r="O55" s="137"/>
      <c r="P55" s="137"/>
      <c r="Q55" s="137"/>
      <c r="R55" s="137"/>
      <c r="S55" s="137"/>
      <c r="T55" s="137"/>
      <c r="U55" s="137"/>
      <c r="V55" s="137"/>
      <c r="W55" s="137"/>
      <c r="X55" s="137"/>
      <c r="Y55" s="137"/>
    </row>
    <row r="56" spans="1:30">
      <c r="E56" s="137">
        <f t="shared" ref="E56:X56" si="17">SUM(E51:E54)</f>
        <v>0</v>
      </c>
      <c r="F56" s="137">
        <f t="shared" si="17"/>
        <v>0</v>
      </c>
      <c r="G56" s="137">
        <f t="shared" si="17"/>
        <v>0</v>
      </c>
      <c r="H56" s="137">
        <f t="shared" si="17"/>
        <v>0</v>
      </c>
      <c r="I56" s="137">
        <f t="shared" si="17"/>
        <v>0</v>
      </c>
      <c r="J56" s="137">
        <f t="shared" si="17"/>
        <v>0</v>
      </c>
      <c r="K56" s="137">
        <f t="shared" si="17"/>
        <v>0</v>
      </c>
      <c r="L56" s="137">
        <f t="shared" si="17"/>
        <v>0</v>
      </c>
      <c r="M56" s="137">
        <f t="shared" si="17"/>
        <v>0</v>
      </c>
      <c r="N56" s="137">
        <f t="shared" si="17"/>
        <v>0</v>
      </c>
      <c r="O56" s="137">
        <f t="shared" si="17"/>
        <v>0</v>
      </c>
      <c r="P56" s="137">
        <f t="shared" si="17"/>
        <v>0</v>
      </c>
      <c r="Q56" s="137">
        <f t="shared" si="17"/>
        <v>0</v>
      </c>
      <c r="R56" s="137">
        <f t="shared" si="17"/>
        <v>0</v>
      </c>
      <c r="S56" s="137">
        <f t="shared" si="17"/>
        <v>0</v>
      </c>
      <c r="T56" s="137">
        <f t="shared" ca="1" si="17"/>
        <v>71390.598373082845</v>
      </c>
      <c r="U56" s="137">
        <f t="shared" ca="1" si="17"/>
        <v>61976.182775180583</v>
      </c>
      <c r="V56" s="137">
        <f t="shared" ca="1" si="17"/>
        <v>52857.57129305572</v>
      </c>
      <c r="W56" s="137">
        <f t="shared" ca="1" si="17"/>
        <v>44562.019799546018</v>
      </c>
      <c r="X56" s="137">
        <f t="shared" ca="1" si="17"/>
        <v>36559.416878281183</v>
      </c>
      <c r="Y56" s="137"/>
      <c r="Z56" s="137">
        <f ca="1">SUM(E56:X56)</f>
        <v>267345.78911914636</v>
      </c>
      <c r="AD56" s="137"/>
    </row>
    <row r="57" spans="1:30">
      <c r="E57" s="137"/>
      <c r="F57" s="137"/>
      <c r="G57" s="137"/>
      <c r="H57" s="137"/>
      <c r="I57" s="137"/>
      <c r="J57" s="137"/>
      <c r="K57" s="137"/>
      <c r="L57" s="137"/>
      <c r="M57" s="137"/>
      <c r="N57" s="137"/>
      <c r="O57" s="137"/>
      <c r="P57" s="137"/>
      <c r="Q57" s="137"/>
      <c r="R57" s="137"/>
      <c r="S57" s="137"/>
      <c r="T57" s="137"/>
      <c r="U57" s="137"/>
      <c r="V57" s="137"/>
      <c r="W57" s="137"/>
      <c r="X57" s="137"/>
      <c r="Y57" s="137"/>
      <c r="Z57" s="137"/>
      <c r="AD57" s="137"/>
    </row>
    <row r="58" spans="1:30" ht="15.75" thickBot="1">
      <c r="E58" s="536" t="s">
        <v>985</v>
      </c>
      <c r="F58" s="137"/>
      <c r="G58" s="137"/>
      <c r="H58" s="137"/>
      <c r="I58" s="137"/>
      <c r="J58" s="137"/>
      <c r="K58" s="137"/>
      <c r="L58" s="137"/>
      <c r="M58" s="137"/>
      <c r="N58" s="137"/>
      <c r="O58" s="137"/>
      <c r="P58" s="137"/>
      <c r="Q58" s="137"/>
      <c r="R58" s="137"/>
      <c r="S58" s="137"/>
      <c r="T58" s="137"/>
      <c r="U58" s="137"/>
      <c r="V58" s="137"/>
      <c r="W58" s="137"/>
      <c r="X58" s="137"/>
      <c r="Y58" s="137"/>
    </row>
    <row r="59" spans="1:30" ht="15.75" thickBot="1">
      <c r="A59" s="538" t="s">
        <v>1076</v>
      </c>
      <c r="D59" s="536" t="str">
        <f>D42</f>
        <v>Dishwasher - NR</v>
      </c>
      <c r="E59" s="540">
        <f>VLOOKUP($D$42,[2]ACHIEV!$B$9:$X$100,MATCH(E$11,$E$11:$Y$11,0)+2,FALSE)</f>
        <v>0.10937459468255628</v>
      </c>
      <c r="F59" s="540">
        <f>VLOOKUP($D$42,[2]ACHIEV!$B$9:$X$100,MATCH(F$11,$E$11:$Y$11,0)+2,FALSE)</f>
        <v>0.21874918936511256</v>
      </c>
      <c r="G59" s="540">
        <f>VLOOKUP($D$42,[2]ACHIEV!$B$9:$X$100,MATCH(G$11,$E$11:$Y$11,0)+2,FALSE)</f>
        <v>0.32812378404766884</v>
      </c>
      <c r="H59" s="540">
        <f>VLOOKUP($D$42,[2]ACHIEV!$B$9:$X$100,MATCH(H$11,$E$11:$Y$11,0)+2,FALSE)</f>
        <v>0.43749837873022512</v>
      </c>
      <c r="I59" s="540">
        <f>VLOOKUP($D$42,[2]ACHIEV!$B$9:$X$100,MATCH(I$11,$E$11:$Y$11,0)+2,FALSE)</f>
        <v>0.5468729734127814</v>
      </c>
      <c r="J59" s="540">
        <f>VLOOKUP($D$42,[2]ACHIEV!$B$9:$X$100,MATCH(J$11,$E$11:$Y$11,0)+2,FALSE)</f>
        <v>0.64531010862708205</v>
      </c>
      <c r="K59" s="540">
        <f>VLOOKUP($D$42,[2]ACHIEV!$B$9:$X$100,MATCH(K$11,$E$11:$Y$11,0)+2,FALSE)</f>
        <v>0.7240598167985226</v>
      </c>
      <c r="L59" s="540">
        <f>VLOOKUP($D$42,[2]ACHIEV!$B$9:$X$100,MATCH(L$11,$E$11:$Y$11,0)+2,FALSE)</f>
        <v>0.78705958333567505</v>
      </c>
      <c r="M59" s="540">
        <f>VLOOKUP($D$42,[2]ACHIEV!$B$9:$X$100,MATCH(M$11,$E$11:$Y$11,0)+2,FALSE)</f>
        <v>0.83745939656539703</v>
      </c>
      <c r="N59" s="540">
        <f>VLOOKUP($D$42,[2]ACHIEV!$B$9:$X$100,MATCH(N$11,$E$11:$Y$11,0)+2,FALSE)</f>
        <v>0.87777924714917455</v>
      </c>
      <c r="O59" s="540">
        <f>VLOOKUP($D$42,[2]ACHIEV!$B$9:$X$100,MATCH(O$11,$E$11:$Y$11,0)+2,FALSE)</f>
        <v>0.91003512761619654</v>
      </c>
      <c r="P59" s="540">
        <f>VLOOKUP($D$42,[2]ACHIEV!$B$9:$X$100,MATCH(P$11,$E$11:$Y$11,0)+2,FALSE)</f>
        <v>0.93583983198981413</v>
      </c>
      <c r="Q59" s="540">
        <f>VLOOKUP($D$42,[2]ACHIEV!$B$9:$X$100,MATCH(Q$11,$E$11:$Y$11,0)+2,FALSE)</f>
        <v>0.9564835954887082</v>
      </c>
      <c r="R59" s="540">
        <f>VLOOKUP($D$42,[2]ACHIEV!$B$9:$X$100,MATCH(R$11,$E$11:$Y$11,0)+2,FALSE)</f>
        <v>0.97299860628782353</v>
      </c>
      <c r="S59" s="540">
        <f>VLOOKUP($D$42,[2]ACHIEV!$B$9:$X$100,MATCH(S$11,$E$11:$Y$11,0)+2,FALSE)</f>
        <v>0.9862106149271157</v>
      </c>
      <c r="T59" s="540">
        <f>VLOOKUP($D$42,[2]ACHIEV!$B$9:$X$100,MATCH(T$11,$E$11:$Y$11,0)+2,FALSE)</f>
        <v>0.99678022183854953</v>
      </c>
      <c r="U59" s="540">
        <f>VLOOKUP($D$42,[2]ACHIEV!$B$9:$X$100,MATCH(U$11,$E$11:$Y$11,0)+2,FALSE)</f>
        <v>0.99685231466234414</v>
      </c>
      <c r="V59" s="540">
        <f>VLOOKUP($D$42,[2]ACHIEV!$B$9:$X$100,MATCH(V$11,$E$11:$Y$11,0)+2,FALSE)</f>
        <v>0.99687806209941365</v>
      </c>
      <c r="W59" s="540">
        <f>VLOOKUP($D$42,[2]ACHIEV!$B$9:$X$100,MATCH(W$11,$E$11:$Y$11,0)+2,FALSE)</f>
        <v>0.99688683963477831</v>
      </c>
      <c r="X59" s="540">
        <f>VLOOKUP($D$42,[2]ACHIEV!$B$9:$X$100,MATCH(X$11,$E$11:$Y$11,0)+2,FALSE)</f>
        <v>0.99688970187457115</v>
      </c>
      <c r="Y59" s="613"/>
      <c r="Z59" s="612">
        <v>0.85</v>
      </c>
    </row>
    <row r="60" spans="1:30">
      <c r="D60" s="34" t="str">
        <f>C23</f>
        <v>Single Family</v>
      </c>
      <c r="E60" s="137">
        <f ca="1">(E43+E51)*E$59*$Z$59</f>
        <v>22271.397328010804</v>
      </c>
      <c r="F60" s="137">
        <f t="shared" ref="F60:X60" ca="1" si="18">(F43+F51)*F$59*$Z$59</f>
        <v>44441.647710786798</v>
      </c>
      <c r="G60" s="137">
        <f t="shared" ca="1" si="18"/>
        <v>66511.095672215961</v>
      </c>
      <c r="H60" s="137">
        <f t="shared" ca="1" si="18"/>
        <v>88480.084693068362</v>
      </c>
      <c r="I60" s="137">
        <f t="shared" ca="1" si="18"/>
        <v>110348.9572139571</v>
      </c>
      <c r="J60" s="137">
        <f t="shared" ca="1" si="18"/>
        <v>129916.08706098619</v>
      </c>
      <c r="K60" s="137">
        <f t="shared" ca="1" si="18"/>
        <v>145439.24125130777</v>
      </c>
      <c r="L60" s="137">
        <f t="shared" ca="1" si="18"/>
        <v>157734.77703599134</v>
      </c>
      <c r="M60" s="137">
        <f t="shared" ca="1" si="18"/>
        <v>167454.29671098685</v>
      </c>
      <c r="N60" s="137">
        <f t="shared" ca="1" si="18"/>
        <v>175117.8979072379</v>
      </c>
      <c r="O60" s="137">
        <f t="shared" ca="1" si="18"/>
        <v>181140.71341946031</v>
      </c>
      <c r="P60" s="137">
        <f t="shared" ca="1" si="18"/>
        <v>185854.09485624539</v>
      </c>
      <c r="Q60" s="137">
        <f t="shared" ca="1" si="18"/>
        <v>189522.52107739006</v>
      </c>
      <c r="R60" s="137">
        <f t="shared" ca="1" si="18"/>
        <v>192357.09422746827</v>
      </c>
      <c r="S60" s="137">
        <f t="shared" ca="1" si="18"/>
        <v>194526.31204545285</v>
      </c>
      <c r="T60" s="137">
        <f t="shared" ca="1" si="18"/>
        <v>238444.03282488935</v>
      </c>
      <c r="U60" s="137">
        <f t="shared" ca="1" si="18"/>
        <v>232032.92283024415</v>
      </c>
      <c r="V60" s="137">
        <f t="shared" ca="1" si="18"/>
        <v>225771.52992385221</v>
      </c>
      <c r="W60" s="137">
        <f t="shared" ca="1" si="18"/>
        <v>220537.00966676328</v>
      </c>
      <c r="X60" s="137">
        <f t="shared" ca="1" si="18"/>
        <v>215705.46829505713</v>
      </c>
      <c r="Y60" s="137"/>
    </row>
    <row r="61" spans="1:30">
      <c r="D61" s="34" t="str">
        <f>C24</f>
        <v>Multifamily - Low Rise</v>
      </c>
      <c r="E61" s="137">
        <f t="shared" ref="E61:X61" ca="1" si="19">(E44+E52)*E$59*$Z$59</f>
        <v>4367.8448428133443</v>
      </c>
      <c r="F61" s="137">
        <f t="shared" ca="1" si="19"/>
        <v>8715.8525258990157</v>
      </c>
      <c r="G61" s="137">
        <f t="shared" ca="1" si="19"/>
        <v>13044.090619120447</v>
      </c>
      <c r="H61" s="137">
        <f t="shared" ca="1" si="19"/>
        <v>17352.626487755955</v>
      </c>
      <c r="I61" s="137">
        <f t="shared" ca="1" si="19"/>
        <v>21641.527293079413</v>
      </c>
      <c r="J61" s="137">
        <f t="shared" ca="1" si="19"/>
        <v>25479.012326390472</v>
      </c>
      <c r="K61" s="137">
        <f t="shared" ca="1" si="19"/>
        <v>28523.396669467264</v>
      </c>
      <c r="L61" s="137">
        <f t="shared" ca="1" si="19"/>
        <v>30934.783560654028</v>
      </c>
      <c r="M61" s="137">
        <f t="shared" ca="1" si="19"/>
        <v>32840.964642318446</v>
      </c>
      <c r="N61" s="137">
        <f t="shared" ca="1" si="19"/>
        <v>34343.940979263192</v>
      </c>
      <c r="O61" s="137">
        <f t="shared" ca="1" si="19"/>
        <v>35525.128027018996</v>
      </c>
      <c r="P61" s="137">
        <f t="shared" ca="1" si="19"/>
        <v>36449.510150850721</v>
      </c>
      <c r="Q61" s="137">
        <f t="shared" ca="1" si="19"/>
        <v>37168.956693637134</v>
      </c>
      <c r="R61" s="137">
        <f t="shared" ca="1" si="19"/>
        <v>37724.868806025588</v>
      </c>
      <c r="S61" s="137">
        <f t="shared" ca="1" si="19"/>
        <v>38150.292102179796</v>
      </c>
      <c r="T61" s="137">
        <f t="shared" ca="1" si="19"/>
        <v>52446.791828415822</v>
      </c>
      <c r="U61" s="137">
        <f t="shared" ca="1" si="19"/>
        <v>50789.023569950739</v>
      </c>
      <c r="V61" s="137">
        <f t="shared" ca="1" si="19"/>
        <v>49188.550586108642</v>
      </c>
      <c r="W61" s="137">
        <f t="shared" ca="1" si="19"/>
        <v>47396.567359933244</v>
      </c>
      <c r="X61" s="137">
        <f t="shared" ca="1" si="19"/>
        <v>45501.672285840788</v>
      </c>
      <c r="Y61" s="137"/>
    </row>
    <row r="62" spans="1:30">
      <c r="D62" s="34" t="str">
        <f>C25</f>
        <v>Multifamily - High Rise</v>
      </c>
      <c r="E62" s="137">
        <f t="shared" ref="E62:X62" ca="1" si="20">(E45+E53)*E$59*$Z$59</f>
        <v>995.85267329905014</v>
      </c>
      <c r="F62" s="137">
        <f t="shared" ca="1" si="20"/>
        <v>1987.1825466231958</v>
      </c>
      <c r="G62" s="137">
        <f t="shared" ca="1" si="20"/>
        <v>2974.0050256545424</v>
      </c>
      <c r="H62" s="137">
        <f t="shared" ca="1" si="20"/>
        <v>3956.3354694305353</v>
      </c>
      <c r="I62" s="137">
        <f t="shared" ca="1" si="20"/>
        <v>4934.1891904763543</v>
      </c>
      <c r="J62" s="137">
        <f t="shared" ca="1" si="20"/>
        <v>5809.1217640213481</v>
      </c>
      <c r="K62" s="137">
        <f t="shared" ca="1" si="20"/>
        <v>6503.2302765045952</v>
      </c>
      <c r="L62" s="137">
        <f t="shared" ca="1" si="20"/>
        <v>7053.0176815901395</v>
      </c>
      <c r="M62" s="137">
        <f t="shared" ca="1" si="20"/>
        <v>7487.6200070575687</v>
      </c>
      <c r="N62" s="137">
        <f t="shared" ca="1" si="20"/>
        <v>7830.2931231858365</v>
      </c>
      <c r="O62" s="137">
        <f t="shared" ca="1" si="20"/>
        <v>8099.5994565161609</v>
      </c>
      <c r="P62" s="137">
        <f t="shared" ca="1" si="20"/>
        <v>8310.3552050135677</v>
      </c>
      <c r="Q62" s="137">
        <f t="shared" ca="1" si="20"/>
        <v>8474.3863894336046</v>
      </c>
      <c r="R62" s="137">
        <f t="shared" ca="1" si="20"/>
        <v>8601.1323209316615</v>
      </c>
      <c r="S62" s="137">
        <f t="shared" ca="1" si="20"/>
        <v>8698.127278858321</v>
      </c>
      <c r="T62" s="137">
        <f t="shared" ca="1" si="20"/>
        <v>11908.69531243995</v>
      </c>
      <c r="U62" s="137">
        <f t="shared" ca="1" si="20"/>
        <v>11575.436905355025</v>
      </c>
      <c r="V62" s="137">
        <f t="shared" ca="1" si="20"/>
        <v>11248.362238875347</v>
      </c>
      <c r="W62" s="137">
        <f t="shared" ca="1" si="20"/>
        <v>10785.612456777739</v>
      </c>
      <c r="X62" s="137">
        <f t="shared" ca="1" si="20"/>
        <v>10325.402097552853</v>
      </c>
      <c r="Y62" s="137"/>
    </row>
    <row r="63" spans="1:30">
      <c r="D63" s="34" t="str">
        <f>C26</f>
        <v>Manufactured</v>
      </c>
      <c r="E63" s="137">
        <f ca="1">(E46+E54)*E$59*$Z$59</f>
        <v>2631.1809816317373</v>
      </c>
      <c r="F63" s="137">
        <f t="shared" ref="F63:X63" ca="1" si="21">(F46+F54)*F$59*$Z$59</f>
        <v>5206.1231721227932</v>
      </c>
      <c r="G63" s="137">
        <f t="shared" ca="1" si="21"/>
        <v>7725.7281062738102</v>
      </c>
      <c r="H63" s="137">
        <f t="shared" ca="1" si="21"/>
        <v>10190.884472631797</v>
      </c>
      <c r="I63" s="137">
        <f t="shared" ca="1" si="21"/>
        <v>12602.4682850998</v>
      </c>
      <c r="J63" s="137">
        <f t="shared" ca="1" si="21"/>
        <v>14711.987334806705</v>
      </c>
      <c r="K63" s="137">
        <f t="shared" ca="1" si="21"/>
        <v>16330.93469087903</v>
      </c>
      <c r="L63" s="137">
        <f t="shared" ca="1" si="21"/>
        <v>17562.159985861344</v>
      </c>
      <c r="M63" s="137">
        <f t="shared" ca="1" si="21"/>
        <v>18487.057820876351</v>
      </c>
      <c r="N63" s="137">
        <f t="shared" ca="1" si="21"/>
        <v>19170.042265414584</v>
      </c>
      <c r="O63" s="137">
        <f t="shared" ca="1" si="21"/>
        <v>19662.088201370738</v>
      </c>
      <c r="P63" s="137">
        <f t="shared" ca="1" si="21"/>
        <v>20003.534120582597</v>
      </c>
      <c r="Q63" s="137">
        <f t="shared" ca="1" si="21"/>
        <v>20226.300399448286</v>
      </c>
      <c r="R63" s="137">
        <f t="shared" ca="1" si="21"/>
        <v>20355.644952643848</v>
      </c>
      <c r="S63" s="137">
        <f t="shared" ca="1" si="21"/>
        <v>20411.552745346668</v>
      </c>
      <c r="T63" s="137">
        <f t="shared" ca="1" si="21"/>
        <v>21504.595635395999</v>
      </c>
      <c r="U63" s="137">
        <f t="shared" ca="1" si="21"/>
        <v>21182.220471017925</v>
      </c>
      <c r="V63" s="137">
        <f t="shared" ca="1" si="21"/>
        <v>20885.353814937771</v>
      </c>
      <c r="W63" s="137">
        <f t="shared" ca="1" si="21"/>
        <v>20584.259830641044</v>
      </c>
      <c r="X63" s="137">
        <f t="shared" ca="1" si="21"/>
        <v>20230.455503579418</v>
      </c>
      <c r="Y63" s="137"/>
    </row>
    <row r="65" spans="1:29">
      <c r="E65" s="137">
        <f t="shared" ref="E65:X65" ca="1" si="22">SUM(E60:E63)</f>
        <v>30266.275825754936</v>
      </c>
      <c r="F65" s="137">
        <f t="shared" ca="1" si="22"/>
        <v>60350.805955431802</v>
      </c>
      <c r="G65" s="137">
        <f t="shared" ca="1" si="22"/>
        <v>90254.919423264742</v>
      </c>
      <c r="H65" s="137">
        <f t="shared" ca="1" si="22"/>
        <v>119979.93112288664</v>
      </c>
      <c r="I65" s="137">
        <f t="shared" ca="1" si="22"/>
        <v>149527.14198261267</v>
      </c>
      <c r="J65" s="137">
        <f t="shared" ca="1" si="22"/>
        <v>175916.2084862047</v>
      </c>
      <c r="K65" s="137">
        <f t="shared" ca="1" si="22"/>
        <v>196796.80288815865</v>
      </c>
      <c r="L65" s="137">
        <f t="shared" ca="1" si="22"/>
        <v>213284.73826409684</v>
      </c>
      <c r="M65" s="137">
        <f t="shared" ca="1" si="22"/>
        <v>226269.93918123923</v>
      </c>
      <c r="N65" s="137">
        <f t="shared" ca="1" si="22"/>
        <v>236462.17427510151</v>
      </c>
      <c r="O65" s="137">
        <f t="shared" ca="1" si="22"/>
        <v>244427.5291043662</v>
      </c>
      <c r="P65" s="137">
        <f t="shared" ca="1" si="22"/>
        <v>250617.49433269227</v>
      </c>
      <c r="Q65" s="137">
        <f t="shared" ca="1" si="22"/>
        <v>255392.16455990908</v>
      </c>
      <c r="R65" s="137">
        <f t="shared" ca="1" si="22"/>
        <v>259038.74030706938</v>
      </c>
      <c r="S65" s="137">
        <f t="shared" ca="1" si="22"/>
        <v>261786.28417183767</v>
      </c>
      <c r="T65" s="137">
        <f t="shared" ca="1" si="22"/>
        <v>324304.11560114112</v>
      </c>
      <c r="U65" s="137">
        <f t="shared" ca="1" si="22"/>
        <v>315579.60377656785</v>
      </c>
      <c r="V65" s="137">
        <f t="shared" ca="1" si="22"/>
        <v>307093.796563774</v>
      </c>
      <c r="W65" s="137">
        <f t="shared" ca="1" si="22"/>
        <v>299303.44931411528</v>
      </c>
      <c r="X65" s="137">
        <f t="shared" ca="1" si="22"/>
        <v>291762.99818203016</v>
      </c>
      <c r="Y65" s="137"/>
    </row>
    <row r="66" spans="1:29">
      <c r="E66" s="137"/>
      <c r="F66" s="137"/>
      <c r="G66" s="137"/>
      <c r="H66" s="137"/>
      <c r="I66" s="137"/>
      <c r="J66" s="137"/>
      <c r="K66" s="137"/>
      <c r="L66" s="137"/>
      <c r="M66" s="137"/>
      <c r="N66" s="137"/>
      <c r="O66" s="137"/>
      <c r="P66" s="137"/>
      <c r="Q66" s="137"/>
      <c r="R66" s="137"/>
      <c r="S66" s="137"/>
      <c r="T66" s="137"/>
      <c r="U66" s="137"/>
      <c r="V66" s="137"/>
      <c r="W66" s="137"/>
      <c r="X66" s="137"/>
      <c r="Y66" s="137"/>
    </row>
    <row r="68" spans="1:29" ht="15">
      <c r="A68" s="538" t="s">
        <v>1077</v>
      </c>
      <c r="D68" s="536" t="str">
        <f>D42</f>
        <v>Dishwasher - NR</v>
      </c>
      <c r="E68" s="536">
        <v>1</v>
      </c>
      <c r="F68" s="536">
        <v>2</v>
      </c>
      <c r="G68" s="536">
        <v>3</v>
      </c>
      <c r="H68" s="536">
        <v>4</v>
      </c>
      <c r="I68" s="536">
        <v>5</v>
      </c>
      <c r="J68" s="536">
        <v>6</v>
      </c>
      <c r="K68" s="536">
        <v>7</v>
      </c>
      <c r="L68" s="536">
        <v>8</v>
      </c>
      <c r="M68" s="536">
        <v>9</v>
      </c>
      <c r="N68" s="536">
        <v>10</v>
      </c>
      <c r="O68" s="536">
        <v>11</v>
      </c>
      <c r="P68" s="536">
        <v>12</v>
      </c>
      <c r="Q68" s="536">
        <v>13</v>
      </c>
      <c r="R68" s="536">
        <v>14</v>
      </c>
      <c r="S68" s="536">
        <v>15</v>
      </c>
      <c r="T68" s="536">
        <v>16</v>
      </c>
      <c r="U68" s="536">
        <v>17</v>
      </c>
      <c r="V68" s="536">
        <v>18</v>
      </c>
      <c r="W68" s="536">
        <v>19</v>
      </c>
      <c r="X68" s="536">
        <v>20</v>
      </c>
      <c r="Y68" s="536"/>
    </row>
    <row r="69" spans="1:29">
      <c r="D69" s="34" t="str">
        <f>D60</f>
        <v>Single Family</v>
      </c>
      <c r="E69" s="137">
        <f ca="1">E60</f>
        <v>22271.397328010804</v>
      </c>
      <c r="F69" s="137">
        <f ca="1">E69+F60</f>
        <v>66713.045038797602</v>
      </c>
      <c r="G69" s="137">
        <f t="shared" ref="G69:X72" ca="1" si="23">F69+G60</f>
        <v>133224.14071101358</v>
      </c>
      <c r="H69" s="137">
        <f t="shared" ca="1" si="23"/>
        <v>221704.22540408192</v>
      </c>
      <c r="I69" s="137">
        <f t="shared" ca="1" si="23"/>
        <v>332053.18261803902</v>
      </c>
      <c r="J69" s="137">
        <f t="shared" ca="1" si="23"/>
        <v>461969.26967902522</v>
      </c>
      <c r="K69" s="137">
        <f t="shared" ca="1" si="23"/>
        <v>607408.51093033305</v>
      </c>
      <c r="L69" s="137">
        <f t="shared" ca="1" si="23"/>
        <v>765143.28796632437</v>
      </c>
      <c r="M69" s="137">
        <f t="shared" ca="1" si="23"/>
        <v>932597.58467731124</v>
      </c>
      <c r="N69" s="137">
        <f t="shared" ca="1" si="23"/>
        <v>1107715.4825845491</v>
      </c>
      <c r="O69" s="137">
        <f t="shared" ca="1" si="23"/>
        <v>1288856.1960040093</v>
      </c>
      <c r="P69" s="137">
        <f t="shared" ca="1" si="23"/>
        <v>1474710.2908602548</v>
      </c>
      <c r="Q69" s="137">
        <f t="shared" ca="1" si="23"/>
        <v>1664232.8119376448</v>
      </c>
      <c r="R69" s="137">
        <f t="shared" ca="1" si="23"/>
        <v>1856589.9061651132</v>
      </c>
      <c r="S69" s="137">
        <f t="shared" ca="1" si="23"/>
        <v>2051116.2182105661</v>
      </c>
      <c r="T69" s="137">
        <f t="shared" ca="1" si="23"/>
        <v>2289560.2510354556</v>
      </c>
      <c r="U69" s="137">
        <f t="shared" ca="1" si="23"/>
        <v>2521593.1738656997</v>
      </c>
      <c r="V69" s="137">
        <f t="shared" ca="1" si="23"/>
        <v>2747364.7037895517</v>
      </c>
      <c r="W69" s="137">
        <f t="shared" ca="1" si="23"/>
        <v>2967901.713456315</v>
      </c>
      <c r="X69" s="137">
        <f ca="1">W69+X60</f>
        <v>3183607.1817513723</v>
      </c>
      <c r="Y69" s="137"/>
    </row>
    <row r="70" spans="1:29">
      <c r="D70" s="34" t="str">
        <f t="shared" ref="D70:D72" si="24">D61</f>
        <v>Multifamily - Low Rise</v>
      </c>
      <c r="E70" s="137">
        <f t="shared" ref="E70:E72" ca="1" si="25">E61</f>
        <v>4367.8448428133443</v>
      </c>
      <c r="F70" s="137">
        <f t="shared" ref="F70:U72" ca="1" si="26">E70+F61</f>
        <v>13083.697368712361</v>
      </c>
      <c r="G70" s="137">
        <f t="shared" ca="1" si="26"/>
        <v>26127.787987832809</v>
      </c>
      <c r="H70" s="137">
        <f t="shared" ca="1" si="26"/>
        <v>43480.414475588768</v>
      </c>
      <c r="I70" s="137">
        <f t="shared" ca="1" si="26"/>
        <v>65121.941768668185</v>
      </c>
      <c r="J70" s="137">
        <f t="shared" ca="1" si="26"/>
        <v>90600.954095058652</v>
      </c>
      <c r="K70" s="137">
        <f t="shared" ca="1" si="26"/>
        <v>119124.35076452591</v>
      </c>
      <c r="L70" s="137">
        <f t="shared" ca="1" si="26"/>
        <v>150059.13432517994</v>
      </c>
      <c r="M70" s="137">
        <f t="shared" ca="1" si="26"/>
        <v>182900.0989674984</v>
      </c>
      <c r="N70" s="137">
        <f t="shared" ca="1" si="26"/>
        <v>217244.03994676159</v>
      </c>
      <c r="O70" s="137">
        <f t="shared" ca="1" si="26"/>
        <v>252769.1679737806</v>
      </c>
      <c r="P70" s="137">
        <f t="shared" ca="1" si="26"/>
        <v>289218.67812463129</v>
      </c>
      <c r="Q70" s="137">
        <f t="shared" ca="1" si="26"/>
        <v>326387.63481826842</v>
      </c>
      <c r="R70" s="137">
        <f t="shared" ca="1" si="26"/>
        <v>364112.50362429401</v>
      </c>
      <c r="S70" s="137">
        <f t="shared" ca="1" si="26"/>
        <v>402262.79572647379</v>
      </c>
      <c r="T70" s="137">
        <f t="shared" ca="1" si="26"/>
        <v>454709.58755488961</v>
      </c>
      <c r="U70" s="137">
        <f t="shared" ca="1" si="26"/>
        <v>505498.61112484033</v>
      </c>
      <c r="V70" s="137">
        <f t="shared" ca="1" si="23"/>
        <v>554687.16171094892</v>
      </c>
      <c r="W70" s="137">
        <f t="shared" ca="1" si="23"/>
        <v>602083.7290708822</v>
      </c>
      <c r="X70" s="137">
        <f t="shared" ca="1" si="23"/>
        <v>647585.40135672293</v>
      </c>
      <c r="Y70" s="137"/>
    </row>
    <row r="71" spans="1:29">
      <c r="D71" s="34" t="str">
        <f t="shared" si="24"/>
        <v>Multifamily - High Rise</v>
      </c>
      <c r="E71" s="137">
        <f t="shared" ca="1" si="25"/>
        <v>995.85267329905014</v>
      </c>
      <c r="F71" s="137">
        <f t="shared" ca="1" si="26"/>
        <v>2983.0352199222461</v>
      </c>
      <c r="G71" s="137">
        <f t="shared" ca="1" si="23"/>
        <v>5957.0402455767889</v>
      </c>
      <c r="H71" s="137">
        <f t="shared" ca="1" si="23"/>
        <v>9913.3757150073252</v>
      </c>
      <c r="I71" s="137">
        <f t="shared" ca="1" si="23"/>
        <v>14847.564905483679</v>
      </c>
      <c r="J71" s="137">
        <f t="shared" ca="1" si="23"/>
        <v>20656.686669505027</v>
      </c>
      <c r="K71" s="137">
        <f t="shared" ca="1" si="23"/>
        <v>27159.916946009624</v>
      </c>
      <c r="L71" s="137">
        <f t="shared" ca="1" si="23"/>
        <v>34212.934627599767</v>
      </c>
      <c r="M71" s="137">
        <f t="shared" ca="1" si="23"/>
        <v>41700.554634657339</v>
      </c>
      <c r="N71" s="137">
        <f t="shared" ca="1" si="23"/>
        <v>49530.847757843178</v>
      </c>
      <c r="O71" s="137">
        <f t="shared" ca="1" si="23"/>
        <v>57630.447214359338</v>
      </c>
      <c r="P71" s="137">
        <f t="shared" ca="1" si="23"/>
        <v>65940.802419372907</v>
      </c>
      <c r="Q71" s="137">
        <f t="shared" ca="1" si="23"/>
        <v>74415.188808806517</v>
      </c>
      <c r="R71" s="137">
        <f t="shared" ca="1" si="23"/>
        <v>83016.321129738179</v>
      </c>
      <c r="S71" s="137">
        <f t="shared" ca="1" si="23"/>
        <v>91714.448408596494</v>
      </c>
      <c r="T71" s="137">
        <f t="shared" ca="1" si="23"/>
        <v>103623.14372103644</v>
      </c>
      <c r="U71" s="137">
        <f t="shared" ca="1" si="23"/>
        <v>115198.58062639146</v>
      </c>
      <c r="V71" s="137">
        <f t="shared" ca="1" si="23"/>
        <v>126446.9428652668</v>
      </c>
      <c r="W71" s="137">
        <f t="shared" ca="1" si="23"/>
        <v>137232.55532204453</v>
      </c>
      <c r="X71" s="137">
        <f t="shared" ca="1" si="23"/>
        <v>147557.95741959737</v>
      </c>
      <c r="Y71" s="137"/>
    </row>
    <row r="72" spans="1:29">
      <c r="D72" s="34" t="str">
        <f t="shared" si="24"/>
        <v>Manufactured</v>
      </c>
      <c r="E72" s="137">
        <f t="shared" ca="1" si="25"/>
        <v>2631.1809816317373</v>
      </c>
      <c r="F72" s="137">
        <f t="shared" ca="1" si="26"/>
        <v>7837.3041537545305</v>
      </c>
      <c r="G72" s="137">
        <f t="shared" ca="1" si="23"/>
        <v>15563.03226002834</v>
      </c>
      <c r="H72" s="137">
        <f t="shared" ca="1" si="23"/>
        <v>25753.916732660138</v>
      </c>
      <c r="I72" s="137">
        <f t="shared" ca="1" si="23"/>
        <v>38356.385017759938</v>
      </c>
      <c r="J72" s="137">
        <f t="shared" ca="1" si="23"/>
        <v>53068.372352566643</v>
      </c>
      <c r="K72" s="137">
        <f t="shared" ca="1" si="23"/>
        <v>69399.307043445675</v>
      </c>
      <c r="L72" s="137">
        <f t="shared" ca="1" si="23"/>
        <v>86961.467029307023</v>
      </c>
      <c r="M72" s="137">
        <f t="shared" ca="1" si="23"/>
        <v>105448.52485018337</v>
      </c>
      <c r="N72" s="137">
        <f t="shared" ca="1" si="23"/>
        <v>124618.56711559795</v>
      </c>
      <c r="O72" s="137">
        <f t="shared" ca="1" si="23"/>
        <v>144280.65531696868</v>
      </c>
      <c r="P72" s="137">
        <f t="shared" ca="1" si="23"/>
        <v>164284.18943755128</v>
      </c>
      <c r="Q72" s="137">
        <f t="shared" ca="1" si="23"/>
        <v>184510.48983699956</v>
      </c>
      <c r="R72" s="137">
        <f t="shared" ca="1" si="23"/>
        <v>204866.1347896434</v>
      </c>
      <c r="S72" s="137">
        <f t="shared" ca="1" si="23"/>
        <v>225277.68753499008</v>
      </c>
      <c r="T72" s="137">
        <f t="shared" ca="1" si="23"/>
        <v>246782.28317038607</v>
      </c>
      <c r="U72" s="137">
        <f t="shared" ca="1" si="23"/>
        <v>267964.50364140398</v>
      </c>
      <c r="V72" s="137">
        <f t="shared" ca="1" si="23"/>
        <v>288849.85745634174</v>
      </c>
      <c r="W72" s="137">
        <f t="shared" ca="1" si="23"/>
        <v>309434.11728698277</v>
      </c>
      <c r="X72" s="137">
        <f t="shared" ca="1" si="23"/>
        <v>329664.57279056218</v>
      </c>
      <c r="Y72" s="137"/>
    </row>
    <row r="74" spans="1:29">
      <c r="E74" s="137">
        <f t="shared" ref="E74:X74" ca="1" si="27">SUM(E69:E72)</f>
        <v>30266.275825754936</v>
      </c>
      <c r="F74" s="137">
        <f t="shared" ca="1" si="27"/>
        <v>90617.081781186746</v>
      </c>
      <c r="G74" s="137">
        <f t="shared" ca="1" si="27"/>
        <v>180872.00120445149</v>
      </c>
      <c r="H74" s="137">
        <f t="shared" ca="1" si="27"/>
        <v>300851.93232733815</v>
      </c>
      <c r="I74" s="137">
        <f t="shared" ca="1" si="27"/>
        <v>450379.07430995081</v>
      </c>
      <c r="J74" s="137">
        <f t="shared" ca="1" si="27"/>
        <v>626295.28279615554</v>
      </c>
      <c r="K74" s="137">
        <f t="shared" ca="1" si="27"/>
        <v>823092.08568431425</v>
      </c>
      <c r="L74" s="137">
        <f t="shared" ca="1" si="27"/>
        <v>1036376.8239484112</v>
      </c>
      <c r="M74" s="137">
        <f t="shared" ca="1" si="27"/>
        <v>1262646.7631296504</v>
      </c>
      <c r="N74" s="137">
        <f t="shared" ca="1" si="27"/>
        <v>1499108.9374047518</v>
      </c>
      <c r="O74" s="137">
        <f t="shared" ca="1" si="27"/>
        <v>1743536.466509118</v>
      </c>
      <c r="P74" s="137">
        <f t="shared" ca="1" si="27"/>
        <v>1994153.9608418101</v>
      </c>
      <c r="Q74" s="137">
        <f t="shared" ca="1" si="27"/>
        <v>2249546.1254017195</v>
      </c>
      <c r="R74" s="137">
        <f t="shared" ca="1" si="27"/>
        <v>2508584.8657087889</v>
      </c>
      <c r="S74" s="137">
        <f t="shared" ca="1" si="27"/>
        <v>2770371.1498806267</v>
      </c>
      <c r="T74" s="137">
        <f t="shared" ca="1" si="27"/>
        <v>3094675.2654817682</v>
      </c>
      <c r="U74" s="137">
        <f t="shared" ca="1" si="27"/>
        <v>3410254.8692583349</v>
      </c>
      <c r="V74" s="137">
        <f t="shared" ca="1" si="27"/>
        <v>3717348.6658221092</v>
      </c>
      <c r="W74" s="137">
        <f t="shared" ca="1" si="27"/>
        <v>4016652.1151362248</v>
      </c>
      <c r="X74" s="137">
        <f t="shared" ca="1" si="27"/>
        <v>4308415.1133182552</v>
      </c>
      <c r="Y74" s="137"/>
    </row>
    <row r="75" spans="1:29">
      <c r="E75" s="137"/>
      <c r="F75" s="137"/>
      <c r="G75" s="137"/>
      <c r="H75" s="137"/>
      <c r="I75" s="137"/>
      <c r="J75" s="137"/>
      <c r="K75" s="137"/>
      <c r="L75" s="137"/>
      <c r="M75" s="137"/>
      <c r="N75" s="137"/>
      <c r="O75" s="137"/>
      <c r="P75" s="137"/>
      <c r="Q75" s="137"/>
      <c r="R75" s="137"/>
      <c r="S75" s="137"/>
      <c r="T75" s="137"/>
      <c r="U75" s="137"/>
      <c r="V75" s="137"/>
      <c r="W75" s="137"/>
      <c r="X75" s="137"/>
      <c r="Y75" s="137"/>
    </row>
    <row r="77" spans="1:29" customFormat="1">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row>
    <row r="78" spans="1:29" customFormat="1" ht="15">
      <c r="A78" s="538" t="s">
        <v>986</v>
      </c>
      <c r="B78" s="34"/>
      <c r="C78" s="34"/>
      <c r="D78" s="541" t="s">
        <v>1067</v>
      </c>
      <c r="E78" s="34" t="s">
        <v>1115</v>
      </c>
      <c r="F78" s="34"/>
      <c r="G78" s="34"/>
      <c r="H78" s="34"/>
      <c r="I78" s="34"/>
      <c r="J78" s="34"/>
      <c r="K78" s="34"/>
      <c r="L78" s="34"/>
      <c r="M78" s="34"/>
      <c r="N78" s="34"/>
      <c r="O78" s="34"/>
      <c r="P78" s="34"/>
      <c r="Q78" s="34"/>
      <c r="R78" s="34"/>
      <c r="S78" s="34"/>
      <c r="T78" s="34"/>
      <c r="U78" s="34"/>
      <c r="V78" s="34"/>
      <c r="W78" s="34"/>
      <c r="X78" s="34"/>
      <c r="Y78" s="34"/>
      <c r="Z78" s="34"/>
      <c r="AA78" s="34"/>
      <c r="AB78" s="34"/>
      <c r="AC78" s="34"/>
    </row>
    <row r="79" spans="1:29" customFormat="1" ht="15">
      <c r="A79" s="536" t="s">
        <v>987</v>
      </c>
      <c r="B79" s="536" t="s">
        <v>954</v>
      </c>
      <c r="C79" s="536"/>
      <c r="D79" s="536">
        <v>1</v>
      </c>
      <c r="E79" s="549">
        <f t="shared" ref="E79:X79" si="28">E11</f>
        <v>2016</v>
      </c>
      <c r="F79" s="542">
        <f t="shared" si="28"/>
        <v>2017</v>
      </c>
      <c r="G79" s="542">
        <f t="shared" si="28"/>
        <v>2018</v>
      </c>
      <c r="H79" s="542">
        <f t="shared" si="28"/>
        <v>2019</v>
      </c>
      <c r="I79" s="542">
        <f t="shared" si="28"/>
        <v>2020</v>
      </c>
      <c r="J79" s="542">
        <f t="shared" si="28"/>
        <v>2021</v>
      </c>
      <c r="K79" s="542">
        <f t="shared" si="28"/>
        <v>2022</v>
      </c>
      <c r="L79" s="542">
        <f t="shared" si="28"/>
        <v>2023</v>
      </c>
      <c r="M79" s="542">
        <f t="shared" si="28"/>
        <v>2024</v>
      </c>
      <c r="N79" s="542">
        <f t="shared" si="28"/>
        <v>2025</v>
      </c>
      <c r="O79" s="542">
        <f t="shared" si="28"/>
        <v>2026</v>
      </c>
      <c r="P79" s="542">
        <f t="shared" si="28"/>
        <v>2027</v>
      </c>
      <c r="Q79" s="542">
        <f t="shared" si="28"/>
        <v>2028</v>
      </c>
      <c r="R79" s="542">
        <f t="shared" si="28"/>
        <v>2029</v>
      </c>
      <c r="S79" s="542">
        <f t="shared" si="28"/>
        <v>2030</v>
      </c>
      <c r="T79" s="542">
        <f t="shared" si="28"/>
        <v>2031</v>
      </c>
      <c r="U79" s="542">
        <f t="shared" si="28"/>
        <v>2032</v>
      </c>
      <c r="V79" s="542">
        <f t="shared" si="28"/>
        <v>2033</v>
      </c>
      <c r="W79" s="542">
        <f t="shared" si="28"/>
        <v>2034</v>
      </c>
      <c r="X79" s="542">
        <f t="shared" si="28"/>
        <v>2035</v>
      </c>
      <c r="Y79" s="543" t="s">
        <v>1073</v>
      </c>
      <c r="Z79" s="34"/>
      <c r="AA79" s="34"/>
    </row>
    <row r="80" spans="1:29" customFormat="1" ht="15">
      <c r="A80" s="536" t="s">
        <v>946</v>
      </c>
      <c r="B80" s="536" t="s">
        <v>988</v>
      </c>
      <c r="C80" s="536" t="s">
        <v>989</v>
      </c>
      <c r="D80" s="536" t="s">
        <v>990</v>
      </c>
      <c r="E80" s="550" t="str">
        <f>CONCATENATE("aMW_",E$11)</f>
        <v>aMW_2016</v>
      </c>
      <c r="F80" s="544" t="str">
        <f t="shared" ref="F80:X80" si="29">CONCATENATE("aMW_",F$11)</f>
        <v>aMW_2017</v>
      </c>
      <c r="G80" s="544" t="str">
        <f t="shared" si="29"/>
        <v>aMW_2018</v>
      </c>
      <c r="H80" s="544" t="str">
        <f t="shared" si="29"/>
        <v>aMW_2019</v>
      </c>
      <c r="I80" s="544" t="str">
        <f t="shared" si="29"/>
        <v>aMW_2020</v>
      </c>
      <c r="J80" s="544" t="str">
        <f t="shared" si="29"/>
        <v>aMW_2021</v>
      </c>
      <c r="K80" s="544" t="str">
        <f t="shared" si="29"/>
        <v>aMW_2022</v>
      </c>
      <c r="L80" s="544" t="str">
        <f t="shared" si="29"/>
        <v>aMW_2023</v>
      </c>
      <c r="M80" s="544" t="str">
        <f t="shared" si="29"/>
        <v>aMW_2024</v>
      </c>
      <c r="N80" s="544" t="str">
        <f t="shared" si="29"/>
        <v>aMW_2025</v>
      </c>
      <c r="O80" s="544" t="str">
        <f t="shared" si="29"/>
        <v>aMW_2026</v>
      </c>
      <c r="P80" s="544" t="str">
        <f t="shared" si="29"/>
        <v>aMW_2027</v>
      </c>
      <c r="Q80" s="544" t="str">
        <f t="shared" si="29"/>
        <v>aMW_2028</v>
      </c>
      <c r="R80" s="544" t="str">
        <f t="shared" si="29"/>
        <v>aMW_2029</v>
      </c>
      <c r="S80" s="544" t="str">
        <f t="shared" si="29"/>
        <v>aMW_2030</v>
      </c>
      <c r="T80" s="544" t="str">
        <f t="shared" si="29"/>
        <v>aMW_2031</v>
      </c>
      <c r="U80" s="544" t="str">
        <f t="shared" si="29"/>
        <v>aMW_2032</v>
      </c>
      <c r="V80" s="544" t="str">
        <f t="shared" si="29"/>
        <v>aMW_2033</v>
      </c>
      <c r="W80" s="544" t="str">
        <f t="shared" si="29"/>
        <v>aMW_2034</v>
      </c>
      <c r="X80" s="544" t="str">
        <f t="shared" si="29"/>
        <v>aMW_2035</v>
      </c>
      <c r="Y80" s="545" t="s">
        <v>1073</v>
      </c>
      <c r="Z80" s="34"/>
      <c r="AA80" s="34"/>
    </row>
    <row r="81" spans="1:29" customFormat="1">
      <c r="A81" s="564">
        <f t="shared" ref="A81:A84" si="30">VLOOKUP(CONCATENATE($C81, " ",$D81),MeasureOutput,3,FALSE)</f>
        <v>0.99353523063608473</v>
      </c>
      <c r="B81" s="546">
        <f t="shared" ref="B81:B84" si="31">VLOOKUP(CONCATENATE($C81, " ",$D81),MeasureOutput,11,FALSE)</f>
        <v>143.37488910178871</v>
      </c>
      <c r="C81" s="34" t="str">
        <f>C13</f>
        <v>Single Family</v>
      </c>
      <c r="D81" s="34" t="s">
        <v>938</v>
      </c>
      <c r="E81" s="143">
        <f ca="1">VLOOKUP($C81,$D$60:$Y$63,E$32,FALSE)*$D$79*$A81/8760/1000</f>
        <v>2.5259609453051478E-3</v>
      </c>
      <c r="F81" s="143">
        <f t="shared" ref="F81:X84" ca="1" si="32">VLOOKUP($C81,$D$60:$Y$63,F$32,FALSE)*$D$79*$A81/8760/1000</f>
        <v>5.0404500808429436E-3</v>
      </c>
      <c r="G81" s="143">
        <f t="shared" ca="1" si="32"/>
        <v>7.5435064815700661E-3</v>
      </c>
      <c r="H81" s="143">
        <f t="shared" ca="1" si="32"/>
        <v>1.0035169104135613E-2</v>
      </c>
      <c r="I81" s="143">
        <f t="shared" ca="1" si="32"/>
        <v>1.251547678721693E-2</v>
      </c>
      <c r="J81" s="143">
        <f t="shared" ca="1" si="32"/>
        <v>1.4734727114323581E-2</v>
      </c>
      <c r="K81" s="143">
        <f t="shared" ca="1" si="32"/>
        <v>1.6495320787688953E-2</v>
      </c>
      <c r="L81" s="143">
        <f t="shared" ca="1" si="32"/>
        <v>1.7889846812989163E-2</v>
      </c>
      <c r="M81" s="143">
        <f t="shared" ca="1" si="32"/>
        <v>1.8992208139697909E-2</v>
      </c>
      <c r="N81" s="143">
        <f t="shared" ca="1" si="32"/>
        <v>1.9861392818010724E-2</v>
      </c>
      <c r="O81" s="143">
        <f t="shared" ca="1" si="32"/>
        <v>2.0544484073605988E-2</v>
      </c>
      <c r="P81" s="143">
        <f t="shared" ca="1" si="32"/>
        <v>2.1079062899276316E-2</v>
      </c>
      <c r="Q81" s="143">
        <f t="shared" ca="1" si="32"/>
        <v>2.1495125763625226E-2</v>
      </c>
      <c r="R81" s="143">
        <f t="shared" ca="1" si="32"/>
        <v>2.1816615294266525E-2</v>
      </c>
      <c r="S81" s="143">
        <f t="shared" ca="1" si="32"/>
        <v>2.2062642043706164E-2</v>
      </c>
      <c r="T81" s="143">
        <f t="shared" ca="1" si="32"/>
        <v>2.704366976557929E-2</v>
      </c>
      <c r="U81" s="143">
        <f t="shared" ca="1" si="32"/>
        <v>2.6316539212250165E-2</v>
      </c>
      <c r="V81" s="143">
        <f t="shared" ca="1" si="32"/>
        <v>2.5606389161410528E-2</v>
      </c>
      <c r="W81" s="143">
        <f t="shared" ca="1" si="32"/>
        <v>2.5012704196696357E-2</v>
      </c>
      <c r="X81" s="143">
        <f t="shared" ca="1" si="32"/>
        <v>2.4464723994519894E-2</v>
      </c>
      <c r="Y81" s="138">
        <f ca="1">(VLOOKUP($C81,$D$43:$Z$46,$X$68+3,FALSE)+VLOOKUP($C81,$D$51:$Z$54,$X$68+3,FALSE))*$A81*$D$79/8760/1000</f>
        <v>0.35837465052362832</v>
      </c>
      <c r="Z81" s="138"/>
      <c r="AA81" s="138">
        <f ca="1">SUM(E81:X81)</f>
        <v>0.36107601547671753</v>
      </c>
      <c r="AB81" s="143"/>
      <c r="AC81" s="559"/>
    </row>
    <row r="82" spans="1:29" customFormat="1">
      <c r="A82" s="564">
        <f t="shared" si="30"/>
        <v>3.1794885152576335</v>
      </c>
      <c r="B82" s="546">
        <f t="shared" si="31"/>
        <v>53.004218139522706</v>
      </c>
      <c r="C82" s="34" t="str">
        <f t="shared" ref="C82:C84" si="33">C14</f>
        <v>Multifamily - Low Rise</v>
      </c>
      <c r="D82" s="34" t="s">
        <v>938</v>
      </c>
      <c r="E82" s="143">
        <f ca="1">VLOOKUP($C82,$D$60:$Y$63,E$32,FALSE)*$D$79*$A82/8760/1000</f>
        <v>1.5853324787845104E-3</v>
      </c>
      <c r="F82" s="143">
        <f t="shared" ref="E82:T84" ca="1" si="34">VLOOKUP($C82,$D$60:$Y$63,F$32,FALSE)*$D$79*$A82/8760/1000</f>
        <v>3.1634649551113194E-3</v>
      </c>
      <c r="G82" s="143">
        <f t="shared" ca="1" si="34"/>
        <v>4.7344219538211531E-3</v>
      </c>
      <c r="H82" s="143">
        <f t="shared" ca="1" si="34"/>
        <v>6.2982279254994826E-3</v>
      </c>
      <c r="I82" s="143">
        <f t="shared" ca="1" si="34"/>
        <v>7.8549072466872864E-3</v>
      </c>
      <c r="J82" s="143">
        <f t="shared" ca="1" si="34"/>
        <v>9.2477428164230817E-3</v>
      </c>
      <c r="K82" s="143">
        <f t="shared" ca="1" si="34"/>
        <v>1.035271827930468E-2</v>
      </c>
      <c r="L82" s="143">
        <f t="shared" ca="1" si="34"/>
        <v>1.1227943955831064E-2</v>
      </c>
      <c r="M82" s="143">
        <f t="shared" ca="1" si="34"/>
        <v>1.191980250116821E-2</v>
      </c>
      <c r="N82" s="143">
        <f t="shared" ca="1" si="34"/>
        <v>1.2465315743407914E-2</v>
      </c>
      <c r="O82" s="143">
        <f t="shared" ca="1" si="34"/>
        <v>1.2894033854447942E-2</v>
      </c>
      <c r="P82" s="143">
        <f t="shared" ca="1" si="34"/>
        <v>1.3229543254725615E-2</v>
      </c>
      <c r="Q82" s="143">
        <f t="shared" ca="1" si="34"/>
        <v>1.3490670197662971E-2</v>
      </c>
      <c r="R82" s="143">
        <f t="shared" ca="1" si="34"/>
        <v>1.3692441450725948E-2</v>
      </c>
      <c r="S82" s="143">
        <f t="shared" ca="1" si="34"/>
        <v>1.3846851095046193E-2</v>
      </c>
      <c r="T82" s="143">
        <f t="shared" ca="1" si="34"/>
        <v>1.9035841584538356E-2</v>
      </c>
      <c r="U82" s="143">
        <f t="shared" ca="1" si="32"/>
        <v>1.8434145792443794E-2</v>
      </c>
      <c r="V82" s="143">
        <f t="shared" ca="1" si="32"/>
        <v>1.7853245624509313E-2</v>
      </c>
      <c r="W82" s="143">
        <f t="shared" ca="1" si="32"/>
        <v>1.7202835797208053E-2</v>
      </c>
      <c r="X82" s="143">
        <f t="shared" ca="1" si="32"/>
        <v>1.6515073568247413E-2</v>
      </c>
      <c r="Y82" s="138">
        <f ca="1">(VLOOKUP($C82,$D$43:$Z$46,$X$68+3,FALSE)+VLOOKUP($C82,$D$51:$Z$54,$X$68+3,FALSE))*$A82*$D$79/8760/1000</f>
        <v>0.23337570131759242</v>
      </c>
      <c r="Z82" s="138"/>
      <c r="AA82" s="138">
        <f t="shared" ref="AA82:AA84" ca="1" si="35">SUM(E82:X82)</f>
        <v>0.23504456007559429</v>
      </c>
      <c r="AB82" s="143"/>
      <c r="AC82" s="559"/>
    </row>
    <row r="83" spans="1:29" customFormat="1">
      <c r="A83" s="564">
        <f t="shared" si="30"/>
        <v>3.1794885152576335</v>
      </c>
      <c r="B83" s="546">
        <f t="shared" si="31"/>
        <v>53.004218139522706</v>
      </c>
      <c r="C83" s="34" t="str">
        <f t="shared" si="33"/>
        <v>Multifamily - High Rise</v>
      </c>
      <c r="D83" s="34" t="s">
        <v>938</v>
      </c>
      <c r="E83" s="143">
        <f ca="1">VLOOKUP($C83,$D$60:$Y$63,E$32,FALSE)*$D$79*$A83/8760/1000</f>
        <v>3.614500157126646E-4</v>
      </c>
      <c r="F83" s="143">
        <f t="shared" ca="1" si="32"/>
        <v>7.2125845715854649E-4</v>
      </c>
      <c r="G83" s="143">
        <f t="shared" ca="1" si="32"/>
        <v>1.0794309159117698E-3</v>
      </c>
      <c r="H83" s="143">
        <f t="shared" ca="1" si="32"/>
        <v>1.4359729666165301E-3</v>
      </c>
      <c r="I83" s="143">
        <f t="shared" ca="1" si="32"/>
        <v>1.7908901670351516E-3</v>
      </c>
      <c r="J83" s="143">
        <f t="shared" ca="1" si="32"/>
        <v>2.1084515904610779E-3</v>
      </c>
      <c r="K83" s="143">
        <f t="shared" ca="1" si="32"/>
        <v>2.3603819607559457E-3</v>
      </c>
      <c r="L83" s="143">
        <f t="shared" ca="1" si="32"/>
        <v>2.5599302187813778E-3</v>
      </c>
      <c r="M83" s="143">
        <f t="shared" ca="1" si="32"/>
        <v>2.7176714405311437E-3</v>
      </c>
      <c r="N83" s="143">
        <f t="shared" ca="1" si="32"/>
        <v>2.8420464676107526E-3</v>
      </c>
      <c r="O83" s="143">
        <f t="shared" ca="1" si="32"/>
        <v>2.9397926312990986E-3</v>
      </c>
      <c r="P83" s="143">
        <f t="shared" ca="1" si="32"/>
        <v>3.01628754932102E-3</v>
      </c>
      <c r="Q83" s="143">
        <f t="shared" ca="1" si="32"/>
        <v>3.0758235387054506E-3</v>
      </c>
      <c r="R83" s="143">
        <f t="shared" ca="1" si="32"/>
        <v>3.1218266475586134E-3</v>
      </c>
      <c r="S83" s="143">
        <f t="shared" ca="1" si="32"/>
        <v>3.1570314825775298E-3</v>
      </c>
      <c r="T83" s="143">
        <f t="shared" ca="1" si="32"/>
        <v>4.3223241983567622E-3</v>
      </c>
      <c r="U83" s="143">
        <f t="shared" ca="1" si="32"/>
        <v>4.2013662899161724E-3</v>
      </c>
      <c r="V83" s="143">
        <f t="shared" ca="1" si="32"/>
        <v>4.0826528029636764E-3</v>
      </c>
      <c r="W83" s="143">
        <f t="shared" ca="1" si="32"/>
        <v>3.9146953123680925E-3</v>
      </c>
      <c r="X83" s="143">
        <f t="shared" ca="1" si="32"/>
        <v>3.7476595187883994E-3</v>
      </c>
      <c r="Y83" s="138">
        <f ca="1">(VLOOKUP($C83,$D$43:$Z$46,$X$68+3,FALSE)+VLOOKUP($C83,$D$51:$Z$54,$X$68+3,FALSE))*$A83*$D$79/8760/1000</f>
        <v>5.3176347619601737E-2</v>
      </c>
      <c r="Z83" s="138"/>
      <c r="AA83" s="138">
        <f t="shared" ca="1" si="35"/>
        <v>5.3556944172429774E-2</v>
      </c>
      <c r="AB83" s="143"/>
      <c r="AC83" s="559"/>
    </row>
    <row r="84" spans="1:29" customFormat="1">
      <c r="A84" s="564">
        <f t="shared" si="30"/>
        <v>3.5557059945100065</v>
      </c>
      <c r="B84" s="546">
        <f t="shared" si="31"/>
        <v>48.658285133252164</v>
      </c>
      <c r="C84" s="34" t="str">
        <f t="shared" si="33"/>
        <v>Manufactured</v>
      </c>
      <c r="D84" s="34" t="s">
        <v>938</v>
      </c>
      <c r="E84" s="143">
        <f t="shared" ca="1" si="34"/>
        <v>1.0680029667840972E-3</v>
      </c>
      <c r="F84" s="143">
        <f t="shared" ca="1" si="32"/>
        <v>2.1131784670404639E-3</v>
      </c>
      <c r="G84" s="143">
        <f t="shared" ca="1" si="32"/>
        <v>3.1358924360082451E-3</v>
      </c>
      <c r="H84" s="143">
        <f t="shared" ca="1" si="32"/>
        <v>4.1365055945999808E-3</v>
      </c>
      <c r="I84" s="143">
        <f t="shared" ca="1" si="32"/>
        <v>5.1153735190584016E-3</v>
      </c>
      <c r="J84" s="143">
        <f t="shared" ca="1" si="32"/>
        <v>5.971632597891267E-3</v>
      </c>
      <c r="K84" s="143">
        <f t="shared" ca="1" si="32"/>
        <v>6.6287673945559346E-3</v>
      </c>
      <c r="L84" s="143">
        <f t="shared" ca="1" si="32"/>
        <v>7.1285248331359533E-3</v>
      </c>
      <c r="M84" s="143">
        <f t="shared" ca="1" si="32"/>
        <v>7.503943186591683E-3</v>
      </c>
      <c r="N84" s="143">
        <f t="shared" ca="1" si="32"/>
        <v>7.7811682874594536E-3</v>
      </c>
      <c r="O84" s="143">
        <f t="shared" ca="1" si="32"/>
        <v>7.9808909682874893E-3</v>
      </c>
      <c r="P84" s="143">
        <f t="shared" ca="1" si="32"/>
        <v>8.1194847241941783E-3</v>
      </c>
      <c r="Q84" s="143">
        <f t="shared" ca="1" si="32"/>
        <v>8.2099061161048422E-3</v>
      </c>
      <c r="R84" s="143">
        <f t="shared" ca="1" si="32"/>
        <v>8.2624073950037773E-3</v>
      </c>
      <c r="S84" s="143">
        <f t="shared" ca="1" si="32"/>
        <v>8.2851005084345116E-3</v>
      </c>
      <c r="T84" s="143">
        <f t="shared" ca="1" si="32"/>
        <v>8.7287693619053953E-3</v>
      </c>
      <c r="U84" s="143">
        <f t="shared" ca="1" si="32"/>
        <v>8.5979164732683782E-3</v>
      </c>
      <c r="V84" s="143">
        <f t="shared" ca="1" si="32"/>
        <v>8.477417552195967E-3</v>
      </c>
      <c r="W84" s="143">
        <f t="shared" ca="1" si="32"/>
        <v>8.3552027479865173E-3</v>
      </c>
      <c r="X84" s="143">
        <f t="shared" ca="1" si="32"/>
        <v>8.2115926833042571E-3</v>
      </c>
      <c r="Y84" s="138">
        <f ca="1">(VLOOKUP($C84,$D$43:$Z$46,$X$68+3,FALSE)+VLOOKUP($C84,$D$51:$Z$54,$X$68+3,FALSE))*$A84*$D$79/8760/1000</f>
        <v>0.1244350713402806</v>
      </c>
      <c r="Z84" s="138"/>
      <c r="AA84" s="138">
        <f t="shared" ca="1" si="35"/>
        <v>0.13381167781381079</v>
      </c>
      <c r="AB84" s="143"/>
      <c r="AC84" s="559"/>
    </row>
    <row r="85" spans="1:29" customFormat="1">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row>
    <row r="86" spans="1:29" customFormat="1">
      <c r="A86" s="34"/>
      <c r="B86" s="560">
        <f ca="1">SUMPRODUCT(B81:B84,AA81:AA84)/SUM(AA81:AA84)</f>
        <v>93.909881294119074</v>
      </c>
      <c r="C86" s="34"/>
      <c r="D86" s="559"/>
      <c r="E86" s="143">
        <f ca="1">SUM(E81:E84)</f>
        <v>5.54074640658642E-3</v>
      </c>
      <c r="F86" s="143">
        <f t="shared" ref="F86:W86" ca="1" si="36">SUM(F81:F84)</f>
        <v>1.1038351960153273E-2</v>
      </c>
      <c r="G86" s="143">
        <f t="shared" ca="1" si="36"/>
        <v>1.6493251787311234E-2</v>
      </c>
      <c r="H86" s="143">
        <f t="shared" ca="1" si="36"/>
        <v>2.1905875590851609E-2</v>
      </c>
      <c r="I86" s="143">
        <f t="shared" ca="1" si="36"/>
        <v>2.7276647719997771E-2</v>
      </c>
      <c r="J86" s="143">
        <f t="shared" ca="1" si="36"/>
        <v>3.2062554119099008E-2</v>
      </c>
      <c r="K86" s="143">
        <f t="shared" ca="1" si="36"/>
        <v>3.5837188422305516E-2</v>
      </c>
      <c r="L86" s="143">
        <f t="shared" ca="1" si="36"/>
        <v>3.8806245820737557E-2</v>
      </c>
      <c r="M86" s="143">
        <f t="shared" ca="1" si="36"/>
        <v>4.1133625267988951E-2</v>
      </c>
      <c r="N86" s="143">
        <f t="shared" ca="1" si="36"/>
        <v>4.2949923316488836E-2</v>
      </c>
      <c r="O86" s="143">
        <f t="shared" ca="1" si="36"/>
        <v>4.4359201527640515E-2</v>
      </c>
      <c r="P86" s="143">
        <f t="shared" ca="1" si="36"/>
        <v>4.5444378427517126E-2</v>
      </c>
      <c r="Q86" s="143">
        <f t="shared" ca="1" si="36"/>
        <v>4.6271525616098493E-2</v>
      </c>
      <c r="R86" s="143">
        <f t="shared" ca="1" si="36"/>
        <v>4.6893290787554866E-2</v>
      </c>
      <c r="S86" s="143">
        <f t="shared" ca="1" si="36"/>
        <v>4.7351625129764402E-2</v>
      </c>
      <c r="T86" s="143">
        <f t="shared" ca="1" si="36"/>
        <v>5.9130604910379803E-2</v>
      </c>
      <c r="U86" s="143">
        <f t="shared" ca="1" si="36"/>
        <v>5.7549967767878511E-2</v>
      </c>
      <c r="V86" s="143">
        <f t="shared" ca="1" si="36"/>
        <v>5.6019705141079484E-2</v>
      </c>
      <c r="W86" s="143">
        <f t="shared" ca="1" si="36"/>
        <v>5.4485438054259025E-2</v>
      </c>
      <c r="X86" s="138">
        <f ca="1">SUM(X81:X84)</f>
        <v>5.2939049764859962E-2</v>
      </c>
      <c r="Y86" s="138">
        <f ca="1">SUM(Y81:Y84)</f>
        <v>0.76936177080110313</v>
      </c>
      <c r="Z86" s="137"/>
      <c r="AA86" s="34"/>
      <c r="AB86" s="137"/>
      <c r="AC86" s="143"/>
    </row>
    <row r="87" spans="1:29" customFormat="1">
      <c r="A87" s="34"/>
      <c r="B87" s="34"/>
      <c r="C87" s="34"/>
      <c r="D87" s="34"/>
      <c r="E87" s="143">
        <f ca="1">E86</f>
        <v>5.54074640658642E-3</v>
      </c>
      <c r="F87" s="143">
        <f ca="1">F86+E87</f>
        <v>1.6579098366739695E-2</v>
      </c>
      <c r="G87" s="143">
        <f t="shared" ref="G87:W87" ca="1" si="37">G86+F87</f>
        <v>3.3072350154050925E-2</v>
      </c>
      <c r="H87" s="143">
        <f t="shared" ca="1" si="37"/>
        <v>5.4978225744902534E-2</v>
      </c>
      <c r="I87" s="143">
        <f t="shared" ca="1" si="37"/>
        <v>8.2254873464900305E-2</v>
      </c>
      <c r="J87" s="143">
        <f t="shared" ca="1" si="37"/>
        <v>0.11431742758399932</v>
      </c>
      <c r="K87" s="143">
        <f t="shared" ca="1" si="37"/>
        <v>0.15015461600630484</v>
      </c>
      <c r="L87" s="143">
        <f t="shared" ca="1" si="37"/>
        <v>0.18896086182704239</v>
      </c>
      <c r="M87" s="143">
        <f t="shared" ca="1" si="37"/>
        <v>0.23009448709503133</v>
      </c>
      <c r="N87" s="143">
        <f t="shared" ca="1" si="37"/>
        <v>0.27304441041152017</v>
      </c>
      <c r="O87" s="143">
        <f t="shared" ca="1" si="37"/>
        <v>0.31740361193916067</v>
      </c>
      <c r="P87" s="143">
        <f t="shared" ca="1" si="37"/>
        <v>0.36284799036667781</v>
      </c>
      <c r="Q87" s="143">
        <f t="shared" ca="1" si="37"/>
        <v>0.40911951598277629</v>
      </c>
      <c r="R87" s="143">
        <f t="shared" ca="1" si="37"/>
        <v>0.45601280677033118</v>
      </c>
      <c r="S87" s="143">
        <f t="shared" ca="1" si="37"/>
        <v>0.50336443190009561</v>
      </c>
      <c r="T87" s="143">
        <f t="shared" ca="1" si="37"/>
        <v>0.56249503681047541</v>
      </c>
      <c r="U87" s="138">
        <f t="shared" ca="1" si="37"/>
        <v>0.62004500457835388</v>
      </c>
      <c r="V87" s="138">
        <f t="shared" ca="1" si="37"/>
        <v>0.67606470971943333</v>
      </c>
      <c r="W87" s="138">
        <f t="shared" ca="1" si="37"/>
        <v>0.73055014777369232</v>
      </c>
      <c r="X87" s="138">
        <f ca="1">X86+W87</f>
        <v>0.78348919753855228</v>
      </c>
      <c r="Y87" s="138"/>
      <c r="Z87" s="34"/>
      <c r="AA87" s="34"/>
      <c r="AB87" s="34"/>
      <c r="AC87" s="34"/>
    </row>
    <row r="88" spans="1:29" customFormat="1">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row>
    <row r="89" spans="1:29" customFormat="1" ht="15">
      <c r="A89" s="538" t="s">
        <v>991</v>
      </c>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row>
    <row r="90" spans="1:29" customFormat="1" ht="15">
      <c r="A90" s="34"/>
      <c r="B90" s="34"/>
      <c r="C90" s="34"/>
      <c r="D90" s="34"/>
      <c r="E90" s="549">
        <f t="shared" ref="E90:X90" si="38">E11</f>
        <v>2016</v>
      </c>
      <c r="F90" s="542">
        <f t="shared" si="38"/>
        <v>2017</v>
      </c>
      <c r="G90" s="542">
        <f t="shared" si="38"/>
        <v>2018</v>
      </c>
      <c r="H90" s="542">
        <f t="shared" si="38"/>
        <v>2019</v>
      </c>
      <c r="I90" s="542">
        <f t="shared" si="38"/>
        <v>2020</v>
      </c>
      <c r="J90" s="542">
        <f t="shared" si="38"/>
        <v>2021</v>
      </c>
      <c r="K90" s="542">
        <f t="shared" si="38"/>
        <v>2022</v>
      </c>
      <c r="L90" s="542">
        <f t="shared" si="38"/>
        <v>2023</v>
      </c>
      <c r="M90" s="542">
        <f t="shared" si="38"/>
        <v>2024</v>
      </c>
      <c r="N90" s="542">
        <f t="shared" si="38"/>
        <v>2025</v>
      </c>
      <c r="O90" s="542">
        <f t="shared" si="38"/>
        <v>2026</v>
      </c>
      <c r="P90" s="542">
        <f t="shared" si="38"/>
        <v>2027</v>
      </c>
      <c r="Q90" s="542">
        <f t="shared" si="38"/>
        <v>2028</v>
      </c>
      <c r="R90" s="542">
        <f t="shared" si="38"/>
        <v>2029</v>
      </c>
      <c r="S90" s="542">
        <f t="shared" si="38"/>
        <v>2030</v>
      </c>
      <c r="T90" s="542">
        <f t="shared" si="38"/>
        <v>2031</v>
      </c>
      <c r="U90" s="542">
        <f t="shared" si="38"/>
        <v>2032</v>
      </c>
      <c r="V90" s="542">
        <f t="shared" si="38"/>
        <v>2033</v>
      </c>
      <c r="W90" s="542">
        <f t="shared" si="38"/>
        <v>2034</v>
      </c>
      <c r="X90" s="542">
        <f t="shared" si="38"/>
        <v>2035</v>
      </c>
      <c r="Y90" s="543" t="s">
        <v>1073</v>
      </c>
      <c r="Z90" s="34"/>
      <c r="AA90" s="34"/>
      <c r="AB90" s="34"/>
      <c r="AC90" s="34"/>
    </row>
    <row r="91" spans="1:29" customFormat="1" ht="15">
      <c r="A91" s="34"/>
      <c r="B91" s="34"/>
      <c r="C91" s="547" t="s">
        <v>988</v>
      </c>
      <c r="D91" s="547" t="s">
        <v>988</v>
      </c>
      <c r="E91" s="550" t="str">
        <f>CONCATENATE("aMW_",E$11)</f>
        <v>aMW_2016</v>
      </c>
      <c r="F91" s="544" t="str">
        <f t="shared" ref="F91:X91" si="39">CONCATENATE("aMW_",F$11)</f>
        <v>aMW_2017</v>
      </c>
      <c r="G91" s="544" t="str">
        <f t="shared" si="39"/>
        <v>aMW_2018</v>
      </c>
      <c r="H91" s="544" t="str">
        <f t="shared" si="39"/>
        <v>aMW_2019</v>
      </c>
      <c r="I91" s="544" t="str">
        <f t="shared" si="39"/>
        <v>aMW_2020</v>
      </c>
      <c r="J91" s="544" t="str">
        <f t="shared" si="39"/>
        <v>aMW_2021</v>
      </c>
      <c r="K91" s="544" t="str">
        <f t="shared" si="39"/>
        <v>aMW_2022</v>
      </c>
      <c r="L91" s="544" t="str">
        <f t="shared" si="39"/>
        <v>aMW_2023</v>
      </c>
      <c r="M91" s="544" t="str">
        <f t="shared" si="39"/>
        <v>aMW_2024</v>
      </c>
      <c r="N91" s="544" t="str">
        <f t="shared" si="39"/>
        <v>aMW_2025</v>
      </c>
      <c r="O91" s="544" t="str">
        <f t="shared" si="39"/>
        <v>aMW_2026</v>
      </c>
      <c r="P91" s="544" t="str">
        <f t="shared" si="39"/>
        <v>aMW_2027</v>
      </c>
      <c r="Q91" s="544" t="str">
        <f t="shared" si="39"/>
        <v>aMW_2028</v>
      </c>
      <c r="R91" s="544" t="str">
        <f t="shared" si="39"/>
        <v>aMW_2029</v>
      </c>
      <c r="S91" s="544" t="str">
        <f t="shared" si="39"/>
        <v>aMW_2030</v>
      </c>
      <c r="T91" s="544" t="str">
        <f t="shared" si="39"/>
        <v>aMW_2031</v>
      </c>
      <c r="U91" s="544" t="str">
        <f t="shared" si="39"/>
        <v>aMW_2032</v>
      </c>
      <c r="V91" s="544" t="str">
        <f t="shared" si="39"/>
        <v>aMW_2033</v>
      </c>
      <c r="W91" s="544" t="str">
        <f t="shared" si="39"/>
        <v>aMW_2034</v>
      </c>
      <c r="X91" s="544" t="str">
        <f t="shared" si="39"/>
        <v>aMW_2035</v>
      </c>
      <c r="Y91" s="545" t="s">
        <v>1073</v>
      </c>
      <c r="Z91" s="34"/>
      <c r="AA91" s="34"/>
      <c r="AB91" s="34"/>
      <c r="AC91" s="34"/>
    </row>
    <row r="92" spans="1:29" customFormat="1">
      <c r="A92" s="34"/>
      <c r="B92" s="34" t="s">
        <v>992</v>
      </c>
      <c r="C92" s="548" t="s">
        <v>993</v>
      </c>
      <c r="D92" s="548" t="s">
        <v>994</v>
      </c>
      <c r="E92" s="143">
        <f>DSUM($B$80:$Y$84,E$80,$C$91:$D92)</f>
        <v>0</v>
      </c>
      <c r="F92" s="143">
        <f>DSUM($B$80:$Y$84,F$80,$C$91:$D92)</f>
        <v>0</v>
      </c>
      <c r="G92" s="143">
        <f>DSUM($B$80:$Y$84,G$80,$C$91:$D92)</f>
        <v>0</v>
      </c>
      <c r="H92" s="143">
        <f>DSUM($B$80:$Y$84,H$80,$C$91:$D92)</f>
        <v>0</v>
      </c>
      <c r="I92" s="143">
        <f>DSUM($B$80:$Y$84,I$80,$C$91:$D92)</f>
        <v>0</v>
      </c>
      <c r="J92" s="143">
        <f>DSUM($B$80:$Y$84,J$80,$C$91:$D92)</f>
        <v>0</v>
      </c>
      <c r="K92" s="143">
        <f>DSUM($B$80:$Y$84,K$80,$C$91:$D92)</f>
        <v>0</v>
      </c>
      <c r="L92" s="143">
        <f>DSUM($B$80:$Y$84,L$80,$C$91:$D92)</f>
        <v>0</v>
      </c>
      <c r="M92" s="143">
        <f>DSUM($B$80:$Y$84,M$80,$C$91:$D92)</f>
        <v>0</v>
      </c>
      <c r="N92" s="143">
        <f>DSUM($B$80:$Y$84,N$80,$C$91:$D92)</f>
        <v>0</v>
      </c>
      <c r="O92" s="143">
        <f>DSUM($B$80:$Y$84,O$80,$C$91:$D92)</f>
        <v>0</v>
      </c>
      <c r="P92" s="143">
        <f>DSUM($B$80:$Y$84,P$80,$C$91:$D92)</f>
        <v>0</v>
      </c>
      <c r="Q92" s="143">
        <f>DSUM($B$80:$Y$84,Q$80,$C$91:$D92)</f>
        <v>0</v>
      </c>
      <c r="R92" s="143">
        <f>DSUM($B$80:$Y$84,R$80,$C$91:$D92)</f>
        <v>0</v>
      </c>
      <c r="S92" s="143">
        <f>DSUM($B$80:$Y$84,S$80,$C$91:$D92)</f>
        <v>0</v>
      </c>
      <c r="T92" s="143">
        <f>DSUM($B$80:$Y$84,T$80,$C$91:$D92)</f>
        <v>0</v>
      </c>
      <c r="U92" s="143">
        <f>DSUM($B$80:$Y$84,U$80,$C$91:$D92)</f>
        <v>0</v>
      </c>
      <c r="V92" s="143">
        <f>DSUM($B$80:$Y$84,V$80,$C$91:$D92)</f>
        <v>0</v>
      </c>
      <c r="W92" s="143">
        <f>DSUM($B$80:$Y$84,W$80,$C$91:$D92)</f>
        <v>0</v>
      </c>
      <c r="X92" s="143">
        <f>DSUM($B$80:$Y$84,X$80,$C$91:$D92)</f>
        <v>0</v>
      </c>
      <c r="Y92" s="137">
        <f>DSUM($B$80:$Y$84,Y$80,$C$91:$D92)</f>
        <v>0</v>
      </c>
      <c r="Z92" s="34"/>
      <c r="AA92" s="34"/>
      <c r="AB92" s="34"/>
      <c r="AC92" s="34"/>
    </row>
    <row r="93" spans="1:29" customFormat="1">
      <c r="A93" s="34"/>
      <c r="B93" s="34" t="s">
        <v>1339</v>
      </c>
      <c r="C93" s="548" t="s">
        <v>996</v>
      </c>
      <c r="D93" s="548" t="s">
        <v>997</v>
      </c>
      <c r="E93" s="143">
        <f>DSUM($B$80:$Y$84,E$80,$C$91:$D93)</f>
        <v>0</v>
      </c>
      <c r="F93" s="143">
        <f>DSUM($B$80:$Y$84,F$80,$C$91:$D93)</f>
        <v>0</v>
      </c>
      <c r="G93" s="143">
        <f>DSUM($B$80:$Y$84,G$80,$C$91:$D93)</f>
        <v>0</v>
      </c>
      <c r="H93" s="143">
        <f>DSUM($B$80:$Y$84,H$80,$C$91:$D93)</f>
        <v>0</v>
      </c>
      <c r="I93" s="143">
        <f>DSUM($B$80:$Y$84,I$80,$C$91:$D93)</f>
        <v>0</v>
      </c>
      <c r="J93" s="143">
        <f>DSUM($B$80:$Y$84,J$80,$C$91:$D93)</f>
        <v>0</v>
      </c>
      <c r="K93" s="143">
        <f>DSUM($B$80:$Y$84,K$80,$C$91:$D93)</f>
        <v>0</v>
      </c>
      <c r="L93" s="143">
        <f>DSUM($B$80:$Y$84,L$80,$C$91:$D93)</f>
        <v>0</v>
      </c>
      <c r="M93" s="143">
        <f>DSUM($B$80:$Y$84,M$80,$C$91:$D93)</f>
        <v>0</v>
      </c>
      <c r="N93" s="143">
        <f>DSUM($B$80:$Y$84,N$80,$C$91:$D93)</f>
        <v>0</v>
      </c>
      <c r="O93" s="143">
        <f>DSUM($B$80:$Y$84,O$80,$C$91:$D93)</f>
        <v>0</v>
      </c>
      <c r="P93" s="143">
        <f>DSUM($B$80:$Y$84,P$80,$C$91:$D93)</f>
        <v>0</v>
      </c>
      <c r="Q93" s="143">
        <f>DSUM($B$80:$Y$84,Q$80,$C$91:$D93)</f>
        <v>0</v>
      </c>
      <c r="R93" s="143">
        <f>DSUM($B$80:$Y$84,R$80,$C$91:$D93)</f>
        <v>0</v>
      </c>
      <c r="S93" s="143">
        <f>DSUM($B$80:$Y$84,S$80,$C$91:$D93)</f>
        <v>0</v>
      </c>
      <c r="T93" s="143">
        <f>DSUM($B$80:$Y$84,T$80,$C$91:$D93)</f>
        <v>0</v>
      </c>
      <c r="U93" s="143">
        <f>DSUM($B$80:$Y$84,U$80,$C$91:$D93)</f>
        <v>0</v>
      </c>
      <c r="V93" s="143">
        <f>DSUM($B$80:$Y$84,V$80,$C$91:$D93)</f>
        <v>0</v>
      </c>
      <c r="W93" s="143">
        <f>DSUM($B$80:$Y$84,W$80,$C$91:$D93)</f>
        <v>0</v>
      </c>
      <c r="X93" s="143">
        <f>DSUM($B$80:$Y$84,X$80,$C$91:$D93)</f>
        <v>0</v>
      </c>
      <c r="Y93" s="137">
        <f>DSUM($B$80:$Y$84,Y$80,$C$91:$D93)</f>
        <v>0</v>
      </c>
      <c r="Z93" s="34"/>
      <c r="AA93" s="34"/>
      <c r="AB93" s="34"/>
      <c r="AC93" s="34"/>
    </row>
    <row r="94" spans="1:29" customFormat="1">
      <c r="A94" s="34"/>
      <c r="B94" s="34" t="s">
        <v>998</v>
      </c>
      <c r="C94" s="548" t="s">
        <v>999</v>
      </c>
      <c r="D94" s="548" t="s">
        <v>1000</v>
      </c>
      <c r="E94" s="143">
        <f>DSUM($B$80:$Y$84,E$80,$C$91:$D94)</f>
        <v>0</v>
      </c>
      <c r="F94" s="143">
        <f>DSUM($B$80:$Y$84,F$80,$C$91:$D94)</f>
        <v>0</v>
      </c>
      <c r="G94" s="143">
        <f>DSUM($B$80:$Y$84,G$80,$C$91:$D94)</f>
        <v>0</v>
      </c>
      <c r="H94" s="143">
        <f>DSUM($B$80:$Y$84,H$80,$C$91:$D94)</f>
        <v>0</v>
      </c>
      <c r="I94" s="143">
        <f>DSUM($B$80:$Y$84,I$80,$C$91:$D94)</f>
        <v>0</v>
      </c>
      <c r="J94" s="143">
        <f>DSUM($B$80:$Y$84,J$80,$C$91:$D94)</f>
        <v>0</v>
      </c>
      <c r="K94" s="143">
        <f>DSUM($B$80:$Y$84,K$80,$C$91:$D94)</f>
        <v>0</v>
      </c>
      <c r="L94" s="143">
        <f>DSUM($B$80:$Y$84,L$80,$C$91:$D94)</f>
        <v>0</v>
      </c>
      <c r="M94" s="143">
        <f>DSUM($B$80:$Y$84,M$80,$C$91:$D94)</f>
        <v>0</v>
      </c>
      <c r="N94" s="143">
        <f>DSUM($B$80:$Y$84,N$80,$C$91:$D94)</f>
        <v>0</v>
      </c>
      <c r="O94" s="143">
        <f>DSUM($B$80:$Y$84,O$80,$C$91:$D94)</f>
        <v>0</v>
      </c>
      <c r="P94" s="143">
        <f>DSUM($B$80:$Y$84,P$80,$C$91:$D94)</f>
        <v>0</v>
      </c>
      <c r="Q94" s="143">
        <f>DSUM($B$80:$Y$84,Q$80,$C$91:$D94)</f>
        <v>0</v>
      </c>
      <c r="R94" s="143">
        <f>DSUM($B$80:$Y$84,R$80,$C$91:$D94)</f>
        <v>0</v>
      </c>
      <c r="S94" s="143">
        <f>DSUM($B$80:$Y$84,S$80,$C$91:$D94)</f>
        <v>0</v>
      </c>
      <c r="T94" s="143">
        <f>DSUM($B$80:$Y$84,T$80,$C$91:$D94)</f>
        <v>0</v>
      </c>
      <c r="U94" s="143">
        <f>DSUM($B$80:$Y$84,U$80,$C$91:$D94)</f>
        <v>0</v>
      </c>
      <c r="V94" s="143">
        <f>DSUM($B$80:$Y$84,V$80,$C$91:$D94)</f>
        <v>0</v>
      </c>
      <c r="W94" s="143">
        <f>DSUM($B$80:$Y$84,W$80,$C$91:$D94)</f>
        <v>0</v>
      </c>
      <c r="X94" s="143">
        <f>DSUM($B$80:$Y$84,X$80,$C$91:$D94)</f>
        <v>0</v>
      </c>
      <c r="Y94" s="137">
        <f>DSUM($B$80:$Y$84,Y$80,$C$91:$D94)</f>
        <v>0</v>
      </c>
      <c r="Z94" s="34"/>
      <c r="AA94" s="34"/>
      <c r="AB94" s="34"/>
      <c r="AC94" s="34"/>
    </row>
    <row r="95" spans="1:29" customFormat="1">
      <c r="A95" s="34"/>
      <c r="B95" s="34" t="s">
        <v>1001</v>
      </c>
      <c r="C95" s="548" t="s">
        <v>1002</v>
      </c>
      <c r="D95" s="548" t="s">
        <v>1003</v>
      </c>
      <c r="E95" s="143">
        <f>DSUM($B$80:$Y$84,E$80,$C$91:$D95)</f>
        <v>0</v>
      </c>
      <c r="F95" s="143">
        <f>DSUM($B$80:$Y$84,F$80,$C$91:$D95)</f>
        <v>0</v>
      </c>
      <c r="G95" s="143">
        <f>DSUM($B$80:$Y$84,G$80,$C$91:$D95)</f>
        <v>0</v>
      </c>
      <c r="H95" s="143">
        <f>DSUM($B$80:$Y$84,H$80,$C$91:$D95)</f>
        <v>0</v>
      </c>
      <c r="I95" s="143">
        <f>DSUM($B$80:$Y$84,I$80,$C$91:$D95)</f>
        <v>0</v>
      </c>
      <c r="J95" s="143">
        <f>DSUM($B$80:$Y$84,J$80,$C$91:$D95)</f>
        <v>0</v>
      </c>
      <c r="K95" s="143">
        <f>DSUM($B$80:$Y$84,K$80,$C$91:$D95)</f>
        <v>0</v>
      </c>
      <c r="L95" s="143">
        <f>DSUM($B$80:$Y$84,L$80,$C$91:$D95)</f>
        <v>0</v>
      </c>
      <c r="M95" s="143">
        <f>DSUM($B$80:$Y$84,M$80,$C$91:$D95)</f>
        <v>0</v>
      </c>
      <c r="N95" s="143">
        <f>DSUM($B$80:$Y$84,N$80,$C$91:$D95)</f>
        <v>0</v>
      </c>
      <c r="O95" s="143">
        <f>DSUM($B$80:$Y$84,O$80,$C$91:$D95)</f>
        <v>0</v>
      </c>
      <c r="P95" s="143">
        <f>DSUM($B$80:$Y$84,P$80,$C$91:$D95)</f>
        <v>0</v>
      </c>
      <c r="Q95" s="143">
        <f>DSUM($B$80:$Y$84,Q$80,$C$91:$D95)</f>
        <v>0</v>
      </c>
      <c r="R95" s="143">
        <f>DSUM($B$80:$Y$84,R$80,$C$91:$D95)</f>
        <v>0</v>
      </c>
      <c r="S95" s="143">
        <f>DSUM($B$80:$Y$84,S$80,$C$91:$D95)</f>
        <v>0</v>
      </c>
      <c r="T95" s="143">
        <f>DSUM($B$80:$Y$84,T$80,$C$91:$D95)</f>
        <v>0</v>
      </c>
      <c r="U95" s="143">
        <f>DSUM($B$80:$Y$84,U$80,$C$91:$D95)</f>
        <v>0</v>
      </c>
      <c r="V95" s="143">
        <f>DSUM($B$80:$Y$84,V$80,$C$91:$D95)</f>
        <v>0</v>
      </c>
      <c r="W95" s="143">
        <f>DSUM($B$80:$Y$84,W$80,$C$91:$D95)</f>
        <v>0</v>
      </c>
      <c r="X95" s="143">
        <f>DSUM($B$80:$Y$84,X$80,$C$91:$D95)</f>
        <v>0</v>
      </c>
      <c r="Y95" s="137">
        <f>DSUM($B$80:$Y$84,Y$80,$C$91:$D95)</f>
        <v>0</v>
      </c>
      <c r="Z95" s="34"/>
      <c r="AA95" s="34"/>
      <c r="AB95" s="34"/>
      <c r="AC95" s="34"/>
    </row>
    <row r="96" spans="1:29" customFormat="1">
      <c r="A96" s="34"/>
      <c r="B96" s="34" t="s">
        <v>1004</v>
      </c>
      <c r="C96" s="548" t="s">
        <v>1005</v>
      </c>
      <c r="D96" s="548" t="s">
        <v>1006</v>
      </c>
      <c r="E96" s="143">
        <f>DSUM($B$80:$Y$84,E$80,$C$91:$D96)</f>
        <v>0</v>
      </c>
      <c r="F96" s="143">
        <f>DSUM($B$80:$Y$84,F$80,$C$91:$D96)</f>
        <v>0</v>
      </c>
      <c r="G96" s="143">
        <f>DSUM($B$80:$Y$84,G$80,$C$91:$D96)</f>
        <v>0</v>
      </c>
      <c r="H96" s="143">
        <f>DSUM($B$80:$Y$84,H$80,$C$91:$D96)</f>
        <v>0</v>
      </c>
      <c r="I96" s="143">
        <f>DSUM($B$80:$Y$84,I$80,$C$91:$D96)</f>
        <v>0</v>
      </c>
      <c r="J96" s="143">
        <f>DSUM($B$80:$Y$84,J$80,$C$91:$D96)</f>
        <v>0</v>
      </c>
      <c r="K96" s="143">
        <f>DSUM($B$80:$Y$84,K$80,$C$91:$D96)</f>
        <v>0</v>
      </c>
      <c r="L96" s="143">
        <f>DSUM($B$80:$Y$84,L$80,$C$91:$D96)</f>
        <v>0</v>
      </c>
      <c r="M96" s="143">
        <f>DSUM($B$80:$Y$84,M$80,$C$91:$D96)</f>
        <v>0</v>
      </c>
      <c r="N96" s="143">
        <f>DSUM($B$80:$Y$84,N$80,$C$91:$D96)</f>
        <v>0</v>
      </c>
      <c r="O96" s="143">
        <f>DSUM($B$80:$Y$84,O$80,$C$91:$D96)</f>
        <v>0</v>
      </c>
      <c r="P96" s="143">
        <f>DSUM($B$80:$Y$84,P$80,$C$91:$D96)</f>
        <v>0</v>
      </c>
      <c r="Q96" s="143">
        <f>DSUM($B$80:$Y$84,Q$80,$C$91:$D96)</f>
        <v>0</v>
      </c>
      <c r="R96" s="143">
        <f>DSUM($B$80:$Y$84,R$80,$C$91:$D96)</f>
        <v>0</v>
      </c>
      <c r="S96" s="143">
        <f>DSUM($B$80:$Y$84,S$80,$C$91:$D96)</f>
        <v>0</v>
      </c>
      <c r="T96" s="143">
        <f>DSUM($B$80:$Y$84,T$80,$C$91:$D96)</f>
        <v>0</v>
      </c>
      <c r="U96" s="143">
        <f>DSUM($B$80:$Y$84,U$80,$C$91:$D96)</f>
        <v>0</v>
      </c>
      <c r="V96" s="143">
        <f>DSUM($B$80:$Y$84,V$80,$C$91:$D96)</f>
        <v>0</v>
      </c>
      <c r="W96" s="143">
        <f>DSUM($B$80:$Y$84,W$80,$C$91:$D96)</f>
        <v>0</v>
      </c>
      <c r="X96" s="143">
        <f>DSUM($B$80:$Y$84,X$80,$C$91:$D96)</f>
        <v>0</v>
      </c>
      <c r="Y96" s="137">
        <f>DSUM($B$80:$Y$84,Y$80,$C$91:$D96)</f>
        <v>0</v>
      </c>
      <c r="Z96" s="34"/>
      <c r="AA96" s="34"/>
      <c r="AB96" s="34"/>
      <c r="AC96" s="34"/>
    </row>
    <row r="97" spans="1:29" customFormat="1">
      <c r="A97" s="34"/>
      <c r="B97" s="34" t="s">
        <v>1007</v>
      </c>
      <c r="C97" s="548" t="s">
        <v>1008</v>
      </c>
      <c r="D97" s="548" t="s">
        <v>1009</v>
      </c>
      <c r="E97" s="143">
        <f ca="1">DSUM($B$80:$Y$84,E$80,$C$91:$D97)</f>
        <v>1.0680029667840972E-3</v>
      </c>
      <c r="F97" s="143">
        <f ca="1">DSUM($B$80:$Y$84,F$80,$C$91:$D97)</f>
        <v>2.1131784670404639E-3</v>
      </c>
      <c r="G97" s="143">
        <f ca="1">DSUM($B$80:$Y$84,G$80,$C$91:$D97)</f>
        <v>3.1358924360082451E-3</v>
      </c>
      <c r="H97" s="143">
        <f ca="1">DSUM($B$80:$Y$84,H$80,$C$91:$D97)</f>
        <v>4.1365055945999808E-3</v>
      </c>
      <c r="I97" s="143">
        <f ca="1">DSUM($B$80:$Y$84,I$80,$C$91:$D97)</f>
        <v>5.1153735190584016E-3</v>
      </c>
      <c r="J97" s="143">
        <f ca="1">DSUM($B$80:$Y$84,J$80,$C$91:$D97)</f>
        <v>5.971632597891267E-3</v>
      </c>
      <c r="K97" s="143">
        <f ca="1">DSUM($B$80:$Y$84,K$80,$C$91:$D97)</f>
        <v>6.6287673945559346E-3</v>
      </c>
      <c r="L97" s="143">
        <f ca="1">DSUM($B$80:$Y$84,L$80,$C$91:$D97)</f>
        <v>7.1285248331359533E-3</v>
      </c>
      <c r="M97" s="143">
        <f ca="1">DSUM($B$80:$Y$84,M$80,$C$91:$D97)</f>
        <v>7.503943186591683E-3</v>
      </c>
      <c r="N97" s="143">
        <f ca="1">DSUM($B$80:$Y$84,N$80,$C$91:$D97)</f>
        <v>7.7811682874594536E-3</v>
      </c>
      <c r="O97" s="143">
        <f ca="1">DSUM($B$80:$Y$84,O$80,$C$91:$D97)</f>
        <v>7.9808909682874893E-3</v>
      </c>
      <c r="P97" s="143">
        <f ca="1">DSUM($B$80:$Y$84,P$80,$C$91:$D97)</f>
        <v>8.1194847241941783E-3</v>
      </c>
      <c r="Q97" s="143">
        <f ca="1">DSUM($B$80:$Y$84,Q$80,$C$91:$D97)</f>
        <v>8.2099061161048422E-3</v>
      </c>
      <c r="R97" s="143">
        <f ca="1">DSUM($B$80:$Y$84,R$80,$C$91:$D97)</f>
        <v>8.2624073950037773E-3</v>
      </c>
      <c r="S97" s="143">
        <f ca="1">DSUM($B$80:$Y$84,S$80,$C$91:$D97)</f>
        <v>8.2851005084345116E-3</v>
      </c>
      <c r="T97" s="143">
        <f ca="1">DSUM($B$80:$Y$84,T$80,$C$91:$D97)</f>
        <v>8.7287693619053953E-3</v>
      </c>
      <c r="U97" s="143">
        <f ca="1">DSUM($B$80:$Y$84,U$80,$C$91:$D97)</f>
        <v>8.5979164732683782E-3</v>
      </c>
      <c r="V97" s="143">
        <f ca="1">DSUM($B$80:$Y$84,V$80,$C$91:$D97)</f>
        <v>8.477417552195967E-3</v>
      </c>
      <c r="W97" s="143">
        <f ca="1">DSUM($B$80:$Y$84,W$80,$C$91:$D97)</f>
        <v>8.3552027479865173E-3</v>
      </c>
      <c r="X97" s="143">
        <f ca="1">DSUM($B$80:$Y$84,X$80,$C$91:$D97)</f>
        <v>8.2115926833042571E-3</v>
      </c>
      <c r="Y97" s="137">
        <f ca="1">DSUM($B$80:$Y$84,Y$80,$C$91:$D97)</f>
        <v>0.1244350713402806</v>
      </c>
      <c r="Z97" s="34"/>
      <c r="AA97" s="34"/>
      <c r="AB97" s="34"/>
      <c r="AC97" s="34"/>
    </row>
    <row r="98" spans="1:29" customFormat="1">
      <c r="A98" s="34"/>
      <c r="B98" s="34" t="s">
        <v>1010</v>
      </c>
      <c r="C98" s="548" t="s">
        <v>1011</v>
      </c>
      <c r="D98" s="548" t="s">
        <v>1012</v>
      </c>
      <c r="E98" s="143">
        <f ca="1">DSUM($B$80:$Y$84,E$80,$C$91:$D98)</f>
        <v>3.0147854612812722E-3</v>
      </c>
      <c r="F98" s="143">
        <f ca="1">DSUM($B$80:$Y$84,F$80,$C$91:$D98)</f>
        <v>5.9979018793103293E-3</v>
      </c>
      <c r="G98" s="143">
        <f ca="1">DSUM($B$80:$Y$84,G$80,$C$91:$D98)</f>
        <v>8.949745305741167E-3</v>
      </c>
      <c r="H98" s="143">
        <f ca="1">DSUM($B$80:$Y$84,H$80,$C$91:$D98)</f>
        <v>1.1870706486715994E-2</v>
      </c>
      <c r="I98" s="143">
        <f ca="1">DSUM($B$80:$Y$84,I$80,$C$91:$D98)</f>
        <v>1.4761170932780839E-2</v>
      </c>
      <c r="J98" s="143">
        <f ca="1">DSUM($B$80:$Y$84,J$80,$C$91:$D98)</f>
        <v>1.7327827004775427E-2</v>
      </c>
      <c r="K98" s="143">
        <f ca="1">DSUM($B$80:$Y$84,K$80,$C$91:$D98)</f>
        <v>1.9341867634616559E-2</v>
      </c>
      <c r="L98" s="143">
        <f ca="1">DSUM($B$80:$Y$84,L$80,$C$91:$D98)</f>
        <v>2.0916399007748394E-2</v>
      </c>
      <c r="M98" s="143">
        <f ca="1">DSUM($B$80:$Y$84,M$80,$C$91:$D98)</f>
        <v>2.2141417128291038E-2</v>
      </c>
      <c r="N98" s="143">
        <f ca="1">DSUM($B$80:$Y$84,N$80,$C$91:$D98)</f>
        <v>2.3088530498478123E-2</v>
      </c>
      <c r="O98" s="143">
        <f ca="1">DSUM($B$80:$Y$84,O$80,$C$91:$D98)</f>
        <v>2.3814717454034531E-2</v>
      </c>
      <c r="P98" s="143">
        <f ca="1">DSUM($B$80:$Y$84,P$80,$C$91:$D98)</f>
        <v>2.4365315528240811E-2</v>
      </c>
      <c r="Q98" s="143">
        <f ca="1">DSUM($B$80:$Y$84,Q$80,$C$91:$D98)</f>
        <v>2.4776399852473263E-2</v>
      </c>
      <c r="R98" s="143">
        <f ca="1">DSUM($B$80:$Y$84,R$80,$C$91:$D98)</f>
        <v>2.507667549328834E-2</v>
      </c>
      <c r="S98" s="143">
        <f ca="1">DSUM($B$80:$Y$84,S$80,$C$91:$D98)</f>
        <v>2.5288983086058238E-2</v>
      </c>
      <c r="T98" s="143">
        <f ca="1">DSUM($B$80:$Y$84,T$80,$C$91:$D98)</f>
        <v>3.2086935144800516E-2</v>
      </c>
      <c r="U98" s="143">
        <f ca="1">DSUM($B$80:$Y$84,U$80,$C$91:$D98)</f>
        <v>3.1233428555628343E-2</v>
      </c>
      <c r="V98" s="143">
        <f ca="1">DSUM($B$80:$Y$84,V$80,$C$91:$D98)</f>
        <v>3.0413315979668957E-2</v>
      </c>
      <c r="W98" s="143">
        <f ca="1">DSUM($B$80:$Y$84,W$80,$C$91:$D98)</f>
        <v>2.9472733857562661E-2</v>
      </c>
      <c r="X98" s="143">
        <f ca="1">DSUM($B$80:$Y$84,X$80,$C$91:$D98)</f>
        <v>2.8474325770340068E-2</v>
      </c>
      <c r="Y98" s="137">
        <f ca="1">DSUM($B$80:$Y$84,Y$80,$C$91:$D98)</f>
        <v>0.41098712027747475</v>
      </c>
      <c r="Z98" s="34"/>
      <c r="AA98" s="34"/>
      <c r="AB98" s="34"/>
      <c r="AC98" s="34"/>
    </row>
    <row r="99" spans="1:29" customFormat="1">
      <c r="A99" s="34"/>
      <c r="B99" s="34" t="s">
        <v>1013</v>
      </c>
      <c r="C99" s="548" t="s">
        <v>1014</v>
      </c>
      <c r="D99" s="548" t="s">
        <v>1015</v>
      </c>
      <c r="E99" s="143">
        <f ca="1">DSUM($B$80:$Y$84,E$80,$C$91:$D99)</f>
        <v>3.0147854612812722E-3</v>
      </c>
      <c r="F99" s="143">
        <f ca="1">DSUM($B$80:$Y$84,F$80,$C$91:$D99)</f>
        <v>5.9979018793103293E-3</v>
      </c>
      <c r="G99" s="143">
        <f ca="1">DSUM($B$80:$Y$84,G$80,$C$91:$D99)</f>
        <v>8.949745305741167E-3</v>
      </c>
      <c r="H99" s="143">
        <f ca="1">DSUM($B$80:$Y$84,H$80,$C$91:$D99)</f>
        <v>1.1870706486715994E-2</v>
      </c>
      <c r="I99" s="143">
        <f ca="1">DSUM($B$80:$Y$84,I$80,$C$91:$D99)</f>
        <v>1.4761170932780839E-2</v>
      </c>
      <c r="J99" s="143">
        <f ca="1">DSUM($B$80:$Y$84,J$80,$C$91:$D99)</f>
        <v>1.7327827004775427E-2</v>
      </c>
      <c r="K99" s="143">
        <f ca="1">DSUM($B$80:$Y$84,K$80,$C$91:$D99)</f>
        <v>1.9341867634616559E-2</v>
      </c>
      <c r="L99" s="143">
        <f ca="1">DSUM($B$80:$Y$84,L$80,$C$91:$D99)</f>
        <v>2.0916399007748394E-2</v>
      </c>
      <c r="M99" s="143">
        <f ca="1">DSUM($B$80:$Y$84,M$80,$C$91:$D99)</f>
        <v>2.2141417128291038E-2</v>
      </c>
      <c r="N99" s="143">
        <f ca="1">DSUM($B$80:$Y$84,N$80,$C$91:$D99)</f>
        <v>2.3088530498478123E-2</v>
      </c>
      <c r="O99" s="143">
        <f ca="1">DSUM($B$80:$Y$84,O$80,$C$91:$D99)</f>
        <v>2.3814717454034531E-2</v>
      </c>
      <c r="P99" s="143">
        <f ca="1">DSUM($B$80:$Y$84,P$80,$C$91:$D99)</f>
        <v>2.4365315528240811E-2</v>
      </c>
      <c r="Q99" s="143">
        <f ca="1">DSUM($B$80:$Y$84,Q$80,$C$91:$D99)</f>
        <v>2.4776399852473263E-2</v>
      </c>
      <c r="R99" s="143">
        <f ca="1">DSUM($B$80:$Y$84,R$80,$C$91:$D99)</f>
        <v>2.507667549328834E-2</v>
      </c>
      <c r="S99" s="143">
        <f ca="1">DSUM($B$80:$Y$84,S$80,$C$91:$D99)</f>
        <v>2.5288983086058238E-2</v>
      </c>
      <c r="T99" s="143">
        <f ca="1">DSUM($B$80:$Y$84,T$80,$C$91:$D99)</f>
        <v>3.2086935144800516E-2</v>
      </c>
      <c r="U99" s="143">
        <f ca="1">DSUM($B$80:$Y$84,U$80,$C$91:$D99)</f>
        <v>3.1233428555628343E-2</v>
      </c>
      <c r="V99" s="143">
        <f ca="1">DSUM($B$80:$Y$84,V$80,$C$91:$D99)</f>
        <v>3.0413315979668957E-2</v>
      </c>
      <c r="W99" s="143">
        <f ca="1">DSUM($B$80:$Y$84,W$80,$C$91:$D99)</f>
        <v>2.9472733857562661E-2</v>
      </c>
      <c r="X99" s="143">
        <f ca="1">DSUM($B$80:$Y$84,X$80,$C$91:$D99)</f>
        <v>2.8474325770340068E-2</v>
      </c>
      <c r="Y99" s="137">
        <f ca="1">DSUM($B$80:$Y$84,Y$80,$C$91:$D99)</f>
        <v>0.41098712027747475</v>
      </c>
      <c r="Z99" s="34"/>
      <c r="AA99" s="34"/>
      <c r="AB99" s="34"/>
      <c r="AC99" s="34"/>
    </row>
    <row r="100" spans="1:29" customFormat="1">
      <c r="A100" s="34"/>
      <c r="B100" s="34" t="s">
        <v>1016</v>
      </c>
      <c r="C100" s="548" t="s">
        <v>1017</v>
      </c>
      <c r="D100" s="548" t="s">
        <v>1018</v>
      </c>
      <c r="E100" s="143">
        <f ca="1">DSUM($B$80:$Y$84,E$80,$C$91:$D100)</f>
        <v>3.0147854612812722E-3</v>
      </c>
      <c r="F100" s="143">
        <f ca="1">DSUM($B$80:$Y$84,F$80,$C$91:$D100)</f>
        <v>5.9979018793103293E-3</v>
      </c>
      <c r="G100" s="143">
        <f ca="1">DSUM($B$80:$Y$84,G$80,$C$91:$D100)</f>
        <v>8.949745305741167E-3</v>
      </c>
      <c r="H100" s="143">
        <f ca="1">DSUM($B$80:$Y$84,H$80,$C$91:$D100)</f>
        <v>1.1870706486715994E-2</v>
      </c>
      <c r="I100" s="143">
        <f ca="1">DSUM($B$80:$Y$84,I$80,$C$91:$D100)</f>
        <v>1.4761170932780839E-2</v>
      </c>
      <c r="J100" s="143">
        <f ca="1">DSUM($B$80:$Y$84,J$80,$C$91:$D100)</f>
        <v>1.7327827004775427E-2</v>
      </c>
      <c r="K100" s="143">
        <f ca="1">DSUM($B$80:$Y$84,K$80,$C$91:$D100)</f>
        <v>1.9341867634616559E-2</v>
      </c>
      <c r="L100" s="143">
        <f ca="1">DSUM($B$80:$Y$84,L$80,$C$91:$D100)</f>
        <v>2.0916399007748394E-2</v>
      </c>
      <c r="M100" s="143">
        <f ca="1">DSUM($B$80:$Y$84,M$80,$C$91:$D100)</f>
        <v>2.2141417128291038E-2</v>
      </c>
      <c r="N100" s="143">
        <f ca="1">DSUM($B$80:$Y$84,N$80,$C$91:$D100)</f>
        <v>2.3088530498478123E-2</v>
      </c>
      <c r="O100" s="143">
        <f ca="1">DSUM($B$80:$Y$84,O$80,$C$91:$D100)</f>
        <v>2.3814717454034531E-2</v>
      </c>
      <c r="P100" s="143">
        <f ca="1">DSUM($B$80:$Y$84,P$80,$C$91:$D100)</f>
        <v>2.4365315528240811E-2</v>
      </c>
      <c r="Q100" s="143">
        <f ca="1">DSUM($B$80:$Y$84,Q$80,$C$91:$D100)</f>
        <v>2.4776399852473263E-2</v>
      </c>
      <c r="R100" s="143">
        <f ca="1">DSUM($B$80:$Y$84,R$80,$C$91:$D100)</f>
        <v>2.507667549328834E-2</v>
      </c>
      <c r="S100" s="143">
        <f ca="1">DSUM($B$80:$Y$84,S$80,$C$91:$D100)</f>
        <v>2.5288983086058238E-2</v>
      </c>
      <c r="T100" s="143">
        <f ca="1">DSUM($B$80:$Y$84,T$80,$C$91:$D100)</f>
        <v>3.2086935144800516E-2</v>
      </c>
      <c r="U100" s="143">
        <f ca="1">DSUM($B$80:$Y$84,U$80,$C$91:$D100)</f>
        <v>3.1233428555628343E-2</v>
      </c>
      <c r="V100" s="143">
        <f ca="1">DSUM($B$80:$Y$84,V$80,$C$91:$D100)</f>
        <v>3.0413315979668957E-2</v>
      </c>
      <c r="W100" s="143">
        <f ca="1">DSUM($B$80:$Y$84,W$80,$C$91:$D100)</f>
        <v>2.9472733857562661E-2</v>
      </c>
      <c r="X100" s="143">
        <f ca="1">DSUM($B$80:$Y$84,X$80,$C$91:$D100)</f>
        <v>2.8474325770340068E-2</v>
      </c>
      <c r="Y100" s="137">
        <f ca="1">DSUM($B$80:$Y$84,Y$80,$C$91:$D100)</f>
        <v>0.41098712027747475</v>
      </c>
      <c r="Z100" s="34"/>
      <c r="AA100" s="34"/>
      <c r="AB100" s="34"/>
      <c r="AC100" s="34"/>
    </row>
    <row r="101" spans="1:29" customFormat="1">
      <c r="A101" s="34"/>
      <c r="B101" s="34" t="s">
        <v>1019</v>
      </c>
      <c r="C101" s="548" t="s">
        <v>1020</v>
      </c>
      <c r="D101" s="548" t="s">
        <v>1021</v>
      </c>
      <c r="E101" s="143">
        <f ca="1">DSUM($B$80:$Y$84,E$80,$C$91:$D101)</f>
        <v>3.0147854612812722E-3</v>
      </c>
      <c r="F101" s="143">
        <f ca="1">DSUM($B$80:$Y$84,F$80,$C$91:$D101)</f>
        <v>5.9979018793103293E-3</v>
      </c>
      <c r="G101" s="143">
        <f ca="1">DSUM($B$80:$Y$84,G$80,$C$91:$D101)</f>
        <v>8.949745305741167E-3</v>
      </c>
      <c r="H101" s="143">
        <f ca="1">DSUM($B$80:$Y$84,H$80,$C$91:$D101)</f>
        <v>1.1870706486715994E-2</v>
      </c>
      <c r="I101" s="143">
        <f ca="1">DSUM($B$80:$Y$84,I$80,$C$91:$D101)</f>
        <v>1.4761170932780839E-2</v>
      </c>
      <c r="J101" s="143">
        <f ca="1">DSUM($B$80:$Y$84,J$80,$C$91:$D101)</f>
        <v>1.7327827004775427E-2</v>
      </c>
      <c r="K101" s="143">
        <f ca="1">DSUM($B$80:$Y$84,K$80,$C$91:$D101)</f>
        <v>1.9341867634616559E-2</v>
      </c>
      <c r="L101" s="143">
        <f ca="1">DSUM($B$80:$Y$84,L$80,$C$91:$D101)</f>
        <v>2.0916399007748394E-2</v>
      </c>
      <c r="M101" s="143">
        <f ca="1">DSUM($B$80:$Y$84,M$80,$C$91:$D101)</f>
        <v>2.2141417128291038E-2</v>
      </c>
      <c r="N101" s="143">
        <f ca="1">DSUM($B$80:$Y$84,N$80,$C$91:$D101)</f>
        <v>2.3088530498478123E-2</v>
      </c>
      <c r="O101" s="143">
        <f ca="1">DSUM($B$80:$Y$84,O$80,$C$91:$D101)</f>
        <v>2.3814717454034531E-2</v>
      </c>
      <c r="P101" s="143">
        <f ca="1">DSUM($B$80:$Y$84,P$80,$C$91:$D101)</f>
        <v>2.4365315528240811E-2</v>
      </c>
      <c r="Q101" s="143">
        <f ca="1">DSUM($B$80:$Y$84,Q$80,$C$91:$D101)</f>
        <v>2.4776399852473263E-2</v>
      </c>
      <c r="R101" s="143">
        <f ca="1">DSUM($B$80:$Y$84,R$80,$C$91:$D101)</f>
        <v>2.507667549328834E-2</v>
      </c>
      <c r="S101" s="143">
        <f ca="1">DSUM($B$80:$Y$84,S$80,$C$91:$D101)</f>
        <v>2.5288983086058238E-2</v>
      </c>
      <c r="T101" s="143">
        <f ca="1">DSUM($B$80:$Y$84,T$80,$C$91:$D101)</f>
        <v>3.2086935144800516E-2</v>
      </c>
      <c r="U101" s="143">
        <f ca="1">DSUM($B$80:$Y$84,U$80,$C$91:$D101)</f>
        <v>3.1233428555628343E-2</v>
      </c>
      <c r="V101" s="143">
        <f ca="1">DSUM($B$80:$Y$84,V$80,$C$91:$D101)</f>
        <v>3.0413315979668957E-2</v>
      </c>
      <c r="W101" s="143">
        <f ca="1">DSUM($B$80:$Y$84,W$80,$C$91:$D101)</f>
        <v>2.9472733857562661E-2</v>
      </c>
      <c r="X101" s="143">
        <f ca="1">DSUM($B$80:$Y$84,X$80,$C$91:$D101)</f>
        <v>2.8474325770340068E-2</v>
      </c>
      <c r="Y101" s="137">
        <f ca="1">DSUM($B$80:$Y$84,Y$80,$C$91:$D101)</f>
        <v>0.41098712027747475</v>
      </c>
      <c r="Z101" s="34"/>
      <c r="AA101" s="34"/>
      <c r="AB101" s="34"/>
      <c r="AC101" s="34"/>
    </row>
    <row r="102" spans="1:29" customFormat="1">
      <c r="A102" s="34"/>
      <c r="B102" s="34" t="s">
        <v>1022</v>
      </c>
      <c r="C102" s="548" t="s">
        <v>1023</v>
      </c>
      <c r="D102" s="548" t="s">
        <v>1024</v>
      </c>
      <c r="E102" s="143">
        <f ca="1">DSUM($B$80:$Y$84,E$80,$C$91:$D102)</f>
        <v>3.0147854612812722E-3</v>
      </c>
      <c r="F102" s="143">
        <f ca="1">DSUM($B$80:$Y$84,F$80,$C$91:$D102)</f>
        <v>5.9979018793103293E-3</v>
      </c>
      <c r="G102" s="143">
        <f ca="1">DSUM($B$80:$Y$84,G$80,$C$91:$D102)</f>
        <v>8.949745305741167E-3</v>
      </c>
      <c r="H102" s="143">
        <f ca="1">DSUM($B$80:$Y$84,H$80,$C$91:$D102)</f>
        <v>1.1870706486715994E-2</v>
      </c>
      <c r="I102" s="143">
        <f ca="1">DSUM($B$80:$Y$84,I$80,$C$91:$D102)</f>
        <v>1.4761170932780839E-2</v>
      </c>
      <c r="J102" s="143">
        <f ca="1">DSUM($B$80:$Y$84,J$80,$C$91:$D102)</f>
        <v>1.7327827004775427E-2</v>
      </c>
      <c r="K102" s="143">
        <f ca="1">DSUM($B$80:$Y$84,K$80,$C$91:$D102)</f>
        <v>1.9341867634616559E-2</v>
      </c>
      <c r="L102" s="143">
        <f ca="1">DSUM($B$80:$Y$84,L$80,$C$91:$D102)</f>
        <v>2.0916399007748394E-2</v>
      </c>
      <c r="M102" s="143">
        <f ca="1">DSUM($B$80:$Y$84,M$80,$C$91:$D102)</f>
        <v>2.2141417128291038E-2</v>
      </c>
      <c r="N102" s="143">
        <f ca="1">DSUM($B$80:$Y$84,N$80,$C$91:$D102)</f>
        <v>2.3088530498478123E-2</v>
      </c>
      <c r="O102" s="143">
        <f ca="1">DSUM($B$80:$Y$84,O$80,$C$91:$D102)</f>
        <v>2.3814717454034531E-2</v>
      </c>
      <c r="P102" s="143">
        <f ca="1">DSUM($B$80:$Y$84,P$80,$C$91:$D102)</f>
        <v>2.4365315528240811E-2</v>
      </c>
      <c r="Q102" s="143">
        <f ca="1">DSUM($B$80:$Y$84,Q$80,$C$91:$D102)</f>
        <v>2.4776399852473263E-2</v>
      </c>
      <c r="R102" s="143">
        <f ca="1">DSUM($B$80:$Y$84,R$80,$C$91:$D102)</f>
        <v>2.507667549328834E-2</v>
      </c>
      <c r="S102" s="143">
        <f ca="1">DSUM($B$80:$Y$84,S$80,$C$91:$D102)</f>
        <v>2.5288983086058238E-2</v>
      </c>
      <c r="T102" s="143">
        <f ca="1">DSUM($B$80:$Y$84,T$80,$C$91:$D102)</f>
        <v>3.2086935144800516E-2</v>
      </c>
      <c r="U102" s="143">
        <f ca="1">DSUM($B$80:$Y$84,U$80,$C$91:$D102)</f>
        <v>3.1233428555628343E-2</v>
      </c>
      <c r="V102" s="143">
        <f ca="1">DSUM($B$80:$Y$84,V$80,$C$91:$D102)</f>
        <v>3.0413315979668957E-2</v>
      </c>
      <c r="W102" s="143">
        <f ca="1">DSUM($B$80:$Y$84,W$80,$C$91:$D102)</f>
        <v>2.9472733857562661E-2</v>
      </c>
      <c r="X102" s="143">
        <f ca="1">DSUM($B$80:$Y$84,X$80,$C$91:$D102)</f>
        <v>2.8474325770340068E-2</v>
      </c>
      <c r="Y102" s="137">
        <f ca="1">DSUM($B$80:$Y$84,Y$80,$C$91:$D102)</f>
        <v>0.41098712027747475</v>
      </c>
      <c r="Z102" s="34"/>
      <c r="AA102" s="34"/>
      <c r="AB102" s="34"/>
      <c r="AC102" s="34"/>
    </row>
    <row r="103" spans="1:29" customFormat="1">
      <c r="A103" s="34"/>
      <c r="B103" s="34" t="s">
        <v>1025</v>
      </c>
      <c r="C103" s="548" t="s">
        <v>1026</v>
      </c>
      <c r="D103" s="548" t="s">
        <v>1027</v>
      </c>
      <c r="E103" s="143">
        <f ca="1">DSUM($B$80:$Y$84,E$80,$C$91:$D103)</f>
        <v>3.0147854612812722E-3</v>
      </c>
      <c r="F103" s="143">
        <f ca="1">DSUM($B$80:$Y$84,F$80,$C$91:$D103)</f>
        <v>5.9979018793103293E-3</v>
      </c>
      <c r="G103" s="143">
        <f ca="1">DSUM($B$80:$Y$84,G$80,$C$91:$D103)</f>
        <v>8.949745305741167E-3</v>
      </c>
      <c r="H103" s="143">
        <f ca="1">DSUM($B$80:$Y$84,H$80,$C$91:$D103)</f>
        <v>1.1870706486715994E-2</v>
      </c>
      <c r="I103" s="143">
        <f ca="1">DSUM($B$80:$Y$84,I$80,$C$91:$D103)</f>
        <v>1.4761170932780839E-2</v>
      </c>
      <c r="J103" s="143">
        <f ca="1">DSUM($B$80:$Y$84,J$80,$C$91:$D103)</f>
        <v>1.7327827004775427E-2</v>
      </c>
      <c r="K103" s="143">
        <f ca="1">DSUM($B$80:$Y$84,K$80,$C$91:$D103)</f>
        <v>1.9341867634616559E-2</v>
      </c>
      <c r="L103" s="143">
        <f ca="1">DSUM($B$80:$Y$84,L$80,$C$91:$D103)</f>
        <v>2.0916399007748394E-2</v>
      </c>
      <c r="M103" s="143">
        <f ca="1">DSUM($B$80:$Y$84,M$80,$C$91:$D103)</f>
        <v>2.2141417128291038E-2</v>
      </c>
      <c r="N103" s="143">
        <f ca="1">DSUM($B$80:$Y$84,N$80,$C$91:$D103)</f>
        <v>2.3088530498478123E-2</v>
      </c>
      <c r="O103" s="143">
        <f ca="1">DSUM($B$80:$Y$84,O$80,$C$91:$D103)</f>
        <v>2.3814717454034531E-2</v>
      </c>
      <c r="P103" s="143">
        <f ca="1">DSUM($B$80:$Y$84,P$80,$C$91:$D103)</f>
        <v>2.4365315528240811E-2</v>
      </c>
      <c r="Q103" s="143">
        <f ca="1">DSUM($B$80:$Y$84,Q$80,$C$91:$D103)</f>
        <v>2.4776399852473263E-2</v>
      </c>
      <c r="R103" s="143">
        <f ca="1">DSUM($B$80:$Y$84,R$80,$C$91:$D103)</f>
        <v>2.507667549328834E-2</v>
      </c>
      <c r="S103" s="143">
        <f ca="1">DSUM($B$80:$Y$84,S$80,$C$91:$D103)</f>
        <v>2.5288983086058238E-2</v>
      </c>
      <c r="T103" s="143">
        <f ca="1">DSUM($B$80:$Y$84,T$80,$C$91:$D103)</f>
        <v>3.2086935144800516E-2</v>
      </c>
      <c r="U103" s="143">
        <f ca="1">DSUM($B$80:$Y$84,U$80,$C$91:$D103)</f>
        <v>3.1233428555628343E-2</v>
      </c>
      <c r="V103" s="143">
        <f ca="1">DSUM($B$80:$Y$84,V$80,$C$91:$D103)</f>
        <v>3.0413315979668957E-2</v>
      </c>
      <c r="W103" s="143">
        <f ca="1">DSUM($B$80:$Y$84,W$80,$C$91:$D103)</f>
        <v>2.9472733857562661E-2</v>
      </c>
      <c r="X103" s="143">
        <f ca="1">DSUM($B$80:$Y$84,X$80,$C$91:$D103)</f>
        <v>2.8474325770340068E-2</v>
      </c>
      <c r="Y103" s="137">
        <f ca="1">DSUM($B$80:$Y$84,Y$80,$C$91:$D103)</f>
        <v>0.41098712027747475</v>
      </c>
      <c r="Z103" s="34"/>
      <c r="AA103" s="34"/>
      <c r="AB103" s="34"/>
      <c r="AC103" s="34"/>
    </row>
    <row r="104" spans="1:29" customFormat="1">
      <c r="A104" s="34"/>
      <c r="B104" s="34" t="s">
        <v>1028</v>
      </c>
      <c r="C104" s="548" t="s">
        <v>1029</v>
      </c>
      <c r="D104" s="548" t="s">
        <v>1030</v>
      </c>
      <c r="E104" s="143">
        <f ca="1">DSUM($B$80:$Y$84,E$80,$C$91:$D104)</f>
        <v>3.0147854612812722E-3</v>
      </c>
      <c r="F104" s="143">
        <f ca="1">DSUM($B$80:$Y$84,F$80,$C$91:$D104)</f>
        <v>5.9979018793103293E-3</v>
      </c>
      <c r="G104" s="143">
        <f ca="1">DSUM($B$80:$Y$84,G$80,$C$91:$D104)</f>
        <v>8.949745305741167E-3</v>
      </c>
      <c r="H104" s="143">
        <f ca="1">DSUM($B$80:$Y$84,H$80,$C$91:$D104)</f>
        <v>1.1870706486715994E-2</v>
      </c>
      <c r="I104" s="143">
        <f ca="1">DSUM($B$80:$Y$84,I$80,$C$91:$D104)</f>
        <v>1.4761170932780839E-2</v>
      </c>
      <c r="J104" s="143">
        <f ca="1">DSUM($B$80:$Y$84,J$80,$C$91:$D104)</f>
        <v>1.7327827004775427E-2</v>
      </c>
      <c r="K104" s="143">
        <f ca="1">DSUM($B$80:$Y$84,K$80,$C$91:$D104)</f>
        <v>1.9341867634616559E-2</v>
      </c>
      <c r="L104" s="143">
        <f ca="1">DSUM($B$80:$Y$84,L$80,$C$91:$D104)</f>
        <v>2.0916399007748394E-2</v>
      </c>
      <c r="M104" s="143">
        <f ca="1">DSUM($B$80:$Y$84,M$80,$C$91:$D104)</f>
        <v>2.2141417128291038E-2</v>
      </c>
      <c r="N104" s="143">
        <f ca="1">DSUM($B$80:$Y$84,N$80,$C$91:$D104)</f>
        <v>2.3088530498478123E-2</v>
      </c>
      <c r="O104" s="143">
        <f ca="1">DSUM($B$80:$Y$84,O$80,$C$91:$D104)</f>
        <v>2.3814717454034531E-2</v>
      </c>
      <c r="P104" s="143">
        <f ca="1">DSUM($B$80:$Y$84,P$80,$C$91:$D104)</f>
        <v>2.4365315528240811E-2</v>
      </c>
      <c r="Q104" s="143">
        <f ca="1">DSUM($B$80:$Y$84,Q$80,$C$91:$D104)</f>
        <v>2.4776399852473263E-2</v>
      </c>
      <c r="R104" s="143">
        <f ca="1">DSUM($B$80:$Y$84,R$80,$C$91:$D104)</f>
        <v>2.507667549328834E-2</v>
      </c>
      <c r="S104" s="143">
        <f ca="1">DSUM($B$80:$Y$84,S$80,$C$91:$D104)</f>
        <v>2.5288983086058238E-2</v>
      </c>
      <c r="T104" s="143">
        <f ca="1">DSUM($B$80:$Y$84,T$80,$C$91:$D104)</f>
        <v>3.2086935144800516E-2</v>
      </c>
      <c r="U104" s="143">
        <f ca="1">DSUM($B$80:$Y$84,U$80,$C$91:$D104)</f>
        <v>3.1233428555628343E-2</v>
      </c>
      <c r="V104" s="143">
        <f ca="1">DSUM($B$80:$Y$84,V$80,$C$91:$D104)</f>
        <v>3.0413315979668957E-2</v>
      </c>
      <c r="W104" s="143">
        <f ca="1">DSUM($B$80:$Y$84,W$80,$C$91:$D104)</f>
        <v>2.9472733857562661E-2</v>
      </c>
      <c r="X104" s="143">
        <f ca="1">DSUM($B$80:$Y$84,X$80,$C$91:$D104)</f>
        <v>2.8474325770340068E-2</v>
      </c>
      <c r="Y104" s="137">
        <f ca="1">DSUM($B$80:$Y$84,Y$80,$C$91:$D104)</f>
        <v>0.41098712027747475</v>
      </c>
      <c r="Z104" s="34"/>
      <c r="AA104" s="34"/>
      <c r="AB104" s="34"/>
      <c r="AC104" s="34"/>
    </row>
    <row r="105" spans="1:29" customFormat="1">
      <c r="A105" s="34"/>
      <c r="B105" s="34" t="s">
        <v>1031</v>
      </c>
      <c r="C105" s="548" t="s">
        <v>1032</v>
      </c>
      <c r="D105" s="548" t="s">
        <v>1033</v>
      </c>
      <c r="E105" s="143">
        <f ca="1">DSUM($B$80:$Y$84,E$80,$C$91:$D105)</f>
        <v>3.0147854612812722E-3</v>
      </c>
      <c r="F105" s="143">
        <f ca="1">DSUM($B$80:$Y$84,F$80,$C$91:$D105)</f>
        <v>5.9979018793103293E-3</v>
      </c>
      <c r="G105" s="143">
        <f ca="1">DSUM($B$80:$Y$84,G$80,$C$91:$D105)</f>
        <v>8.949745305741167E-3</v>
      </c>
      <c r="H105" s="143">
        <f ca="1">DSUM($B$80:$Y$84,H$80,$C$91:$D105)</f>
        <v>1.1870706486715994E-2</v>
      </c>
      <c r="I105" s="143">
        <f ca="1">DSUM($B$80:$Y$84,I$80,$C$91:$D105)</f>
        <v>1.4761170932780839E-2</v>
      </c>
      <c r="J105" s="143">
        <f ca="1">DSUM($B$80:$Y$84,J$80,$C$91:$D105)</f>
        <v>1.7327827004775427E-2</v>
      </c>
      <c r="K105" s="143">
        <f ca="1">DSUM($B$80:$Y$84,K$80,$C$91:$D105)</f>
        <v>1.9341867634616559E-2</v>
      </c>
      <c r="L105" s="143">
        <f ca="1">DSUM($B$80:$Y$84,L$80,$C$91:$D105)</f>
        <v>2.0916399007748394E-2</v>
      </c>
      <c r="M105" s="143">
        <f ca="1">DSUM($B$80:$Y$84,M$80,$C$91:$D105)</f>
        <v>2.2141417128291038E-2</v>
      </c>
      <c r="N105" s="143">
        <f ca="1">DSUM($B$80:$Y$84,N$80,$C$91:$D105)</f>
        <v>2.3088530498478123E-2</v>
      </c>
      <c r="O105" s="143">
        <f ca="1">DSUM($B$80:$Y$84,O$80,$C$91:$D105)</f>
        <v>2.3814717454034531E-2</v>
      </c>
      <c r="P105" s="143">
        <f ca="1">DSUM($B$80:$Y$84,P$80,$C$91:$D105)</f>
        <v>2.4365315528240811E-2</v>
      </c>
      <c r="Q105" s="143">
        <f ca="1">DSUM($B$80:$Y$84,Q$80,$C$91:$D105)</f>
        <v>2.4776399852473263E-2</v>
      </c>
      <c r="R105" s="143">
        <f ca="1">DSUM($B$80:$Y$84,R$80,$C$91:$D105)</f>
        <v>2.507667549328834E-2</v>
      </c>
      <c r="S105" s="143">
        <f ca="1">DSUM($B$80:$Y$84,S$80,$C$91:$D105)</f>
        <v>2.5288983086058238E-2</v>
      </c>
      <c r="T105" s="143">
        <f ca="1">DSUM($B$80:$Y$84,T$80,$C$91:$D105)</f>
        <v>3.2086935144800516E-2</v>
      </c>
      <c r="U105" s="143">
        <f ca="1">DSUM($B$80:$Y$84,U$80,$C$91:$D105)</f>
        <v>3.1233428555628343E-2</v>
      </c>
      <c r="V105" s="143">
        <f ca="1">DSUM($B$80:$Y$84,V$80,$C$91:$D105)</f>
        <v>3.0413315979668957E-2</v>
      </c>
      <c r="W105" s="143">
        <f ca="1">DSUM($B$80:$Y$84,W$80,$C$91:$D105)</f>
        <v>2.9472733857562661E-2</v>
      </c>
      <c r="X105" s="143">
        <f ca="1">DSUM($B$80:$Y$84,X$80,$C$91:$D105)</f>
        <v>2.8474325770340068E-2</v>
      </c>
      <c r="Y105" s="137">
        <f ca="1">DSUM($B$80:$Y$84,Y$80,$C$91:$D105)</f>
        <v>0.41098712027747475</v>
      </c>
      <c r="Z105" s="34"/>
      <c r="AA105" s="34"/>
      <c r="AB105" s="34"/>
      <c r="AC105" s="34"/>
    </row>
    <row r="106" spans="1:29" customFormat="1">
      <c r="A106" s="34"/>
      <c r="B106" s="34" t="s">
        <v>1034</v>
      </c>
      <c r="C106" s="548" t="s">
        <v>1035</v>
      </c>
      <c r="D106" s="548" t="s">
        <v>1036</v>
      </c>
      <c r="E106" s="143">
        <f ca="1">DSUM($B$80:$Y$84,E$80,$C$91:$D106)</f>
        <v>3.0147854612812722E-3</v>
      </c>
      <c r="F106" s="143">
        <f ca="1">DSUM($B$80:$Y$84,F$80,$C$91:$D106)</f>
        <v>5.9979018793103293E-3</v>
      </c>
      <c r="G106" s="143">
        <f ca="1">DSUM($B$80:$Y$84,G$80,$C$91:$D106)</f>
        <v>8.949745305741167E-3</v>
      </c>
      <c r="H106" s="143">
        <f ca="1">DSUM($B$80:$Y$84,H$80,$C$91:$D106)</f>
        <v>1.1870706486715994E-2</v>
      </c>
      <c r="I106" s="143">
        <f ca="1">DSUM($B$80:$Y$84,I$80,$C$91:$D106)</f>
        <v>1.4761170932780839E-2</v>
      </c>
      <c r="J106" s="143">
        <f ca="1">DSUM($B$80:$Y$84,J$80,$C$91:$D106)</f>
        <v>1.7327827004775427E-2</v>
      </c>
      <c r="K106" s="143">
        <f ca="1">DSUM($B$80:$Y$84,K$80,$C$91:$D106)</f>
        <v>1.9341867634616559E-2</v>
      </c>
      <c r="L106" s="143">
        <f ca="1">DSUM($B$80:$Y$84,L$80,$C$91:$D106)</f>
        <v>2.0916399007748394E-2</v>
      </c>
      <c r="M106" s="143">
        <f ca="1">DSUM($B$80:$Y$84,M$80,$C$91:$D106)</f>
        <v>2.2141417128291038E-2</v>
      </c>
      <c r="N106" s="143">
        <f ca="1">DSUM($B$80:$Y$84,N$80,$C$91:$D106)</f>
        <v>2.3088530498478123E-2</v>
      </c>
      <c r="O106" s="143">
        <f ca="1">DSUM($B$80:$Y$84,O$80,$C$91:$D106)</f>
        <v>2.3814717454034531E-2</v>
      </c>
      <c r="P106" s="143">
        <f ca="1">DSUM($B$80:$Y$84,P$80,$C$91:$D106)</f>
        <v>2.4365315528240811E-2</v>
      </c>
      <c r="Q106" s="143">
        <f ca="1">DSUM($B$80:$Y$84,Q$80,$C$91:$D106)</f>
        <v>2.4776399852473263E-2</v>
      </c>
      <c r="R106" s="143">
        <f ca="1">DSUM($B$80:$Y$84,R$80,$C$91:$D106)</f>
        <v>2.507667549328834E-2</v>
      </c>
      <c r="S106" s="143">
        <f ca="1">DSUM($B$80:$Y$84,S$80,$C$91:$D106)</f>
        <v>2.5288983086058238E-2</v>
      </c>
      <c r="T106" s="143">
        <f ca="1">DSUM($B$80:$Y$84,T$80,$C$91:$D106)</f>
        <v>3.2086935144800516E-2</v>
      </c>
      <c r="U106" s="143">
        <f ca="1">DSUM($B$80:$Y$84,U$80,$C$91:$D106)</f>
        <v>3.1233428555628343E-2</v>
      </c>
      <c r="V106" s="143">
        <f ca="1">DSUM($B$80:$Y$84,V$80,$C$91:$D106)</f>
        <v>3.0413315979668957E-2</v>
      </c>
      <c r="W106" s="143">
        <f ca="1">DSUM($B$80:$Y$84,W$80,$C$91:$D106)</f>
        <v>2.9472733857562661E-2</v>
      </c>
      <c r="X106" s="143">
        <f ca="1">DSUM($B$80:$Y$84,X$80,$C$91:$D106)</f>
        <v>2.8474325770340068E-2</v>
      </c>
      <c r="Y106" s="137">
        <f ca="1">DSUM($B$80:$Y$84,Y$80,$C$91:$D106)</f>
        <v>0.41098712027747475</v>
      </c>
      <c r="Z106" s="34"/>
      <c r="AA106" s="34"/>
      <c r="AB106" s="34"/>
      <c r="AC106" s="34"/>
    </row>
    <row r="107" spans="1:29" customFormat="1">
      <c r="A107" s="34"/>
      <c r="B107" s="34" t="s">
        <v>1037</v>
      </c>
      <c r="C107" s="548" t="s">
        <v>1038</v>
      </c>
      <c r="D107" s="548" t="s">
        <v>1039</v>
      </c>
      <c r="E107" s="143">
        <f ca="1">DSUM($B$80:$Y$84,E$80,$C$91:$D107)</f>
        <v>5.54074640658642E-3</v>
      </c>
      <c r="F107" s="143">
        <f ca="1">DSUM($B$80:$Y$84,F$80,$C$91:$D107)</f>
        <v>1.1038351960153273E-2</v>
      </c>
      <c r="G107" s="143">
        <f ca="1">DSUM($B$80:$Y$84,G$80,$C$91:$D107)</f>
        <v>1.6493251787311234E-2</v>
      </c>
      <c r="H107" s="143">
        <f ca="1">DSUM($B$80:$Y$84,H$80,$C$91:$D107)</f>
        <v>2.1905875590851609E-2</v>
      </c>
      <c r="I107" s="143">
        <f ca="1">DSUM($B$80:$Y$84,I$80,$C$91:$D107)</f>
        <v>2.7276647719997771E-2</v>
      </c>
      <c r="J107" s="143">
        <f ca="1">DSUM($B$80:$Y$84,J$80,$C$91:$D107)</f>
        <v>3.2062554119099008E-2</v>
      </c>
      <c r="K107" s="143">
        <f ca="1">DSUM($B$80:$Y$84,K$80,$C$91:$D107)</f>
        <v>3.5837188422305516E-2</v>
      </c>
      <c r="L107" s="143">
        <f ca="1">DSUM($B$80:$Y$84,L$80,$C$91:$D107)</f>
        <v>3.8806245820737557E-2</v>
      </c>
      <c r="M107" s="143">
        <f ca="1">DSUM($B$80:$Y$84,M$80,$C$91:$D107)</f>
        <v>4.1133625267988951E-2</v>
      </c>
      <c r="N107" s="143">
        <f ca="1">DSUM($B$80:$Y$84,N$80,$C$91:$D107)</f>
        <v>4.2949923316488836E-2</v>
      </c>
      <c r="O107" s="143">
        <f ca="1">DSUM($B$80:$Y$84,O$80,$C$91:$D107)</f>
        <v>4.4359201527640515E-2</v>
      </c>
      <c r="P107" s="143">
        <f ca="1">DSUM($B$80:$Y$84,P$80,$C$91:$D107)</f>
        <v>4.5444378427517126E-2</v>
      </c>
      <c r="Q107" s="143">
        <f ca="1">DSUM($B$80:$Y$84,Q$80,$C$91:$D107)</f>
        <v>4.6271525616098493E-2</v>
      </c>
      <c r="R107" s="143">
        <f ca="1">DSUM($B$80:$Y$84,R$80,$C$91:$D107)</f>
        <v>4.6893290787554866E-2</v>
      </c>
      <c r="S107" s="143">
        <f ca="1">DSUM($B$80:$Y$84,S$80,$C$91:$D107)</f>
        <v>4.7351625129764402E-2</v>
      </c>
      <c r="T107" s="143">
        <f ca="1">DSUM($B$80:$Y$84,T$80,$C$91:$D107)</f>
        <v>5.9130604910379803E-2</v>
      </c>
      <c r="U107" s="143">
        <f ca="1">DSUM($B$80:$Y$84,U$80,$C$91:$D107)</f>
        <v>5.7549967767878511E-2</v>
      </c>
      <c r="V107" s="143">
        <f ca="1">DSUM($B$80:$Y$84,V$80,$C$91:$D107)</f>
        <v>5.6019705141079484E-2</v>
      </c>
      <c r="W107" s="143">
        <f ca="1">DSUM($B$80:$Y$84,W$80,$C$91:$D107)</f>
        <v>5.4485438054259025E-2</v>
      </c>
      <c r="X107" s="143">
        <f ca="1">DSUM($B$80:$Y$84,X$80,$C$91:$D107)</f>
        <v>5.2939049764859962E-2</v>
      </c>
      <c r="Y107" s="137">
        <f ca="1">DSUM($B$80:$Y$84,Y$80,$C$91:$D107)</f>
        <v>0.76936177080110313</v>
      </c>
      <c r="Z107" s="34"/>
      <c r="AA107" s="34"/>
      <c r="AB107" s="34"/>
      <c r="AC107" s="34"/>
    </row>
    <row r="108" spans="1:29" customFormat="1">
      <c r="A108" s="34"/>
      <c r="B108" s="34" t="s">
        <v>1040</v>
      </c>
      <c r="C108" s="548" t="s">
        <v>1041</v>
      </c>
      <c r="D108" s="548" t="s">
        <v>1042</v>
      </c>
      <c r="E108" s="143">
        <f ca="1">DSUM($B$80:$Y$84,E$80,$C$91:$D108)</f>
        <v>5.54074640658642E-3</v>
      </c>
      <c r="F108" s="143">
        <f ca="1">DSUM($B$80:$Y$84,F$80,$C$91:$D108)</f>
        <v>1.1038351960153273E-2</v>
      </c>
      <c r="G108" s="143">
        <f ca="1">DSUM($B$80:$Y$84,G$80,$C$91:$D108)</f>
        <v>1.6493251787311234E-2</v>
      </c>
      <c r="H108" s="143">
        <f ca="1">DSUM($B$80:$Y$84,H$80,$C$91:$D108)</f>
        <v>2.1905875590851609E-2</v>
      </c>
      <c r="I108" s="143">
        <f ca="1">DSUM($B$80:$Y$84,I$80,$C$91:$D108)</f>
        <v>2.7276647719997771E-2</v>
      </c>
      <c r="J108" s="143">
        <f ca="1">DSUM($B$80:$Y$84,J$80,$C$91:$D108)</f>
        <v>3.2062554119099008E-2</v>
      </c>
      <c r="K108" s="143">
        <f ca="1">DSUM($B$80:$Y$84,K$80,$C$91:$D108)</f>
        <v>3.5837188422305516E-2</v>
      </c>
      <c r="L108" s="143">
        <f ca="1">DSUM($B$80:$Y$84,L$80,$C$91:$D108)</f>
        <v>3.8806245820737557E-2</v>
      </c>
      <c r="M108" s="143">
        <f ca="1">DSUM($B$80:$Y$84,M$80,$C$91:$D108)</f>
        <v>4.1133625267988951E-2</v>
      </c>
      <c r="N108" s="143">
        <f ca="1">DSUM($B$80:$Y$84,N$80,$C$91:$D108)</f>
        <v>4.2949923316488836E-2</v>
      </c>
      <c r="O108" s="143">
        <f ca="1">DSUM($B$80:$Y$84,O$80,$C$91:$D108)</f>
        <v>4.4359201527640515E-2</v>
      </c>
      <c r="P108" s="143">
        <f ca="1">DSUM($B$80:$Y$84,P$80,$C$91:$D108)</f>
        <v>4.5444378427517126E-2</v>
      </c>
      <c r="Q108" s="143">
        <f ca="1">DSUM($B$80:$Y$84,Q$80,$C$91:$D108)</f>
        <v>4.6271525616098493E-2</v>
      </c>
      <c r="R108" s="143">
        <f ca="1">DSUM($B$80:$Y$84,R$80,$C$91:$D108)</f>
        <v>4.6893290787554866E-2</v>
      </c>
      <c r="S108" s="143">
        <f ca="1">DSUM($B$80:$Y$84,S$80,$C$91:$D108)</f>
        <v>4.7351625129764402E-2</v>
      </c>
      <c r="T108" s="143">
        <f ca="1">DSUM($B$80:$Y$84,T$80,$C$91:$D108)</f>
        <v>5.9130604910379803E-2</v>
      </c>
      <c r="U108" s="143">
        <f ca="1">DSUM($B$80:$Y$84,U$80,$C$91:$D108)</f>
        <v>5.7549967767878511E-2</v>
      </c>
      <c r="V108" s="143">
        <f ca="1">DSUM($B$80:$Y$84,V$80,$C$91:$D108)</f>
        <v>5.6019705141079484E-2</v>
      </c>
      <c r="W108" s="143">
        <f ca="1">DSUM($B$80:$Y$84,W$80,$C$91:$D108)</f>
        <v>5.4485438054259025E-2</v>
      </c>
      <c r="X108" s="143">
        <f ca="1">DSUM($B$80:$Y$84,X$80,$C$91:$D108)</f>
        <v>5.2939049764859962E-2</v>
      </c>
      <c r="Y108" s="137">
        <f ca="1">DSUM($B$80:$Y$84,Y$80,$C$91:$D108)</f>
        <v>0.76936177080110313</v>
      </c>
      <c r="Z108" s="34"/>
      <c r="AA108" s="34"/>
      <c r="AB108" s="34"/>
      <c r="AC108" s="34"/>
    </row>
    <row r="109" spans="1:29" customFormat="1">
      <c r="A109" s="34"/>
      <c r="B109" s="34" t="s">
        <v>1043</v>
      </c>
      <c r="C109" s="548" t="s">
        <v>1044</v>
      </c>
      <c r="D109" s="548" t="s">
        <v>1045</v>
      </c>
      <c r="E109" s="143">
        <f ca="1">DSUM($B$80:$Y$84,E$80,$C$91:$D109)</f>
        <v>5.54074640658642E-3</v>
      </c>
      <c r="F109" s="143">
        <f ca="1">DSUM($B$80:$Y$84,F$80,$C$91:$D109)</f>
        <v>1.1038351960153273E-2</v>
      </c>
      <c r="G109" s="143">
        <f ca="1">DSUM($B$80:$Y$84,G$80,$C$91:$D109)</f>
        <v>1.6493251787311234E-2</v>
      </c>
      <c r="H109" s="143">
        <f ca="1">DSUM($B$80:$Y$84,H$80,$C$91:$D109)</f>
        <v>2.1905875590851609E-2</v>
      </c>
      <c r="I109" s="143">
        <f ca="1">DSUM($B$80:$Y$84,I$80,$C$91:$D109)</f>
        <v>2.7276647719997771E-2</v>
      </c>
      <c r="J109" s="143">
        <f ca="1">DSUM($B$80:$Y$84,J$80,$C$91:$D109)</f>
        <v>3.2062554119099008E-2</v>
      </c>
      <c r="K109" s="143">
        <f ca="1">DSUM($B$80:$Y$84,K$80,$C$91:$D109)</f>
        <v>3.5837188422305516E-2</v>
      </c>
      <c r="L109" s="143">
        <f ca="1">DSUM($B$80:$Y$84,L$80,$C$91:$D109)</f>
        <v>3.8806245820737557E-2</v>
      </c>
      <c r="M109" s="143">
        <f ca="1">DSUM($B$80:$Y$84,M$80,$C$91:$D109)</f>
        <v>4.1133625267988951E-2</v>
      </c>
      <c r="N109" s="143">
        <f ca="1">DSUM($B$80:$Y$84,N$80,$C$91:$D109)</f>
        <v>4.2949923316488836E-2</v>
      </c>
      <c r="O109" s="143">
        <f ca="1">DSUM($B$80:$Y$84,O$80,$C$91:$D109)</f>
        <v>4.4359201527640515E-2</v>
      </c>
      <c r="P109" s="143">
        <f ca="1">DSUM($B$80:$Y$84,P$80,$C$91:$D109)</f>
        <v>4.5444378427517126E-2</v>
      </c>
      <c r="Q109" s="143">
        <f ca="1">DSUM($B$80:$Y$84,Q$80,$C$91:$D109)</f>
        <v>4.6271525616098493E-2</v>
      </c>
      <c r="R109" s="143">
        <f ca="1">DSUM($B$80:$Y$84,R$80,$C$91:$D109)</f>
        <v>4.6893290787554866E-2</v>
      </c>
      <c r="S109" s="143">
        <f ca="1">DSUM($B$80:$Y$84,S$80,$C$91:$D109)</f>
        <v>4.7351625129764402E-2</v>
      </c>
      <c r="T109" s="143">
        <f ca="1">DSUM($B$80:$Y$84,T$80,$C$91:$D109)</f>
        <v>5.9130604910379803E-2</v>
      </c>
      <c r="U109" s="143">
        <f ca="1">DSUM($B$80:$Y$84,U$80,$C$91:$D109)</f>
        <v>5.7549967767878511E-2</v>
      </c>
      <c r="V109" s="143">
        <f ca="1">DSUM($B$80:$Y$84,V$80,$C$91:$D109)</f>
        <v>5.6019705141079484E-2</v>
      </c>
      <c r="W109" s="143">
        <f ca="1">DSUM($B$80:$Y$84,W$80,$C$91:$D109)</f>
        <v>5.4485438054259025E-2</v>
      </c>
      <c r="X109" s="143">
        <f ca="1">DSUM($B$80:$Y$84,X$80,$C$91:$D109)</f>
        <v>5.2939049764859962E-2</v>
      </c>
      <c r="Y109" s="137">
        <f ca="1">DSUM($B$80:$Y$84,Y$80,$C$91:$D109)</f>
        <v>0.76936177080110313</v>
      </c>
      <c r="Z109" s="34"/>
      <c r="AA109" s="34"/>
      <c r="AB109" s="34"/>
      <c r="AC109" s="34"/>
    </row>
    <row r="110" spans="1:29" customFormat="1">
      <c r="A110" s="34"/>
      <c r="B110" s="34" t="s">
        <v>1046</v>
      </c>
      <c r="C110" s="548" t="s">
        <v>1047</v>
      </c>
      <c r="D110" s="548" t="s">
        <v>1048</v>
      </c>
      <c r="E110" s="143">
        <f ca="1">DSUM($B$80:$Y$84,E$80,$C$91:$D110)</f>
        <v>5.54074640658642E-3</v>
      </c>
      <c r="F110" s="143">
        <f ca="1">DSUM($B$80:$Y$84,F$80,$C$91:$D110)</f>
        <v>1.1038351960153273E-2</v>
      </c>
      <c r="G110" s="143">
        <f ca="1">DSUM($B$80:$Y$84,G$80,$C$91:$D110)</f>
        <v>1.6493251787311234E-2</v>
      </c>
      <c r="H110" s="143">
        <f ca="1">DSUM($B$80:$Y$84,H$80,$C$91:$D110)</f>
        <v>2.1905875590851609E-2</v>
      </c>
      <c r="I110" s="143">
        <f ca="1">DSUM($B$80:$Y$84,I$80,$C$91:$D110)</f>
        <v>2.7276647719997771E-2</v>
      </c>
      <c r="J110" s="143">
        <f ca="1">DSUM($B$80:$Y$84,J$80,$C$91:$D110)</f>
        <v>3.2062554119099008E-2</v>
      </c>
      <c r="K110" s="143">
        <f ca="1">DSUM($B$80:$Y$84,K$80,$C$91:$D110)</f>
        <v>3.5837188422305516E-2</v>
      </c>
      <c r="L110" s="143">
        <f ca="1">DSUM($B$80:$Y$84,L$80,$C$91:$D110)</f>
        <v>3.8806245820737557E-2</v>
      </c>
      <c r="M110" s="143">
        <f ca="1">DSUM($B$80:$Y$84,M$80,$C$91:$D110)</f>
        <v>4.1133625267988951E-2</v>
      </c>
      <c r="N110" s="143">
        <f ca="1">DSUM($B$80:$Y$84,N$80,$C$91:$D110)</f>
        <v>4.2949923316488836E-2</v>
      </c>
      <c r="O110" s="143">
        <f ca="1">DSUM($B$80:$Y$84,O$80,$C$91:$D110)</f>
        <v>4.4359201527640515E-2</v>
      </c>
      <c r="P110" s="143">
        <f ca="1">DSUM($B$80:$Y$84,P$80,$C$91:$D110)</f>
        <v>4.5444378427517126E-2</v>
      </c>
      <c r="Q110" s="143">
        <f ca="1">DSUM($B$80:$Y$84,Q$80,$C$91:$D110)</f>
        <v>4.6271525616098493E-2</v>
      </c>
      <c r="R110" s="143">
        <f ca="1">DSUM($B$80:$Y$84,R$80,$C$91:$D110)</f>
        <v>4.6893290787554866E-2</v>
      </c>
      <c r="S110" s="143">
        <f ca="1">DSUM($B$80:$Y$84,S$80,$C$91:$D110)</f>
        <v>4.7351625129764402E-2</v>
      </c>
      <c r="T110" s="143">
        <f ca="1">DSUM($B$80:$Y$84,T$80,$C$91:$D110)</f>
        <v>5.9130604910379803E-2</v>
      </c>
      <c r="U110" s="143">
        <f ca="1">DSUM($B$80:$Y$84,U$80,$C$91:$D110)</f>
        <v>5.7549967767878511E-2</v>
      </c>
      <c r="V110" s="143">
        <f ca="1">DSUM($B$80:$Y$84,V$80,$C$91:$D110)</f>
        <v>5.6019705141079484E-2</v>
      </c>
      <c r="W110" s="143">
        <f ca="1">DSUM($B$80:$Y$84,W$80,$C$91:$D110)</f>
        <v>5.4485438054259025E-2</v>
      </c>
      <c r="X110" s="143">
        <f ca="1">DSUM($B$80:$Y$84,X$80,$C$91:$D110)</f>
        <v>5.2939049764859962E-2</v>
      </c>
      <c r="Y110" s="137">
        <f ca="1">DSUM($B$80:$Y$84,Y$80,$C$91:$D110)</f>
        <v>0.76936177080110313</v>
      </c>
      <c r="Z110" s="34"/>
      <c r="AA110" s="34"/>
      <c r="AB110" s="34"/>
      <c r="AC110" s="34"/>
    </row>
    <row r="111" spans="1:29" customFormat="1">
      <c r="A111" s="34"/>
      <c r="B111" s="34" t="s">
        <v>1049</v>
      </c>
      <c r="C111" s="548" t="s">
        <v>1050</v>
      </c>
      <c r="D111" s="548" t="s">
        <v>1051</v>
      </c>
      <c r="E111" s="143">
        <f ca="1">DSUM($B$80:$Y$84,E$80,$C$91:$D111)</f>
        <v>5.54074640658642E-3</v>
      </c>
      <c r="F111" s="143">
        <f ca="1">DSUM($B$80:$Y$84,F$80,$C$91:$D111)</f>
        <v>1.1038351960153273E-2</v>
      </c>
      <c r="G111" s="143">
        <f ca="1">DSUM($B$80:$Y$84,G$80,$C$91:$D111)</f>
        <v>1.6493251787311234E-2</v>
      </c>
      <c r="H111" s="143">
        <f ca="1">DSUM($B$80:$Y$84,H$80,$C$91:$D111)</f>
        <v>2.1905875590851609E-2</v>
      </c>
      <c r="I111" s="143">
        <f ca="1">DSUM($B$80:$Y$84,I$80,$C$91:$D111)</f>
        <v>2.7276647719997771E-2</v>
      </c>
      <c r="J111" s="143">
        <f ca="1">DSUM($B$80:$Y$84,J$80,$C$91:$D111)</f>
        <v>3.2062554119099008E-2</v>
      </c>
      <c r="K111" s="143">
        <f ca="1">DSUM($B$80:$Y$84,K$80,$C$91:$D111)</f>
        <v>3.5837188422305516E-2</v>
      </c>
      <c r="L111" s="143">
        <f ca="1">DSUM($B$80:$Y$84,L$80,$C$91:$D111)</f>
        <v>3.8806245820737557E-2</v>
      </c>
      <c r="M111" s="143">
        <f ca="1">DSUM($B$80:$Y$84,M$80,$C$91:$D111)</f>
        <v>4.1133625267988951E-2</v>
      </c>
      <c r="N111" s="143">
        <f ca="1">DSUM($B$80:$Y$84,N$80,$C$91:$D111)</f>
        <v>4.2949923316488836E-2</v>
      </c>
      <c r="O111" s="143">
        <f ca="1">DSUM($B$80:$Y$84,O$80,$C$91:$D111)</f>
        <v>4.4359201527640515E-2</v>
      </c>
      <c r="P111" s="143">
        <f ca="1">DSUM($B$80:$Y$84,P$80,$C$91:$D111)</f>
        <v>4.5444378427517126E-2</v>
      </c>
      <c r="Q111" s="143">
        <f ca="1">DSUM($B$80:$Y$84,Q$80,$C$91:$D111)</f>
        <v>4.6271525616098493E-2</v>
      </c>
      <c r="R111" s="143">
        <f ca="1">DSUM($B$80:$Y$84,R$80,$C$91:$D111)</f>
        <v>4.6893290787554866E-2</v>
      </c>
      <c r="S111" s="143">
        <f ca="1">DSUM($B$80:$Y$84,S$80,$C$91:$D111)</f>
        <v>4.7351625129764402E-2</v>
      </c>
      <c r="T111" s="143">
        <f ca="1">DSUM($B$80:$Y$84,T$80,$C$91:$D111)</f>
        <v>5.9130604910379803E-2</v>
      </c>
      <c r="U111" s="143">
        <f ca="1">DSUM($B$80:$Y$84,U$80,$C$91:$D111)</f>
        <v>5.7549967767878511E-2</v>
      </c>
      <c r="V111" s="143">
        <f ca="1">DSUM($B$80:$Y$84,V$80,$C$91:$D111)</f>
        <v>5.6019705141079484E-2</v>
      </c>
      <c r="W111" s="143">
        <f ca="1">DSUM($B$80:$Y$84,W$80,$C$91:$D111)</f>
        <v>5.4485438054259025E-2</v>
      </c>
      <c r="X111" s="143">
        <f ca="1">DSUM($B$80:$Y$84,X$80,$C$91:$D111)</f>
        <v>5.2939049764859962E-2</v>
      </c>
      <c r="Y111" s="137">
        <f ca="1">DSUM($B$80:$Y$84,Y$80,$C$91:$D111)</f>
        <v>0.76936177080110313</v>
      </c>
      <c r="Z111" s="34"/>
      <c r="AA111" s="34"/>
      <c r="AB111" s="34"/>
      <c r="AC111" s="34"/>
    </row>
    <row r="112" spans="1:29" customFormat="1">
      <c r="A112" s="34"/>
      <c r="B112" s="34" t="s">
        <v>1052</v>
      </c>
      <c r="C112" s="548" t="s">
        <v>1053</v>
      </c>
      <c r="D112" s="548" t="s">
        <v>1054</v>
      </c>
      <c r="E112" s="143">
        <f ca="1">DSUM($B$80:$Y$84,E$80,$C$91:$D112)</f>
        <v>5.54074640658642E-3</v>
      </c>
      <c r="F112" s="143">
        <f ca="1">DSUM($B$80:$Y$84,F$80,$C$91:$D112)</f>
        <v>1.1038351960153273E-2</v>
      </c>
      <c r="G112" s="143">
        <f ca="1">DSUM($B$80:$Y$84,G$80,$C$91:$D112)</f>
        <v>1.6493251787311234E-2</v>
      </c>
      <c r="H112" s="143">
        <f ca="1">DSUM($B$80:$Y$84,H$80,$C$91:$D112)</f>
        <v>2.1905875590851609E-2</v>
      </c>
      <c r="I112" s="143">
        <f ca="1">DSUM($B$80:$Y$84,I$80,$C$91:$D112)</f>
        <v>2.7276647719997771E-2</v>
      </c>
      <c r="J112" s="143">
        <f ca="1">DSUM($B$80:$Y$84,J$80,$C$91:$D112)</f>
        <v>3.2062554119099008E-2</v>
      </c>
      <c r="K112" s="143">
        <f ca="1">DSUM($B$80:$Y$84,K$80,$C$91:$D112)</f>
        <v>3.5837188422305516E-2</v>
      </c>
      <c r="L112" s="143">
        <f ca="1">DSUM($B$80:$Y$84,L$80,$C$91:$D112)</f>
        <v>3.8806245820737557E-2</v>
      </c>
      <c r="M112" s="143">
        <f ca="1">DSUM($B$80:$Y$84,M$80,$C$91:$D112)</f>
        <v>4.1133625267988951E-2</v>
      </c>
      <c r="N112" s="143">
        <f ca="1">DSUM($B$80:$Y$84,N$80,$C$91:$D112)</f>
        <v>4.2949923316488836E-2</v>
      </c>
      <c r="O112" s="143">
        <f ca="1">DSUM($B$80:$Y$84,O$80,$C$91:$D112)</f>
        <v>4.4359201527640515E-2</v>
      </c>
      <c r="P112" s="143">
        <f ca="1">DSUM($B$80:$Y$84,P$80,$C$91:$D112)</f>
        <v>4.5444378427517126E-2</v>
      </c>
      <c r="Q112" s="143">
        <f ca="1">DSUM($B$80:$Y$84,Q$80,$C$91:$D112)</f>
        <v>4.6271525616098493E-2</v>
      </c>
      <c r="R112" s="143">
        <f ca="1">DSUM($B$80:$Y$84,R$80,$C$91:$D112)</f>
        <v>4.6893290787554866E-2</v>
      </c>
      <c r="S112" s="143">
        <f ca="1">DSUM($B$80:$Y$84,S$80,$C$91:$D112)</f>
        <v>4.7351625129764402E-2</v>
      </c>
      <c r="T112" s="143">
        <f ca="1">DSUM($B$80:$Y$84,T$80,$C$91:$D112)</f>
        <v>5.9130604910379803E-2</v>
      </c>
      <c r="U112" s="143">
        <f ca="1">DSUM($B$80:$Y$84,U$80,$C$91:$D112)</f>
        <v>5.7549967767878511E-2</v>
      </c>
      <c r="V112" s="143">
        <f ca="1">DSUM($B$80:$Y$84,V$80,$C$91:$D112)</f>
        <v>5.6019705141079484E-2</v>
      </c>
      <c r="W112" s="143">
        <f ca="1">DSUM($B$80:$Y$84,W$80,$C$91:$D112)</f>
        <v>5.4485438054259025E-2</v>
      </c>
      <c r="X112" s="143">
        <f ca="1">DSUM($B$80:$Y$84,X$80,$C$91:$D112)</f>
        <v>5.2939049764859962E-2</v>
      </c>
      <c r="Y112" s="137">
        <f ca="1">DSUM($B$80:$Y$84,Y$80,$C$91:$D112)</f>
        <v>0.76936177080110313</v>
      </c>
      <c r="Z112" s="34"/>
      <c r="AA112" s="34"/>
      <c r="AB112" s="34"/>
      <c r="AC112" s="34"/>
    </row>
    <row r="113" spans="1:29" customFormat="1">
      <c r="A113" s="34"/>
      <c r="B113" s="34" t="s">
        <v>1302</v>
      </c>
      <c r="C113" s="548" t="s">
        <v>1056</v>
      </c>
      <c r="D113" s="548" t="s">
        <v>1303</v>
      </c>
      <c r="E113" s="143">
        <f ca="1">DSUM($B$80:$Y$84,E$80,$C$91:$D113)</f>
        <v>5.54074640658642E-3</v>
      </c>
      <c r="F113" s="143">
        <f ca="1">DSUM($B$80:$Y$84,F$80,$C$91:$D113)</f>
        <v>1.1038351960153273E-2</v>
      </c>
      <c r="G113" s="143">
        <f ca="1">DSUM($B$80:$Y$84,G$80,$C$91:$D113)</f>
        <v>1.6493251787311234E-2</v>
      </c>
      <c r="H113" s="143">
        <f ca="1">DSUM($B$80:$Y$84,H$80,$C$91:$D113)</f>
        <v>2.1905875590851609E-2</v>
      </c>
      <c r="I113" s="143">
        <f ca="1">DSUM($B$80:$Y$84,I$80,$C$91:$D113)</f>
        <v>2.7276647719997771E-2</v>
      </c>
      <c r="J113" s="143">
        <f ca="1">DSUM($B$80:$Y$84,J$80,$C$91:$D113)</f>
        <v>3.2062554119099008E-2</v>
      </c>
      <c r="K113" s="143">
        <f ca="1">DSUM($B$80:$Y$84,K$80,$C$91:$D113)</f>
        <v>3.5837188422305516E-2</v>
      </c>
      <c r="L113" s="143">
        <f ca="1">DSUM($B$80:$Y$84,L$80,$C$91:$D113)</f>
        <v>3.8806245820737557E-2</v>
      </c>
      <c r="M113" s="143">
        <f ca="1">DSUM($B$80:$Y$84,M$80,$C$91:$D113)</f>
        <v>4.1133625267988951E-2</v>
      </c>
      <c r="N113" s="143">
        <f ca="1">DSUM($B$80:$Y$84,N$80,$C$91:$D113)</f>
        <v>4.2949923316488836E-2</v>
      </c>
      <c r="O113" s="143">
        <f ca="1">DSUM($B$80:$Y$84,O$80,$C$91:$D113)</f>
        <v>4.4359201527640515E-2</v>
      </c>
      <c r="P113" s="143">
        <f ca="1">DSUM($B$80:$Y$84,P$80,$C$91:$D113)</f>
        <v>4.5444378427517126E-2</v>
      </c>
      <c r="Q113" s="143">
        <f ca="1">DSUM($B$80:$Y$84,Q$80,$C$91:$D113)</f>
        <v>4.6271525616098493E-2</v>
      </c>
      <c r="R113" s="143">
        <f ca="1">DSUM($B$80:$Y$84,R$80,$C$91:$D113)</f>
        <v>4.6893290787554866E-2</v>
      </c>
      <c r="S113" s="143">
        <f ca="1">DSUM($B$80:$Y$84,S$80,$C$91:$D113)</f>
        <v>4.7351625129764402E-2</v>
      </c>
      <c r="T113" s="143">
        <f ca="1">DSUM($B$80:$Y$84,T$80,$C$91:$D113)</f>
        <v>5.9130604910379803E-2</v>
      </c>
      <c r="U113" s="143">
        <f ca="1">DSUM($B$80:$Y$84,U$80,$C$91:$D113)</f>
        <v>5.7549967767878511E-2</v>
      </c>
      <c r="V113" s="143">
        <f ca="1">DSUM($B$80:$Y$84,V$80,$C$91:$D113)</f>
        <v>5.6019705141079484E-2</v>
      </c>
      <c r="W113" s="143">
        <f ca="1">DSUM($B$80:$Y$84,W$80,$C$91:$D113)</f>
        <v>5.4485438054259025E-2</v>
      </c>
      <c r="X113" s="143">
        <f ca="1">DSUM($B$80:$Y$84,X$80,$C$91:$D113)</f>
        <v>5.2939049764859962E-2</v>
      </c>
      <c r="Y113" s="137">
        <f ca="1">DSUM($B$80:$Y$84,Y$80,$C$91:$D113)</f>
        <v>0.76936177080110313</v>
      </c>
      <c r="Z113" s="34"/>
      <c r="AA113" s="34"/>
      <c r="AB113" s="34"/>
      <c r="AC113" s="34"/>
    </row>
    <row r="114" spans="1:29" customFormat="1">
      <c r="A114" s="34"/>
      <c r="B114" s="34" t="s">
        <v>1304</v>
      </c>
      <c r="C114" s="548" t="s">
        <v>1305</v>
      </c>
      <c r="D114" s="548" t="s">
        <v>1306</v>
      </c>
      <c r="E114" s="143">
        <f ca="1">DSUM($B$80:$Y$84,E$80,$C$91:$D114)</f>
        <v>5.54074640658642E-3</v>
      </c>
      <c r="F114" s="143">
        <f ca="1">DSUM($B$80:$Y$84,F$80,$C$91:$D114)</f>
        <v>1.1038351960153273E-2</v>
      </c>
      <c r="G114" s="143">
        <f ca="1">DSUM($B$80:$Y$84,G$80,$C$91:$D114)</f>
        <v>1.6493251787311234E-2</v>
      </c>
      <c r="H114" s="143">
        <f ca="1">DSUM($B$80:$Y$84,H$80,$C$91:$D114)</f>
        <v>2.1905875590851609E-2</v>
      </c>
      <c r="I114" s="143">
        <f ca="1">DSUM($B$80:$Y$84,I$80,$C$91:$D114)</f>
        <v>2.7276647719997771E-2</v>
      </c>
      <c r="J114" s="143">
        <f ca="1">DSUM($B$80:$Y$84,J$80,$C$91:$D114)</f>
        <v>3.2062554119099008E-2</v>
      </c>
      <c r="K114" s="143">
        <f ca="1">DSUM($B$80:$Y$84,K$80,$C$91:$D114)</f>
        <v>3.5837188422305516E-2</v>
      </c>
      <c r="L114" s="143">
        <f ca="1">DSUM($B$80:$Y$84,L$80,$C$91:$D114)</f>
        <v>3.8806245820737557E-2</v>
      </c>
      <c r="M114" s="143">
        <f ca="1">DSUM($B$80:$Y$84,M$80,$C$91:$D114)</f>
        <v>4.1133625267988951E-2</v>
      </c>
      <c r="N114" s="143">
        <f ca="1">DSUM($B$80:$Y$84,N$80,$C$91:$D114)</f>
        <v>4.2949923316488836E-2</v>
      </c>
      <c r="O114" s="143">
        <f ca="1">DSUM($B$80:$Y$84,O$80,$C$91:$D114)</f>
        <v>4.4359201527640515E-2</v>
      </c>
      <c r="P114" s="143">
        <f ca="1">DSUM($B$80:$Y$84,P$80,$C$91:$D114)</f>
        <v>4.5444378427517126E-2</v>
      </c>
      <c r="Q114" s="143">
        <f ca="1">DSUM($B$80:$Y$84,Q$80,$C$91:$D114)</f>
        <v>4.6271525616098493E-2</v>
      </c>
      <c r="R114" s="143">
        <f ca="1">DSUM($B$80:$Y$84,R$80,$C$91:$D114)</f>
        <v>4.6893290787554866E-2</v>
      </c>
      <c r="S114" s="143">
        <f ca="1">DSUM($B$80:$Y$84,S$80,$C$91:$D114)</f>
        <v>4.7351625129764402E-2</v>
      </c>
      <c r="T114" s="143">
        <f ca="1">DSUM($B$80:$Y$84,T$80,$C$91:$D114)</f>
        <v>5.9130604910379803E-2</v>
      </c>
      <c r="U114" s="143">
        <f ca="1">DSUM($B$80:$Y$84,U$80,$C$91:$D114)</f>
        <v>5.7549967767878511E-2</v>
      </c>
      <c r="V114" s="143">
        <f ca="1">DSUM($B$80:$Y$84,V$80,$C$91:$D114)</f>
        <v>5.6019705141079484E-2</v>
      </c>
      <c r="W114" s="143">
        <f ca="1">DSUM($B$80:$Y$84,W$80,$C$91:$D114)</f>
        <v>5.4485438054259025E-2</v>
      </c>
      <c r="X114" s="143">
        <f ca="1">DSUM($B$80:$Y$84,X$80,$C$91:$D114)</f>
        <v>5.2939049764859962E-2</v>
      </c>
      <c r="Y114" s="137">
        <f ca="1">DSUM($B$80:$Y$84,Y$80,$C$91:$D114)</f>
        <v>0.76936177080110313</v>
      </c>
      <c r="Z114" s="34"/>
      <c r="AA114" s="34"/>
      <c r="AB114" s="34"/>
      <c r="AC114" s="34"/>
    </row>
    <row r="115" spans="1:29" customFormat="1">
      <c r="A115" s="34"/>
      <c r="B115" s="34" t="s">
        <v>1307</v>
      </c>
      <c r="C115" s="548" t="s">
        <v>1308</v>
      </c>
      <c r="D115" s="548" t="s">
        <v>1309</v>
      </c>
      <c r="E115" s="143">
        <f ca="1">DSUM($B$80:$Y$84,E$80,$C$91:$D115)</f>
        <v>5.54074640658642E-3</v>
      </c>
      <c r="F115" s="143">
        <f ca="1">DSUM($B$80:$Y$84,F$80,$C$91:$D115)</f>
        <v>1.1038351960153273E-2</v>
      </c>
      <c r="G115" s="143">
        <f ca="1">DSUM($B$80:$Y$84,G$80,$C$91:$D115)</f>
        <v>1.6493251787311234E-2</v>
      </c>
      <c r="H115" s="143">
        <f ca="1">DSUM($B$80:$Y$84,H$80,$C$91:$D115)</f>
        <v>2.1905875590851609E-2</v>
      </c>
      <c r="I115" s="143">
        <f ca="1">DSUM($B$80:$Y$84,I$80,$C$91:$D115)</f>
        <v>2.7276647719997771E-2</v>
      </c>
      <c r="J115" s="143">
        <f ca="1">DSUM($B$80:$Y$84,J$80,$C$91:$D115)</f>
        <v>3.2062554119099008E-2</v>
      </c>
      <c r="K115" s="143">
        <f ca="1">DSUM($B$80:$Y$84,K$80,$C$91:$D115)</f>
        <v>3.5837188422305516E-2</v>
      </c>
      <c r="L115" s="143">
        <f ca="1">DSUM($B$80:$Y$84,L$80,$C$91:$D115)</f>
        <v>3.8806245820737557E-2</v>
      </c>
      <c r="M115" s="143">
        <f ca="1">DSUM($B$80:$Y$84,M$80,$C$91:$D115)</f>
        <v>4.1133625267988951E-2</v>
      </c>
      <c r="N115" s="143">
        <f ca="1">DSUM($B$80:$Y$84,N$80,$C$91:$D115)</f>
        <v>4.2949923316488836E-2</v>
      </c>
      <c r="O115" s="143">
        <f ca="1">DSUM($B$80:$Y$84,O$80,$C$91:$D115)</f>
        <v>4.4359201527640515E-2</v>
      </c>
      <c r="P115" s="143">
        <f ca="1">DSUM($B$80:$Y$84,P$80,$C$91:$D115)</f>
        <v>4.5444378427517126E-2</v>
      </c>
      <c r="Q115" s="143">
        <f ca="1">DSUM($B$80:$Y$84,Q$80,$C$91:$D115)</f>
        <v>4.6271525616098493E-2</v>
      </c>
      <c r="R115" s="143">
        <f ca="1">DSUM($B$80:$Y$84,R$80,$C$91:$D115)</f>
        <v>4.6893290787554866E-2</v>
      </c>
      <c r="S115" s="143">
        <f ca="1">DSUM($B$80:$Y$84,S$80,$C$91:$D115)</f>
        <v>4.7351625129764402E-2</v>
      </c>
      <c r="T115" s="143">
        <f ca="1">DSUM($B$80:$Y$84,T$80,$C$91:$D115)</f>
        <v>5.9130604910379803E-2</v>
      </c>
      <c r="U115" s="143">
        <f ca="1">DSUM($B$80:$Y$84,U$80,$C$91:$D115)</f>
        <v>5.7549967767878511E-2</v>
      </c>
      <c r="V115" s="143">
        <f ca="1">DSUM($B$80:$Y$84,V$80,$C$91:$D115)</f>
        <v>5.6019705141079484E-2</v>
      </c>
      <c r="W115" s="143">
        <f ca="1">DSUM($B$80:$Y$84,W$80,$C$91:$D115)</f>
        <v>5.4485438054259025E-2</v>
      </c>
      <c r="X115" s="143">
        <f ca="1">DSUM($B$80:$Y$84,X$80,$C$91:$D115)</f>
        <v>5.2939049764859962E-2</v>
      </c>
      <c r="Y115" s="137">
        <f ca="1">DSUM($B$80:$Y$84,Y$80,$C$91:$D115)</f>
        <v>0.76936177080110313</v>
      </c>
      <c r="Z115" s="34"/>
      <c r="AA115" s="34"/>
      <c r="AB115" s="34"/>
      <c r="AC115" s="34"/>
    </row>
    <row r="116" spans="1:29" customFormat="1">
      <c r="A116" s="34"/>
      <c r="B116" s="34" t="s">
        <v>1310</v>
      </c>
      <c r="C116" s="548" t="s">
        <v>1311</v>
      </c>
      <c r="D116" s="548" t="s">
        <v>1312</v>
      </c>
      <c r="E116" s="143">
        <f ca="1">DSUM($B$80:$Y$84,E$80,$C$91:$D116)</f>
        <v>5.54074640658642E-3</v>
      </c>
      <c r="F116" s="143">
        <f ca="1">DSUM($B$80:$Y$84,F$80,$C$91:$D116)</f>
        <v>1.1038351960153273E-2</v>
      </c>
      <c r="G116" s="143">
        <f ca="1">DSUM($B$80:$Y$84,G$80,$C$91:$D116)</f>
        <v>1.6493251787311234E-2</v>
      </c>
      <c r="H116" s="143">
        <f ca="1">DSUM($B$80:$Y$84,H$80,$C$91:$D116)</f>
        <v>2.1905875590851609E-2</v>
      </c>
      <c r="I116" s="143">
        <f ca="1">DSUM($B$80:$Y$84,I$80,$C$91:$D116)</f>
        <v>2.7276647719997771E-2</v>
      </c>
      <c r="J116" s="143">
        <f ca="1">DSUM($B$80:$Y$84,J$80,$C$91:$D116)</f>
        <v>3.2062554119099008E-2</v>
      </c>
      <c r="K116" s="143">
        <f ca="1">DSUM($B$80:$Y$84,K$80,$C$91:$D116)</f>
        <v>3.5837188422305516E-2</v>
      </c>
      <c r="L116" s="143">
        <f ca="1">DSUM($B$80:$Y$84,L$80,$C$91:$D116)</f>
        <v>3.8806245820737557E-2</v>
      </c>
      <c r="M116" s="143">
        <f ca="1">DSUM($B$80:$Y$84,M$80,$C$91:$D116)</f>
        <v>4.1133625267988951E-2</v>
      </c>
      <c r="N116" s="143">
        <f ca="1">DSUM($B$80:$Y$84,N$80,$C$91:$D116)</f>
        <v>4.2949923316488836E-2</v>
      </c>
      <c r="O116" s="143">
        <f ca="1">DSUM($B$80:$Y$84,O$80,$C$91:$D116)</f>
        <v>4.4359201527640515E-2</v>
      </c>
      <c r="P116" s="143">
        <f ca="1">DSUM($B$80:$Y$84,P$80,$C$91:$D116)</f>
        <v>4.5444378427517126E-2</v>
      </c>
      <c r="Q116" s="143">
        <f ca="1">DSUM($B$80:$Y$84,Q$80,$C$91:$D116)</f>
        <v>4.6271525616098493E-2</v>
      </c>
      <c r="R116" s="143">
        <f ca="1">DSUM($B$80:$Y$84,R$80,$C$91:$D116)</f>
        <v>4.6893290787554866E-2</v>
      </c>
      <c r="S116" s="143">
        <f ca="1">DSUM($B$80:$Y$84,S$80,$C$91:$D116)</f>
        <v>4.7351625129764402E-2</v>
      </c>
      <c r="T116" s="143">
        <f ca="1">DSUM($B$80:$Y$84,T$80,$C$91:$D116)</f>
        <v>5.9130604910379803E-2</v>
      </c>
      <c r="U116" s="143">
        <f ca="1">DSUM($B$80:$Y$84,U$80,$C$91:$D116)</f>
        <v>5.7549967767878511E-2</v>
      </c>
      <c r="V116" s="143">
        <f ca="1">DSUM($B$80:$Y$84,V$80,$C$91:$D116)</f>
        <v>5.6019705141079484E-2</v>
      </c>
      <c r="W116" s="143">
        <f ca="1">DSUM($B$80:$Y$84,W$80,$C$91:$D116)</f>
        <v>5.4485438054259025E-2</v>
      </c>
      <c r="X116" s="143">
        <f ca="1">DSUM($B$80:$Y$84,X$80,$C$91:$D116)</f>
        <v>5.2939049764859962E-2</v>
      </c>
      <c r="Y116" s="137">
        <f ca="1">DSUM($B$80:$Y$84,Y$80,$C$91:$D116)</f>
        <v>0.76936177080110313</v>
      </c>
      <c r="Z116" s="34"/>
      <c r="AA116" s="34"/>
      <c r="AB116" s="34"/>
      <c r="AC116" s="34"/>
    </row>
    <row r="117" spans="1:29" customFormat="1">
      <c r="A117" s="34"/>
      <c r="B117" s="34" t="s">
        <v>1313</v>
      </c>
      <c r="C117" s="548" t="s">
        <v>1314</v>
      </c>
      <c r="D117" s="548" t="s">
        <v>1315</v>
      </c>
      <c r="E117" s="143">
        <f ca="1">DSUM($B$80:$Y$84,E$80,$C$91:$D117)</f>
        <v>5.54074640658642E-3</v>
      </c>
      <c r="F117" s="143">
        <f ca="1">DSUM($B$80:$Y$84,F$80,$C$91:$D117)</f>
        <v>1.1038351960153273E-2</v>
      </c>
      <c r="G117" s="143">
        <f ca="1">DSUM($B$80:$Y$84,G$80,$C$91:$D117)</f>
        <v>1.6493251787311234E-2</v>
      </c>
      <c r="H117" s="143">
        <f ca="1">DSUM($B$80:$Y$84,H$80,$C$91:$D117)</f>
        <v>2.1905875590851609E-2</v>
      </c>
      <c r="I117" s="143">
        <f ca="1">DSUM($B$80:$Y$84,I$80,$C$91:$D117)</f>
        <v>2.7276647719997771E-2</v>
      </c>
      <c r="J117" s="143">
        <f ca="1">DSUM($B$80:$Y$84,J$80,$C$91:$D117)</f>
        <v>3.2062554119099008E-2</v>
      </c>
      <c r="K117" s="143">
        <f ca="1">DSUM($B$80:$Y$84,K$80,$C$91:$D117)</f>
        <v>3.5837188422305516E-2</v>
      </c>
      <c r="L117" s="143">
        <f ca="1">DSUM($B$80:$Y$84,L$80,$C$91:$D117)</f>
        <v>3.8806245820737557E-2</v>
      </c>
      <c r="M117" s="143">
        <f ca="1">DSUM($B$80:$Y$84,M$80,$C$91:$D117)</f>
        <v>4.1133625267988951E-2</v>
      </c>
      <c r="N117" s="143">
        <f ca="1">DSUM($B$80:$Y$84,N$80,$C$91:$D117)</f>
        <v>4.2949923316488836E-2</v>
      </c>
      <c r="O117" s="143">
        <f ca="1">DSUM($B$80:$Y$84,O$80,$C$91:$D117)</f>
        <v>4.4359201527640515E-2</v>
      </c>
      <c r="P117" s="143">
        <f ca="1">DSUM($B$80:$Y$84,P$80,$C$91:$D117)</f>
        <v>4.5444378427517126E-2</v>
      </c>
      <c r="Q117" s="143">
        <f ca="1">DSUM($B$80:$Y$84,Q$80,$C$91:$D117)</f>
        <v>4.6271525616098493E-2</v>
      </c>
      <c r="R117" s="143">
        <f ca="1">DSUM($B$80:$Y$84,R$80,$C$91:$D117)</f>
        <v>4.6893290787554866E-2</v>
      </c>
      <c r="S117" s="143">
        <f ca="1">DSUM($B$80:$Y$84,S$80,$C$91:$D117)</f>
        <v>4.7351625129764402E-2</v>
      </c>
      <c r="T117" s="143">
        <f ca="1">DSUM($B$80:$Y$84,T$80,$C$91:$D117)</f>
        <v>5.9130604910379803E-2</v>
      </c>
      <c r="U117" s="143">
        <f ca="1">DSUM($B$80:$Y$84,U$80,$C$91:$D117)</f>
        <v>5.7549967767878511E-2</v>
      </c>
      <c r="V117" s="143">
        <f ca="1">DSUM($B$80:$Y$84,V$80,$C$91:$D117)</f>
        <v>5.6019705141079484E-2</v>
      </c>
      <c r="W117" s="143">
        <f ca="1">DSUM($B$80:$Y$84,W$80,$C$91:$D117)</f>
        <v>5.4485438054259025E-2</v>
      </c>
      <c r="X117" s="143">
        <f ca="1">DSUM($B$80:$Y$84,X$80,$C$91:$D117)</f>
        <v>5.2939049764859962E-2</v>
      </c>
      <c r="Y117" s="137">
        <f ca="1">DSUM($B$80:$Y$84,Y$80,$C$91:$D117)</f>
        <v>0.76936177080110313</v>
      </c>
      <c r="Z117" s="34"/>
      <c r="AA117" s="34"/>
      <c r="AB117" s="34"/>
      <c r="AC117" s="34"/>
    </row>
    <row r="118" spans="1:29" customFormat="1">
      <c r="A118" s="34"/>
      <c r="B118" s="34" t="s">
        <v>1316</v>
      </c>
      <c r="C118" s="548" t="s">
        <v>1317</v>
      </c>
      <c r="D118" s="548" t="s">
        <v>1318</v>
      </c>
      <c r="E118" s="143">
        <f ca="1">DSUM($B$80:$Y$84,E$80,$C$91:$D118)</f>
        <v>5.54074640658642E-3</v>
      </c>
      <c r="F118" s="143">
        <f ca="1">DSUM($B$80:$Y$84,F$80,$C$91:$D118)</f>
        <v>1.1038351960153273E-2</v>
      </c>
      <c r="G118" s="143">
        <f ca="1">DSUM($B$80:$Y$84,G$80,$C$91:$D118)</f>
        <v>1.6493251787311234E-2</v>
      </c>
      <c r="H118" s="143">
        <f ca="1">DSUM($B$80:$Y$84,H$80,$C$91:$D118)</f>
        <v>2.1905875590851609E-2</v>
      </c>
      <c r="I118" s="143">
        <f ca="1">DSUM($B$80:$Y$84,I$80,$C$91:$D118)</f>
        <v>2.7276647719997771E-2</v>
      </c>
      <c r="J118" s="143">
        <f ca="1">DSUM($B$80:$Y$84,J$80,$C$91:$D118)</f>
        <v>3.2062554119099008E-2</v>
      </c>
      <c r="K118" s="143">
        <f ca="1">DSUM($B$80:$Y$84,K$80,$C$91:$D118)</f>
        <v>3.5837188422305516E-2</v>
      </c>
      <c r="L118" s="143">
        <f ca="1">DSUM($B$80:$Y$84,L$80,$C$91:$D118)</f>
        <v>3.8806245820737557E-2</v>
      </c>
      <c r="M118" s="143">
        <f ca="1">DSUM($B$80:$Y$84,M$80,$C$91:$D118)</f>
        <v>4.1133625267988951E-2</v>
      </c>
      <c r="N118" s="143">
        <f ca="1">DSUM($B$80:$Y$84,N$80,$C$91:$D118)</f>
        <v>4.2949923316488836E-2</v>
      </c>
      <c r="O118" s="143">
        <f ca="1">DSUM($B$80:$Y$84,O$80,$C$91:$D118)</f>
        <v>4.4359201527640515E-2</v>
      </c>
      <c r="P118" s="143">
        <f ca="1">DSUM($B$80:$Y$84,P$80,$C$91:$D118)</f>
        <v>4.5444378427517126E-2</v>
      </c>
      <c r="Q118" s="143">
        <f ca="1">DSUM($B$80:$Y$84,Q$80,$C$91:$D118)</f>
        <v>4.6271525616098493E-2</v>
      </c>
      <c r="R118" s="143">
        <f ca="1">DSUM($B$80:$Y$84,R$80,$C$91:$D118)</f>
        <v>4.6893290787554866E-2</v>
      </c>
      <c r="S118" s="143">
        <f ca="1">DSUM($B$80:$Y$84,S$80,$C$91:$D118)</f>
        <v>4.7351625129764402E-2</v>
      </c>
      <c r="T118" s="143">
        <f ca="1">DSUM($B$80:$Y$84,T$80,$C$91:$D118)</f>
        <v>5.9130604910379803E-2</v>
      </c>
      <c r="U118" s="143">
        <f ca="1">DSUM($B$80:$Y$84,U$80,$C$91:$D118)</f>
        <v>5.7549967767878511E-2</v>
      </c>
      <c r="V118" s="143">
        <f ca="1">DSUM($B$80:$Y$84,V$80,$C$91:$D118)</f>
        <v>5.6019705141079484E-2</v>
      </c>
      <c r="W118" s="143">
        <f ca="1">DSUM($B$80:$Y$84,W$80,$C$91:$D118)</f>
        <v>5.4485438054259025E-2</v>
      </c>
      <c r="X118" s="143">
        <f ca="1">DSUM($B$80:$Y$84,X$80,$C$91:$D118)</f>
        <v>5.2939049764859962E-2</v>
      </c>
      <c r="Y118" s="137">
        <f ca="1">DSUM($B$80:$Y$84,Y$80,$C$91:$D118)</f>
        <v>0.76936177080110313</v>
      </c>
      <c r="Z118" s="34"/>
      <c r="AA118" s="34"/>
      <c r="AB118" s="34"/>
      <c r="AC118" s="34"/>
    </row>
    <row r="119" spans="1:29" customFormat="1">
      <c r="A119" s="34"/>
      <c r="B119" s="34" t="s">
        <v>1319</v>
      </c>
      <c r="C119" s="548" t="s">
        <v>1320</v>
      </c>
      <c r="D119" s="548" t="s">
        <v>1321</v>
      </c>
      <c r="E119" s="143">
        <f ca="1">DSUM($B$80:$Y$84,E$80,$C$91:$D119)</f>
        <v>5.54074640658642E-3</v>
      </c>
      <c r="F119" s="143">
        <f ca="1">DSUM($B$80:$Y$84,F$80,$C$91:$D119)</f>
        <v>1.1038351960153273E-2</v>
      </c>
      <c r="G119" s="143">
        <f ca="1">DSUM($B$80:$Y$84,G$80,$C$91:$D119)</f>
        <v>1.6493251787311234E-2</v>
      </c>
      <c r="H119" s="143">
        <f ca="1">DSUM($B$80:$Y$84,H$80,$C$91:$D119)</f>
        <v>2.1905875590851609E-2</v>
      </c>
      <c r="I119" s="143">
        <f ca="1">DSUM($B$80:$Y$84,I$80,$C$91:$D119)</f>
        <v>2.7276647719997771E-2</v>
      </c>
      <c r="J119" s="143">
        <f ca="1">DSUM($B$80:$Y$84,J$80,$C$91:$D119)</f>
        <v>3.2062554119099008E-2</v>
      </c>
      <c r="K119" s="143">
        <f ca="1">DSUM($B$80:$Y$84,K$80,$C$91:$D119)</f>
        <v>3.5837188422305516E-2</v>
      </c>
      <c r="L119" s="143">
        <f ca="1">DSUM($B$80:$Y$84,L$80,$C$91:$D119)</f>
        <v>3.8806245820737557E-2</v>
      </c>
      <c r="M119" s="143">
        <f ca="1">DSUM($B$80:$Y$84,M$80,$C$91:$D119)</f>
        <v>4.1133625267988951E-2</v>
      </c>
      <c r="N119" s="143">
        <f ca="1">DSUM($B$80:$Y$84,N$80,$C$91:$D119)</f>
        <v>4.2949923316488836E-2</v>
      </c>
      <c r="O119" s="143">
        <f ca="1">DSUM($B$80:$Y$84,O$80,$C$91:$D119)</f>
        <v>4.4359201527640515E-2</v>
      </c>
      <c r="P119" s="143">
        <f ca="1">DSUM($B$80:$Y$84,P$80,$C$91:$D119)</f>
        <v>4.5444378427517126E-2</v>
      </c>
      <c r="Q119" s="143">
        <f ca="1">DSUM($B$80:$Y$84,Q$80,$C$91:$D119)</f>
        <v>4.6271525616098493E-2</v>
      </c>
      <c r="R119" s="143">
        <f ca="1">DSUM($B$80:$Y$84,R$80,$C$91:$D119)</f>
        <v>4.6893290787554866E-2</v>
      </c>
      <c r="S119" s="143">
        <f ca="1">DSUM($B$80:$Y$84,S$80,$C$91:$D119)</f>
        <v>4.7351625129764402E-2</v>
      </c>
      <c r="T119" s="143">
        <f ca="1">DSUM($B$80:$Y$84,T$80,$C$91:$D119)</f>
        <v>5.9130604910379803E-2</v>
      </c>
      <c r="U119" s="143">
        <f ca="1">DSUM($B$80:$Y$84,U$80,$C$91:$D119)</f>
        <v>5.7549967767878511E-2</v>
      </c>
      <c r="V119" s="143">
        <f ca="1">DSUM($B$80:$Y$84,V$80,$C$91:$D119)</f>
        <v>5.6019705141079484E-2</v>
      </c>
      <c r="W119" s="143">
        <f ca="1">DSUM($B$80:$Y$84,W$80,$C$91:$D119)</f>
        <v>5.4485438054259025E-2</v>
      </c>
      <c r="X119" s="143">
        <f ca="1">DSUM($B$80:$Y$84,X$80,$C$91:$D119)</f>
        <v>5.2939049764859962E-2</v>
      </c>
      <c r="Y119" s="137">
        <f ca="1">DSUM($B$80:$Y$84,Y$80,$C$91:$D119)</f>
        <v>0.76936177080110313</v>
      </c>
      <c r="Z119" s="34"/>
      <c r="AA119" s="34"/>
      <c r="AB119" s="34"/>
      <c r="AC119" s="34"/>
    </row>
    <row r="120" spans="1:29" customFormat="1">
      <c r="A120" s="34"/>
      <c r="B120" s="34" t="s">
        <v>1322</v>
      </c>
      <c r="C120" s="548" t="s">
        <v>1323</v>
      </c>
      <c r="D120" s="548" t="s">
        <v>1324</v>
      </c>
      <c r="E120" s="143">
        <f ca="1">DSUM($B$80:$Y$84,E$80,$C$91:$D120)</f>
        <v>5.54074640658642E-3</v>
      </c>
      <c r="F120" s="143">
        <f ca="1">DSUM($B$80:$Y$84,F$80,$C$91:$D120)</f>
        <v>1.1038351960153273E-2</v>
      </c>
      <c r="G120" s="143">
        <f ca="1">DSUM($B$80:$Y$84,G$80,$C$91:$D120)</f>
        <v>1.6493251787311234E-2</v>
      </c>
      <c r="H120" s="143">
        <f ca="1">DSUM($B$80:$Y$84,H$80,$C$91:$D120)</f>
        <v>2.1905875590851609E-2</v>
      </c>
      <c r="I120" s="143">
        <f ca="1">DSUM($B$80:$Y$84,I$80,$C$91:$D120)</f>
        <v>2.7276647719997771E-2</v>
      </c>
      <c r="J120" s="143">
        <f ca="1">DSUM($B$80:$Y$84,J$80,$C$91:$D120)</f>
        <v>3.2062554119099008E-2</v>
      </c>
      <c r="K120" s="143">
        <f ca="1">DSUM($B$80:$Y$84,K$80,$C$91:$D120)</f>
        <v>3.5837188422305516E-2</v>
      </c>
      <c r="L120" s="143">
        <f ca="1">DSUM($B$80:$Y$84,L$80,$C$91:$D120)</f>
        <v>3.8806245820737557E-2</v>
      </c>
      <c r="M120" s="143">
        <f ca="1">DSUM($B$80:$Y$84,M$80,$C$91:$D120)</f>
        <v>4.1133625267988951E-2</v>
      </c>
      <c r="N120" s="143">
        <f ca="1">DSUM($B$80:$Y$84,N$80,$C$91:$D120)</f>
        <v>4.2949923316488836E-2</v>
      </c>
      <c r="O120" s="143">
        <f ca="1">DSUM($B$80:$Y$84,O$80,$C$91:$D120)</f>
        <v>4.4359201527640515E-2</v>
      </c>
      <c r="P120" s="143">
        <f ca="1">DSUM($B$80:$Y$84,P$80,$C$91:$D120)</f>
        <v>4.5444378427517126E-2</v>
      </c>
      <c r="Q120" s="143">
        <f ca="1">DSUM($B$80:$Y$84,Q$80,$C$91:$D120)</f>
        <v>4.6271525616098493E-2</v>
      </c>
      <c r="R120" s="143">
        <f ca="1">DSUM($B$80:$Y$84,R$80,$C$91:$D120)</f>
        <v>4.6893290787554866E-2</v>
      </c>
      <c r="S120" s="143">
        <f ca="1">DSUM($B$80:$Y$84,S$80,$C$91:$D120)</f>
        <v>4.7351625129764402E-2</v>
      </c>
      <c r="T120" s="143">
        <f ca="1">DSUM($B$80:$Y$84,T$80,$C$91:$D120)</f>
        <v>5.9130604910379803E-2</v>
      </c>
      <c r="U120" s="143">
        <f ca="1">DSUM($B$80:$Y$84,U$80,$C$91:$D120)</f>
        <v>5.7549967767878511E-2</v>
      </c>
      <c r="V120" s="143">
        <f ca="1">DSUM($B$80:$Y$84,V$80,$C$91:$D120)</f>
        <v>5.6019705141079484E-2</v>
      </c>
      <c r="W120" s="143">
        <f ca="1">DSUM($B$80:$Y$84,W$80,$C$91:$D120)</f>
        <v>5.4485438054259025E-2</v>
      </c>
      <c r="X120" s="143">
        <f ca="1">DSUM($B$80:$Y$84,X$80,$C$91:$D120)</f>
        <v>5.2939049764859962E-2</v>
      </c>
      <c r="Y120" s="137">
        <f ca="1">DSUM($B$80:$Y$84,Y$80,$C$91:$D120)</f>
        <v>0.76936177080110313</v>
      </c>
      <c r="Z120" s="34"/>
      <c r="AA120" s="34"/>
      <c r="AB120" s="34"/>
      <c r="AC120" s="34"/>
    </row>
    <row r="121" spans="1:29" customFormat="1">
      <c r="A121" s="34"/>
      <c r="B121" s="34" t="s">
        <v>1325</v>
      </c>
      <c r="C121" s="548" t="s">
        <v>1326</v>
      </c>
      <c r="D121" s="548" t="s">
        <v>1327</v>
      </c>
      <c r="E121" s="143">
        <f ca="1">DSUM($B$80:$Y$84,E$80,$C$91:$D121)</f>
        <v>5.54074640658642E-3</v>
      </c>
      <c r="F121" s="143">
        <f ca="1">DSUM($B$80:$Y$84,F$80,$C$91:$D121)</f>
        <v>1.1038351960153273E-2</v>
      </c>
      <c r="G121" s="143">
        <f ca="1">DSUM($B$80:$Y$84,G$80,$C$91:$D121)</f>
        <v>1.6493251787311234E-2</v>
      </c>
      <c r="H121" s="143">
        <f ca="1">DSUM($B$80:$Y$84,H$80,$C$91:$D121)</f>
        <v>2.1905875590851609E-2</v>
      </c>
      <c r="I121" s="143">
        <f ca="1">DSUM($B$80:$Y$84,I$80,$C$91:$D121)</f>
        <v>2.7276647719997771E-2</v>
      </c>
      <c r="J121" s="143">
        <f ca="1">DSUM($B$80:$Y$84,J$80,$C$91:$D121)</f>
        <v>3.2062554119099008E-2</v>
      </c>
      <c r="K121" s="143">
        <f ca="1">DSUM($B$80:$Y$84,K$80,$C$91:$D121)</f>
        <v>3.5837188422305516E-2</v>
      </c>
      <c r="L121" s="143">
        <f ca="1">DSUM($B$80:$Y$84,L$80,$C$91:$D121)</f>
        <v>3.8806245820737557E-2</v>
      </c>
      <c r="M121" s="143">
        <f ca="1">DSUM($B$80:$Y$84,M$80,$C$91:$D121)</f>
        <v>4.1133625267988951E-2</v>
      </c>
      <c r="N121" s="143">
        <f ca="1">DSUM($B$80:$Y$84,N$80,$C$91:$D121)</f>
        <v>4.2949923316488836E-2</v>
      </c>
      <c r="O121" s="143">
        <f ca="1">DSUM($B$80:$Y$84,O$80,$C$91:$D121)</f>
        <v>4.4359201527640515E-2</v>
      </c>
      <c r="P121" s="143">
        <f ca="1">DSUM($B$80:$Y$84,P$80,$C$91:$D121)</f>
        <v>4.5444378427517126E-2</v>
      </c>
      <c r="Q121" s="143">
        <f ca="1">DSUM($B$80:$Y$84,Q$80,$C$91:$D121)</f>
        <v>4.6271525616098493E-2</v>
      </c>
      <c r="R121" s="143">
        <f ca="1">DSUM($B$80:$Y$84,R$80,$C$91:$D121)</f>
        <v>4.6893290787554866E-2</v>
      </c>
      <c r="S121" s="143">
        <f ca="1">DSUM($B$80:$Y$84,S$80,$C$91:$D121)</f>
        <v>4.7351625129764402E-2</v>
      </c>
      <c r="T121" s="143">
        <f ca="1">DSUM($B$80:$Y$84,T$80,$C$91:$D121)</f>
        <v>5.9130604910379803E-2</v>
      </c>
      <c r="U121" s="143">
        <f ca="1">DSUM($B$80:$Y$84,U$80,$C$91:$D121)</f>
        <v>5.7549967767878511E-2</v>
      </c>
      <c r="V121" s="143">
        <f ca="1">DSUM($B$80:$Y$84,V$80,$C$91:$D121)</f>
        <v>5.6019705141079484E-2</v>
      </c>
      <c r="W121" s="143">
        <f ca="1">DSUM($B$80:$Y$84,W$80,$C$91:$D121)</f>
        <v>5.4485438054259025E-2</v>
      </c>
      <c r="X121" s="143">
        <f ca="1">DSUM($B$80:$Y$84,X$80,$C$91:$D121)</f>
        <v>5.2939049764859962E-2</v>
      </c>
      <c r="Y121" s="137">
        <f ca="1">DSUM($B$80:$Y$84,Y$80,$C$91:$D121)</f>
        <v>0.76936177080110313</v>
      </c>
      <c r="Z121" s="34"/>
      <c r="AA121" s="34"/>
      <c r="AB121" s="34"/>
      <c r="AC121" s="34"/>
    </row>
    <row r="122" spans="1:29" customFormat="1">
      <c r="A122" s="34"/>
      <c r="B122" s="34" t="s">
        <v>1328</v>
      </c>
      <c r="C122" s="548" t="s">
        <v>1329</v>
      </c>
      <c r="D122" s="548" t="s">
        <v>1330</v>
      </c>
      <c r="E122" s="143">
        <f ca="1">DSUM($B$80:$Y$84,E$80,$C$91:$D122)</f>
        <v>5.54074640658642E-3</v>
      </c>
      <c r="F122" s="143">
        <f ca="1">DSUM($B$80:$Y$84,F$80,$C$91:$D122)</f>
        <v>1.1038351960153273E-2</v>
      </c>
      <c r="G122" s="143">
        <f ca="1">DSUM($B$80:$Y$84,G$80,$C$91:$D122)</f>
        <v>1.6493251787311234E-2</v>
      </c>
      <c r="H122" s="143">
        <f ca="1">DSUM($B$80:$Y$84,H$80,$C$91:$D122)</f>
        <v>2.1905875590851609E-2</v>
      </c>
      <c r="I122" s="143">
        <f ca="1">DSUM($B$80:$Y$84,I$80,$C$91:$D122)</f>
        <v>2.7276647719997771E-2</v>
      </c>
      <c r="J122" s="143">
        <f ca="1">DSUM($B$80:$Y$84,J$80,$C$91:$D122)</f>
        <v>3.2062554119099008E-2</v>
      </c>
      <c r="K122" s="143">
        <f ca="1">DSUM($B$80:$Y$84,K$80,$C$91:$D122)</f>
        <v>3.5837188422305516E-2</v>
      </c>
      <c r="L122" s="143">
        <f ca="1">DSUM($B$80:$Y$84,L$80,$C$91:$D122)</f>
        <v>3.8806245820737557E-2</v>
      </c>
      <c r="M122" s="143">
        <f ca="1">DSUM($B$80:$Y$84,M$80,$C$91:$D122)</f>
        <v>4.1133625267988951E-2</v>
      </c>
      <c r="N122" s="143">
        <f ca="1">DSUM($B$80:$Y$84,N$80,$C$91:$D122)</f>
        <v>4.2949923316488836E-2</v>
      </c>
      <c r="O122" s="143">
        <f ca="1">DSUM($B$80:$Y$84,O$80,$C$91:$D122)</f>
        <v>4.4359201527640515E-2</v>
      </c>
      <c r="P122" s="143">
        <f ca="1">DSUM($B$80:$Y$84,P$80,$C$91:$D122)</f>
        <v>4.5444378427517126E-2</v>
      </c>
      <c r="Q122" s="143">
        <f ca="1">DSUM($B$80:$Y$84,Q$80,$C$91:$D122)</f>
        <v>4.6271525616098493E-2</v>
      </c>
      <c r="R122" s="143">
        <f ca="1">DSUM($B$80:$Y$84,R$80,$C$91:$D122)</f>
        <v>4.6893290787554866E-2</v>
      </c>
      <c r="S122" s="143">
        <f ca="1">DSUM($B$80:$Y$84,S$80,$C$91:$D122)</f>
        <v>4.7351625129764402E-2</v>
      </c>
      <c r="T122" s="143">
        <f ca="1">DSUM($B$80:$Y$84,T$80,$C$91:$D122)</f>
        <v>5.9130604910379803E-2</v>
      </c>
      <c r="U122" s="143">
        <f ca="1">DSUM($B$80:$Y$84,U$80,$C$91:$D122)</f>
        <v>5.7549967767878511E-2</v>
      </c>
      <c r="V122" s="143">
        <f ca="1">DSUM($B$80:$Y$84,V$80,$C$91:$D122)</f>
        <v>5.6019705141079484E-2</v>
      </c>
      <c r="W122" s="143">
        <f ca="1">DSUM($B$80:$Y$84,W$80,$C$91:$D122)</f>
        <v>5.4485438054259025E-2</v>
      </c>
      <c r="X122" s="143">
        <f ca="1">DSUM($B$80:$Y$84,X$80,$C$91:$D122)</f>
        <v>5.2939049764859962E-2</v>
      </c>
      <c r="Y122" s="137">
        <f ca="1">DSUM($B$80:$Y$84,Y$80,$C$91:$D122)</f>
        <v>0.76936177080110313</v>
      </c>
      <c r="Z122" s="34"/>
      <c r="AA122" s="34"/>
      <c r="AB122" s="34"/>
      <c r="AC122" s="34"/>
    </row>
    <row r="123" spans="1:29" customFormat="1">
      <c r="A123" s="34"/>
      <c r="B123" s="34" t="s">
        <v>1331</v>
      </c>
      <c r="C123" s="548" t="s">
        <v>1332</v>
      </c>
      <c r="D123" s="548" t="s">
        <v>1057</v>
      </c>
      <c r="E123" s="143">
        <f ca="1">DSUM($B$80:$Y$84,E$80,$C$91:$D123)</f>
        <v>5.54074640658642E-3</v>
      </c>
      <c r="F123" s="143">
        <f ca="1">DSUM($B$80:$Y$84,F$80,$C$91:$D123)</f>
        <v>1.1038351960153273E-2</v>
      </c>
      <c r="G123" s="143">
        <f ca="1">DSUM($B$80:$Y$84,G$80,$C$91:$D123)</f>
        <v>1.6493251787311234E-2</v>
      </c>
      <c r="H123" s="143">
        <f ca="1">DSUM($B$80:$Y$84,H$80,$C$91:$D123)</f>
        <v>2.1905875590851609E-2</v>
      </c>
      <c r="I123" s="143">
        <f ca="1">DSUM($B$80:$Y$84,I$80,$C$91:$D123)</f>
        <v>2.7276647719997771E-2</v>
      </c>
      <c r="J123" s="143">
        <f ca="1">DSUM($B$80:$Y$84,J$80,$C$91:$D123)</f>
        <v>3.2062554119099008E-2</v>
      </c>
      <c r="K123" s="143">
        <f ca="1">DSUM($B$80:$Y$84,K$80,$C$91:$D123)</f>
        <v>3.5837188422305516E-2</v>
      </c>
      <c r="L123" s="143">
        <f ca="1">DSUM($B$80:$Y$84,L$80,$C$91:$D123)</f>
        <v>3.8806245820737557E-2</v>
      </c>
      <c r="M123" s="143">
        <f ca="1">DSUM($B$80:$Y$84,M$80,$C$91:$D123)</f>
        <v>4.1133625267988951E-2</v>
      </c>
      <c r="N123" s="143">
        <f ca="1">DSUM($B$80:$Y$84,N$80,$C$91:$D123)</f>
        <v>4.2949923316488836E-2</v>
      </c>
      <c r="O123" s="143">
        <f ca="1">DSUM($B$80:$Y$84,O$80,$C$91:$D123)</f>
        <v>4.4359201527640515E-2</v>
      </c>
      <c r="P123" s="143">
        <f ca="1">DSUM($B$80:$Y$84,P$80,$C$91:$D123)</f>
        <v>4.5444378427517126E-2</v>
      </c>
      <c r="Q123" s="143">
        <f ca="1">DSUM($B$80:$Y$84,Q$80,$C$91:$D123)</f>
        <v>4.6271525616098493E-2</v>
      </c>
      <c r="R123" s="143">
        <f ca="1">DSUM($B$80:$Y$84,R$80,$C$91:$D123)</f>
        <v>4.6893290787554866E-2</v>
      </c>
      <c r="S123" s="143">
        <f ca="1">DSUM($B$80:$Y$84,S$80,$C$91:$D123)</f>
        <v>4.7351625129764402E-2</v>
      </c>
      <c r="T123" s="143">
        <f ca="1">DSUM($B$80:$Y$84,T$80,$C$91:$D123)</f>
        <v>5.9130604910379803E-2</v>
      </c>
      <c r="U123" s="143">
        <f ca="1">DSUM($B$80:$Y$84,U$80,$C$91:$D123)</f>
        <v>5.7549967767878511E-2</v>
      </c>
      <c r="V123" s="143">
        <f ca="1">DSUM($B$80:$Y$84,V$80,$C$91:$D123)</f>
        <v>5.6019705141079484E-2</v>
      </c>
      <c r="W123" s="143">
        <f ca="1">DSUM($B$80:$Y$84,W$80,$C$91:$D123)</f>
        <v>5.4485438054259025E-2</v>
      </c>
      <c r="X123" s="143">
        <f ca="1">DSUM($B$80:$Y$84,X$80,$C$91:$D123)</f>
        <v>5.2939049764859962E-2</v>
      </c>
      <c r="Y123" s="137">
        <f ca="1">DSUM($B$80:$Y$84,Y$80,$C$91:$D123)</f>
        <v>0.76936177080110313</v>
      </c>
      <c r="Z123" s="34"/>
      <c r="AA123" s="34"/>
      <c r="AB123" s="34"/>
      <c r="AC123" s="34"/>
    </row>
    <row r="124" spans="1:29" customFormat="1">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row>
    <row r="125" spans="1:29" customFormat="1">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row>
    <row r="126" spans="1:29" customFormat="1" ht="15">
      <c r="A126" s="538" t="s">
        <v>1058</v>
      </c>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row>
    <row r="127" spans="1:29" customFormat="1" ht="15">
      <c r="A127" s="34"/>
      <c r="B127" s="34"/>
      <c r="C127" s="34"/>
      <c r="D127" s="541" t="str">
        <f>C8</f>
        <v>Dishwasher</v>
      </c>
      <c r="E127" s="549">
        <f t="shared" ref="E127:X127" si="40">E11</f>
        <v>2016</v>
      </c>
      <c r="F127" s="542">
        <f t="shared" si="40"/>
        <v>2017</v>
      </c>
      <c r="G127" s="542">
        <f t="shared" si="40"/>
        <v>2018</v>
      </c>
      <c r="H127" s="542">
        <f t="shared" si="40"/>
        <v>2019</v>
      </c>
      <c r="I127" s="542">
        <f t="shared" si="40"/>
        <v>2020</v>
      </c>
      <c r="J127" s="542">
        <f t="shared" si="40"/>
        <v>2021</v>
      </c>
      <c r="K127" s="542">
        <f t="shared" si="40"/>
        <v>2022</v>
      </c>
      <c r="L127" s="542">
        <f t="shared" si="40"/>
        <v>2023</v>
      </c>
      <c r="M127" s="542">
        <f t="shared" si="40"/>
        <v>2024</v>
      </c>
      <c r="N127" s="542">
        <f t="shared" si="40"/>
        <v>2025</v>
      </c>
      <c r="O127" s="542">
        <f t="shared" si="40"/>
        <v>2026</v>
      </c>
      <c r="P127" s="542">
        <f t="shared" si="40"/>
        <v>2027</v>
      </c>
      <c r="Q127" s="542">
        <f t="shared" si="40"/>
        <v>2028</v>
      </c>
      <c r="R127" s="542">
        <f t="shared" si="40"/>
        <v>2029</v>
      </c>
      <c r="S127" s="542">
        <f t="shared" si="40"/>
        <v>2030</v>
      </c>
      <c r="T127" s="542">
        <f t="shared" si="40"/>
        <v>2031</v>
      </c>
      <c r="U127" s="542">
        <f t="shared" si="40"/>
        <v>2032</v>
      </c>
      <c r="V127" s="542">
        <f t="shared" si="40"/>
        <v>2033</v>
      </c>
      <c r="W127" s="542">
        <f t="shared" si="40"/>
        <v>2034</v>
      </c>
      <c r="X127" s="542">
        <f t="shared" si="40"/>
        <v>2035</v>
      </c>
      <c r="Y127" s="543" t="s">
        <v>1073</v>
      </c>
      <c r="Z127" s="34"/>
      <c r="AA127" s="34"/>
      <c r="AB127" s="34"/>
      <c r="AC127" s="34"/>
    </row>
    <row r="128" spans="1:29" customFormat="1" ht="15">
      <c r="A128" s="34"/>
      <c r="B128" s="34"/>
      <c r="C128" s="34"/>
      <c r="D128" s="34" t="str">
        <f>C8</f>
        <v>Dishwasher</v>
      </c>
      <c r="E128" s="550" t="str">
        <f>CONCATENATE("aMW_",E$11)</f>
        <v>aMW_2016</v>
      </c>
      <c r="F128" s="544" t="str">
        <f t="shared" ref="F128:X128" si="41">CONCATENATE("aMW_",F$11)</f>
        <v>aMW_2017</v>
      </c>
      <c r="G128" s="544" t="str">
        <f t="shared" si="41"/>
        <v>aMW_2018</v>
      </c>
      <c r="H128" s="544" t="str">
        <f t="shared" si="41"/>
        <v>aMW_2019</v>
      </c>
      <c r="I128" s="544" t="str">
        <f t="shared" si="41"/>
        <v>aMW_2020</v>
      </c>
      <c r="J128" s="544" t="str">
        <f t="shared" si="41"/>
        <v>aMW_2021</v>
      </c>
      <c r="K128" s="544" t="str">
        <f t="shared" si="41"/>
        <v>aMW_2022</v>
      </c>
      <c r="L128" s="544" t="str">
        <f t="shared" si="41"/>
        <v>aMW_2023</v>
      </c>
      <c r="M128" s="544" t="str">
        <f t="shared" si="41"/>
        <v>aMW_2024</v>
      </c>
      <c r="N128" s="544" t="str">
        <f t="shared" si="41"/>
        <v>aMW_2025</v>
      </c>
      <c r="O128" s="544" t="str">
        <f t="shared" si="41"/>
        <v>aMW_2026</v>
      </c>
      <c r="P128" s="544" t="str">
        <f t="shared" si="41"/>
        <v>aMW_2027</v>
      </c>
      <c r="Q128" s="544" t="str">
        <f t="shared" si="41"/>
        <v>aMW_2028</v>
      </c>
      <c r="R128" s="544" t="str">
        <f t="shared" si="41"/>
        <v>aMW_2029</v>
      </c>
      <c r="S128" s="544" t="str">
        <f t="shared" si="41"/>
        <v>aMW_2030</v>
      </c>
      <c r="T128" s="544" t="str">
        <f t="shared" si="41"/>
        <v>aMW_2031</v>
      </c>
      <c r="U128" s="544" t="str">
        <f t="shared" si="41"/>
        <v>aMW_2032</v>
      </c>
      <c r="V128" s="544" t="str">
        <f t="shared" si="41"/>
        <v>aMW_2033</v>
      </c>
      <c r="W128" s="544" t="str">
        <f t="shared" si="41"/>
        <v>aMW_2034</v>
      </c>
      <c r="X128" s="544" t="str">
        <f t="shared" si="41"/>
        <v>aMW_2035</v>
      </c>
      <c r="Y128" s="545" t="s">
        <v>1073</v>
      </c>
      <c r="Z128" s="34"/>
      <c r="AA128" s="34"/>
      <c r="AB128" s="34"/>
      <c r="AC128" s="34"/>
    </row>
    <row r="129" spans="1:29" customFormat="1">
      <c r="A129" s="34"/>
      <c r="B129" s="34"/>
      <c r="C129" s="34"/>
      <c r="D129" s="34" t="s">
        <v>992</v>
      </c>
      <c r="E129" s="143">
        <f t="shared" ref="E129:Y129" si="42">E92</f>
        <v>0</v>
      </c>
      <c r="F129" s="143">
        <f t="shared" si="42"/>
        <v>0</v>
      </c>
      <c r="G129" s="143">
        <f t="shared" si="42"/>
        <v>0</v>
      </c>
      <c r="H129" s="143">
        <f t="shared" si="42"/>
        <v>0</v>
      </c>
      <c r="I129" s="143">
        <f t="shared" si="42"/>
        <v>0</v>
      </c>
      <c r="J129" s="143">
        <f t="shared" si="42"/>
        <v>0</v>
      </c>
      <c r="K129" s="143">
        <f t="shared" si="42"/>
        <v>0</v>
      </c>
      <c r="L129" s="143">
        <f t="shared" si="42"/>
        <v>0</v>
      </c>
      <c r="M129" s="143">
        <f t="shared" si="42"/>
        <v>0</v>
      </c>
      <c r="N129" s="143">
        <f t="shared" si="42"/>
        <v>0</v>
      </c>
      <c r="O129" s="143">
        <f t="shared" si="42"/>
        <v>0</v>
      </c>
      <c r="P129" s="143">
        <f t="shared" si="42"/>
        <v>0</v>
      </c>
      <c r="Q129" s="143">
        <f t="shared" si="42"/>
        <v>0</v>
      </c>
      <c r="R129" s="143">
        <f t="shared" si="42"/>
        <v>0</v>
      </c>
      <c r="S129" s="143">
        <f t="shared" si="42"/>
        <v>0</v>
      </c>
      <c r="T129" s="143">
        <f t="shared" si="42"/>
        <v>0</v>
      </c>
      <c r="U129" s="143">
        <f t="shared" si="42"/>
        <v>0</v>
      </c>
      <c r="V129" s="143">
        <f t="shared" si="42"/>
        <v>0</v>
      </c>
      <c r="W129" s="143">
        <f t="shared" si="42"/>
        <v>0</v>
      </c>
      <c r="X129" s="143">
        <f t="shared" si="42"/>
        <v>0</v>
      </c>
      <c r="Y129" s="143">
        <f t="shared" si="42"/>
        <v>0</v>
      </c>
      <c r="Z129" s="34"/>
      <c r="AA129" s="34"/>
      <c r="AB129" s="34"/>
      <c r="AC129" s="34"/>
    </row>
    <row r="130" spans="1:29" customFormat="1">
      <c r="A130" s="34"/>
      <c r="B130" s="34"/>
      <c r="C130" s="34"/>
      <c r="D130" s="34" t="s">
        <v>1339</v>
      </c>
      <c r="E130" s="143">
        <f t="shared" ref="E130:X142" si="43">E93-E92</f>
        <v>0</v>
      </c>
      <c r="F130" s="143">
        <f t="shared" si="43"/>
        <v>0</v>
      </c>
      <c r="G130" s="143">
        <f t="shared" si="43"/>
        <v>0</v>
      </c>
      <c r="H130" s="143">
        <f t="shared" si="43"/>
        <v>0</v>
      </c>
      <c r="I130" s="143">
        <f t="shared" si="43"/>
        <v>0</v>
      </c>
      <c r="J130" s="143">
        <f t="shared" si="43"/>
        <v>0</v>
      </c>
      <c r="K130" s="143">
        <f t="shared" si="43"/>
        <v>0</v>
      </c>
      <c r="L130" s="143">
        <f t="shared" si="43"/>
        <v>0</v>
      </c>
      <c r="M130" s="143">
        <f t="shared" si="43"/>
        <v>0</v>
      </c>
      <c r="N130" s="143">
        <f t="shared" si="43"/>
        <v>0</v>
      </c>
      <c r="O130" s="143">
        <f t="shared" si="43"/>
        <v>0</v>
      </c>
      <c r="P130" s="143">
        <f t="shared" si="43"/>
        <v>0</v>
      </c>
      <c r="Q130" s="143">
        <f t="shared" si="43"/>
        <v>0</v>
      </c>
      <c r="R130" s="143">
        <f t="shared" si="43"/>
        <v>0</v>
      </c>
      <c r="S130" s="143">
        <f t="shared" si="43"/>
        <v>0</v>
      </c>
      <c r="T130" s="143">
        <f t="shared" si="43"/>
        <v>0</v>
      </c>
      <c r="U130" s="143">
        <f t="shared" si="43"/>
        <v>0</v>
      </c>
      <c r="V130" s="143">
        <f t="shared" si="43"/>
        <v>0</v>
      </c>
      <c r="W130" s="143">
        <f t="shared" si="43"/>
        <v>0</v>
      </c>
      <c r="X130" s="143">
        <f t="shared" si="43"/>
        <v>0</v>
      </c>
      <c r="Y130" s="143">
        <f t="shared" ref="Y130" si="44">Y93-Y92</f>
        <v>0</v>
      </c>
      <c r="Z130" s="34"/>
      <c r="AA130" s="34"/>
      <c r="AB130" s="34"/>
      <c r="AC130" s="34"/>
    </row>
    <row r="131" spans="1:29" customFormat="1">
      <c r="A131" s="34"/>
      <c r="B131" s="34"/>
      <c r="C131" s="34"/>
      <c r="D131" s="34" t="s">
        <v>998</v>
      </c>
      <c r="E131" s="143">
        <f t="shared" si="43"/>
        <v>0</v>
      </c>
      <c r="F131" s="143">
        <f t="shared" si="43"/>
        <v>0</v>
      </c>
      <c r="G131" s="143">
        <f t="shared" si="43"/>
        <v>0</v>
      </c>
      <c r="H131" s="143">
        <f t="shared" si="43"/>
        <v>0</v>
      </c>
      <c r="I131" s="143">
        <f t="shared" si="43"/>
        <v>0</v>
      </c>
      <c r="J131" s="143">
        <f t="shared" si="43"/>
        <v>0</v>
      </c>
      <c r="K131" s="143">
        <f t="shared" si="43"/>
        <v>0</v>
      </c>
      <c r="L131" s="143">
        <f t="shared" si="43"/>
        <v>0</v>
      </c>
      <c r="M131" s="143">
        <f t="shared" si="43"/>
        <v>0</v>
      </c>
      <c r="N131" s="143">
        <f t="shared" si="43"/>
        <v>0</v>
      </c>
      <c r="O131" s="143">
        <f t="shared" si="43"/>
        <v>0</v>
      </c>
      <c r="P131" s="143">
        <f t="shared" si="43"/>
        <v>0</v>
      </c>
      <c r="Q131" s="143">
        <f t="shared" si="43"/>
        <v>0</v>
      </c>
      <c r="R131" s="143">
        <f t="shared" si="43"/>
        <v>0</v>
      </c>
      <c r="S131" s="143">
        <f t="shared" si="43"/>
        <v>0</v>
      </c>
      <c r="T131" s="143">
        <f t="shared" si="43"/>
        <v>0</v>
      </c>
      <c r="U131" s="143">
        <f t="shared" si="43"/>
        <v>0</v>
      </c>
      <c r="V131" s="143">
        <f t="shared" si="43"/>
        <v>0</v>
      </c>
      <c r="W131" s="143">
        <f t="shared" si="43"/>
        <v>0</v>
      </c>
      <c r="X131" s="143">
        <f t="shared" si="43"/>
        <v>0</v>
      </c>
      <c r="Y131" s="143">
        <f t="shared" ref="Y131" si="45">Y94-Y93</f>
        <v>0</v>
      </c>
      <c r="Z131" s="34"/>
      <c r="AA131" s="34"/>
      <c r="AB131" s="34"/>
      <c r="AC131" s="34"/>
    </row>
    <row r="132" spans="1:29" customFormat="1">
      <c r="A132" s="34"/>
      <c r="B132" s="34"/>
      <c r="C132" s="34"/>
      <c r="D132" s="34" t="s">
        <v>1001</v>
      </c>
      <c r="E132" s="143">
        <f t="shared" si="43"/>
        <v>0</v>
      </c>
      <c r="F132" s="143">
        <f t="shared" si="43"/>
        <v>0</v>
      </c>
      <c r="G132" s="143">
        <f t="shared" si="43"/>
        <v>0</v>
      </c>
      <c r="H132" s="143">
        <f t="shared" si="43"/>
        <v>0</v>
      </c>
      <c r="I132" s="143">
        <f t="shared" si="43"/>
        <v>0</v>
      </c>
      <c r="J132" s="143">
        <f t="shared" si="43"/>
        <v>0</v>
      </c>
      <c r="K132" s="143">
        <f t="shared" si="43"/>
        <v>0</v>
      </c>
      <c r="L132" s="143">
        <f t="shared" si="43"/>
        <v>0</v>
      </c>
      <c r="M132" s="143">
        <f t="shared" si="43"/>
        <v>0</v>
      </c>
      <c r="N132" s="143">
        <f t="shared" si="43"/>
        <v>0</v>
      </c>
      <c r="O132" s="143">
        <f t="shared" si="43"/>
        <v>0</v>
      </c>
      <c r="P132" s="143">
        <f t="shared" si="43"/>
        <v>0</v>
      </c>
      <c r="Q132" s="143">
        <f t="shared" si="43"/>
        <v>0</v>
      </c>
      <c r="R132" s="143">
        <f t="shared" si="43"/>
        <v>0</v>
      </c>
      <c r="S132" s="143">
        <f t="shared" si="43"/>
        <v>0</v>
      </c>
      <c r="T132" s="143">
        <f t="shared" si="43"/>
        <v>0</v>
      </c>
      <c r="U132" s="143">
        <f t="shared" si="43"/>
        <v>0</v>
      </c>
      <c r="V132" s="143">
        <f t="shared" si="43"/>
        <v>0</v>
      </c>
      <c r="W132" s="143">
        <f t="shared" si="43"/>
        <v>0</v>
      </c>
      <c r="X132" s="143">
        <f t="shared" si="43"/>
        <v>0</v>
      </c>
      <c r="Y132" s="143">
        <f t="shared" ref="Y132" si="46">Y95-Y94</f>
        <v>0</v>
      </c>
      <c r="Z132" s="34"/>
      <c r="AA132" s="34"/>
      <c r="AB132" s="34"/>
      <c r="AC132" s="34"/>
    </row>
    <row r="133" spans="1:29" customFormat="1">
      <c r="A133" s="34"/>
      <c r="B133" s="34"/>
      <c r="C133" s="34"/>
      <c r="D133" s="34" t="s">
        <v>1004</v>
      </c>
      <c r="E133" s="143">
        <f t="shared" si="43"/>
        <v>0</v>
      </c>
      <c r="F133" s="143">
        <f t="shared" si="43"/>
        <v>0</v>
      </c>
      <c r="G133" s="143">
        <f t="shared" si="43"/>
        <v>0</v>
      </c>
      <c r="H133" s="143">
        <f t="shared" si="43"/>
        <v>0</v>
      </c>
      <c r="I133" s="143">
        <f t="shared" si="43"/>
        <v>0</v>
      </c>
      <c r="J133" s="143">
        <f t="shared" si="43"/>
        <v>0</v>
      </c>
      <c r="K133" s="143">
        <f t="shared" si="43"/>
        <v>0</v>
      </c>
      <c r="L133" s="143">
        <f t="shared" si="43"/>
        <v>0</v>
      </c>
      <c r="M133" s="143">
        <f t="shared" si="43"/>
        <v>0</v>
      </c>
      <c r="N133" s="143">
        <f t="shared" si="43"/>
        <v>0</v>
      </c>
      <c r="O133" s="143">
        <f t="shared" si="43"/>
        <v>0</v>
      </c>
      <c r="P133" s="143">
        <f t="shared" si="43"/>
        <v>0</v>
      </c>
      <c r="Q133" s="143">
        <f t="shared" si="43"/>
        <v>0</v>
      </c>
      <c r="R133" s="143">
        <f t="shared" si="43"/>
        <v>0</v>
      </c>
      <c r="S133" s="143">
        <f t="shared" si="43"/>
        <v>0</v>
      </c>
      <c r="T133" s="143">
        <f t="shared" si="43"/>
        <v>0</v>
      </c>
      <c r="U133" s="143">
        <f t="shared" si="43"/>
        <v>0</v>
      </c>
      <c r="V133" s="143">
        <f t="shared" si="43"/>
        <v>0</v>
      </c>
      <c r="W133" s="143">
        <f t="shared" si="43"/>
        <v>0</v>
      </c>
      <c r="X133" s="143">
        <f t="shared" si="43"/>
        <v>0</v>
      </c>
      <c r="Y133" s="143">
        <f t="shared" ref="Y133" si="47">Y96-Y95</f>
        <v>0</v>
      </c>
      <c r="Z133" s="34"/>
      <c r="AA133" s="34"/>
      <c r="AB133" s="34"/>
      <c r="AC133" s="34"/>
    </row>
    <row r="134" spans="1:29" customFormat="1">
      <c r="A134" s="34"/>
      <c r="B134" s="34"/>
      <c r="C134" s="34"/>
      <c r="D134" s="34" t="s">
        <v>1007</v>
      </c>
      <c r="E134" s="143">
        <f t="shared" ca="1" si="43"/>
        <v>1.0680029667840972E-3</v>
      </c>
      <c r="F134" s="143">
        <f ca="1">F97-F96</f>
        <v>2.1131784670404639E-3</v>
      </c>
      <c r="G134" s="143">
        <f t="shared" ca="1" si="43"/>
        <v>3.1358924360082451E-3</v>
      </c>
      <c r="H134" s="143">
        <f t="shared" ca="1" si="43"/>
        <v>4.1365055945999808E-3</v>
      </c>
      <c r="I134" s="143">
        <f t="shared" ca="1" si="43"/>
        <v>5.1153735190584016E-3</v>
      </c>
      <c r="J134" s="143">
        <f t="shared" ca="1" si="43"/>
        <v>5.971632597891267E-3</v>
      </c>
      <c r="K134" s="143">
        <f t="shared" ca="1" si="43"/>
        <v>6.6287673945559346E-3</v>
      </c>
      <c r="L134" s="143">
        <f t="shared" ca="1" si="43"/>
        <v>7.1285248331359533E-3</v>
      </c>
      <c r="M134" s="143">
        <f t="shared" ca="1" si="43"/>
        <v>7.503943186591683E-3</v>
      </c>
      <c r="N134" s="143">
        <f t="shared" ca="1" si="43"/>
        <v>7.7811682874594536E-3</v>
      </c>
      <c r="O134" s="143">
        <f t="shared" ca="1" si="43"/>
        <v>7.9808909682874893E-3</v>
      </c>
      <c r="P134" s="143">
        <f t="shared" ca="1" si="43"/>
        <v>8.1194847241941783E-3</v>
      </c>
      <c r="Q134" s="143">
        <f t="shared" ca="1" si="43"/>
        <v>8.2099061161048422E-3</v>
      </c>
      <c r="R134" s="143">
        <f t="shared" ca="1" si="43"/>
        <v>8.2624073950037773E-3</v>
      </c>
      <c r="S134" s="143">
        <f t="shared" ca="1" si="43"/>
        <v>8.2851005084345116E-3</v>
      </c>
      <c r="T134" s="143">
        <f t="shared" ca="1" si="43"/>
        <v>8.7287693619053953E-3</v>
      </c>
      <c r="U134" s="143">
        <f t="shared" ca="1" si="43"/>
        <v>8.5979164732683782E-3</v>
      </c>
      <c r="V134" s="143">
        <f t="shared" ca="1" si="43"/>
        <v>8.477417552195967E-3</v>
      </c>
      <c r="W134" s="143">
        <f t="shared" ca="1" si="43"/>
        <v>8.3552027479865173E-3</v>
      </c>
      <c r="X134" s="143">
        <f t="shared" ca="1" si="43"/>
        <v>8.2115926833042571E-3</v>
      </c>
      <c r="Y134" s="143">
        <f t="shared" ref="Y134" ca="1" si="48">Y97-Y96</f>
        <v>0.1244350713402806</v>
      </c>
      <c r="Z134" s="34"/>
      <c r="AA134" s="34"/>
      <c r="AB134" s="34"/>
      <c r="AC134" s="34"/>
    </row>
    <row r="135" spans="1:29" customFormat="1">
      <c r="A135" s="34"/>
      <c r="B135" s="34"/>
      <c r="C135" s="34"/>
      <c r="D135" s="34" t="s">
        <v>1010</v>
      </c>
      <c r="E135" s="143">
        <f t="shared" ca="1" si="43"/>
        <v>1.946782494497175E-3</v>
      </c>
      <c r="F135" s="143">
        <f t="shared" ca="1" si="43"/>
        <v>3.8847234122698655E-3</v>
      </c>
      <c r="G135" s="143">
        <f t="shared" ca="1" si="43"/>
        <v>5.8138528697329224E-3</v>
      </c>
      <c r="H135" s="143">
        <f t="shared" ca="1" si="43"/>
        <v>7.7342008921160131E-3</v>
      </c>
      <c r="I135" s="143">
        <f t="shared" ca="1" si="43"/>
        <v>9.6457974137224376E-3</v>
      </c>
      <c r="J135" s="143">
        <f t="shared" ca="1" si="43"/>
        <v>1.135619440688416E-2</v>
      </c>
      <c r="K135" s="143">
        <f t="shared" ca="1" si="43"/>
        <v>1.2713100240060626E-2</v>
      </c>
      <c r="L135" s="143">
        <f t="shared" ca="1" si="43"/>
        <v>1.3787874174612441E-2</v>
      </c>
      <c r="M135" s="143">
        <f t="shared" ca="1" si="43"/>
        <v>1.4637473941699355E-2</v>
      </c>
      <c r="N135" s="143">
        <f t="shared" ca="1" si="43"/>
        <v>1.5307362211018669E-2</v>
      </c>
      <c r="O135" s="143">
        <f t="shared" ca="1" si="43"/>
        <v>1.5833826485747042E-2</v>
      </c>
      <c r="P135" s="143">
        <f t="shared" ca="1" si="43"/>
        <v>1.6245830804046631E-2</v>
      </c>
      <c r="Q135" s="143">
        <f t="shared" ca="1" si="43"/>
        <v>1.6566493736368419E-2</v>
      </c>
      <c r="R135" s="143">
        <f t="shared" ca="1" si="43"/>
        <v>1.6814268098284561E-2</v>
      </c>
      <c r="S135" s="143">
        <f t="shared" ca="1" si="43"/>
        <v>1.7003882577623725E-2</v>
      </c>
      <c r="T135" s="143">
        <f t="shared" ca="1" si="43"/>
        <v>2.335816578289512E-2</v>
      </c>
      <c r="U135" s="143">
        <f t="shared" ca="1" si="43"/>
        <v>2.2635512082359963E-2</v>
      </c>
      <c r="V135" s="143">
        <f t="shared" ca="1" si="43"/>
        <v>2.193589842747299E-2</v>
      </c>
      <c r="W135" s="143">
        <f t="shared" ca="1" si="43"/>
        <v>2.1117531109576142E-2</v>
      </c>
      <c r="X135" s="143">
        <f t="shared" ca="1" si="43"/>
        <v>2.0262733087035811E-2</v>
      </c>
      <c r="Y135" s="143">
        <f ca="1">Y98-Y97</f>
        <v>0.28655204893719416</v>
      </c>
      <c r="Z135" s="34"/>
      <c r="AA135" s="34"/>
      <c r="AB135" s="34"/>
      <c r="AC135" s="34"/>
    </row>
    <row r="136" spans="1:29" customFormat="1">
      <c r="A136" s="34"/>
      <c r="B136" s="34"/>
      <c r="C136" s="34"/>
      <c r="D136" s="34" t="s">
        <v>1013</v>
      </c>
      <c r="E136" s="143">
        <f t="shared" ca="1" si="43"/>
        <v>0</v>
      </c>
      <c r="F136" s="143">
        <f t="shared" ca="1" si="43"/>
        <v>0</v>
      </c>
      <c r="G136" s="143">
        <f t="shared" ca="1" si="43"/>
        <v>0</v>
      </c>
      <c r="H136" s="143">
        <f t="shared" ca="1" si="43"/>
        <v>0</v>
      </c>
      <c r="I136" s="143">
        <f t="shared" ca="1" si="43"/>
        <v>0</v>
      </c>
      <c r="J136" s="143">
        <f t="shared" ca="1" si="43"/>
        <v>0</v>
      </c>
      <c r="K136" s="143">
        <f t="shared" ca="1" si="43"/>
        <v>0</v>
      </c>
      <c r="L136" s="143">
        <f t="shared" ca="1" si="43"/>
        <v>0</v>
      </c>
      <c r="M136" s="143">
        <f t="shared" ca="1" si="43"/>
        <v>0</v>
      </c>
      <c r="N136" s="143">
        <f t="shared" ca="1" si="43"/>
        <v>0</v>
      </c>
      <c r="O136" s="143">
        <f t="shared" ca="1" si="43"/>
        <v>0</v>
      </c>
      <c r="P136" s="143">
        <f t="shared" ca="1" si="43"/>
        <v>0</v>
      </c>
      <c r="Q136" s="143">
        <f t="shared" ca="1" si="43"/>
        <v>0</v>
      </c>
      <c r="R136" s="143">
        <f t="shared" ca="1" si="43"/>
        <v>0</v>
      </c>
      <c r="S136" s="143">
        <f t="shared" ca="1" si="43"/>
        <v>0</v>
      </c>
      <c r="T136" s="143">
        <f t="shared" ca="1" si="43"/>
        <v>0</v>
      </c>
      <c r="U136" s="143">
        <f t="shared" ca="1" si="43"/>
        <v>0</v>
      </c>
      <c r="V136" s="143">
        <f t="shared" ca="1" si="43"/>
        <v>0</v>
      </c>
      <c r="W136" s="143">
        <f t="shared" ca="1" si="43"/>
        <v>0</v>
      </c>
      <c r="X136" s="143">
        <f t="shared" ca="1" si="43"/>
        <v>0</v>
      </c>
      <c r="Y136" s="143">
        <f t="shared" ref="Y136" ca="1" si="49">Y99-Y98</f>
        <v>0</v>
      </c>
      <c r="Z136" s="34"/>
      <c r="AA136" s="34"/>
      <c r="AB136" s="34"/>
      <c r="AC136" s="34"/>
    </row>
    <row r="137" spans="1:29" customFormat="1">
      <c r="A137" s="34"/>
      <c r="B137" s="34"/>
      <c r="C137" s="34"/>
      <c r="D137" s="34" t="s">
        <v>1016</v>
      </c>
      <c r="E137" s="143">
        <f t="shared" ca="1" si="43"/>
        <v>0</v>
      </c>
      <c r="F137" s="143">
        <f t="shared" ca="1" si="43"/>
        <v>0</v>
      </c>
      <c r="G137" s="143">
        <f t="shared" ca="1" si="43"/>
        <v>0</v>
      </c>
      <c r="H137" s="143">
        <f t="shared" ca="1" si="43"/>
        <v>0</v>
      </c>
      <c r="I137" s="143">
        <f t="shared" ca="1" si="43"/>
        <v>0</v>
      </c>
      <c r="J137" s="143">
        <f t="shared" ca="1" si="43"/>
        <v>0</v>
      </c>
      <c r="K137" s="143">
        <f t="shared" ca="1" si="43"/>
        <v>0</v>
      </c>
      <c r="L137" s="143">
        <f t="shared" ca="1" si="43"/>
        <v>0</v>
      </c>
      <c r="M137" s="143">
        <f t="shared" ca="1" si="43"/>
        <v>0</v>
      </c>
      <c r="N137" s="143">
        <f t="shared" ca="1" si="43"/>
        <v>0</v>
      </c>
      <c r="O137" s="143">
        <f t="shared" ca="1" si="43"/>
        <v>0</v>
      </c>
      <c r="P137" s="143">
        <f t="shared" ca="1" si="43"/>
        <v>0</v>
      </c>
      <c r="Q137" s="143">
        <f t="shared" ca="1" si="43"/>
        <v>0</v>
      </c>
      <c r="R137" s="143">
        <f t="shared" ca="1" si="43"/>
        <v>0</v>
      </c>
      <c r="S137" s="143">
        <f t="shared" ca="1" si="43"/>
        <v>0</v>
      </c>
      <c r="T137" s="143">
        <f t="shared" ca="1" si="43"/>
        <v>0</v>
      </c>
      <c r="U137" s="143">
        <f t="shared" ca="1" si="43"/>
        <v>0</v>
      </c>
      <c r="V137" s="143">
        <f t="shared" ca="1" si="43"/>
        <v>0</v>
      </c>
      <c r="W137" s="143">
        <f t="shared" ca="1" si="43"/>
        <v>0</v>
      </c>
      <c r="X137" s="143">
        <f t="shared" ca="1" si="43"/>
        <v>0</v>
      </c>
      <c r="Y137" s="143">
        <f t="shared" ref="Y137" ca="1" si="50">Y100-Y99</f>
        <v>0</v>
      </c>
      <c r="Z137" s="34"/>
      <c r="AA137" s="34"/>
      <c r="AB137" s="34"/>
      <c r="AC137" s="34"/>
    </row>
    <row r="138" spans="1:29" customFormat="1">
      <c r="A138" s="34"/>
      <c r="B138" s="34"/>
      <c r="C138" s="34"/>
      <c r="D138" s="34" t="s">
        <v>1019</v>
      </c>
      <c r="E138" s="143">
        <f t="shared" ca="1" si="43"/>
        <v>0</v>
      </c>
      <c r="F138" s="143">
        <f t="shared" ca="1" si="43"/>
        <v>0</v>
      </c>
      <c r="G138" s="143">
        <f t="shared" ca="1" si="43"/>
        <v>0</v>
      </c>
      <c r="H138" s="143">
        <f t="shared" ca="1" si="43"/>
        <v>0</v>
      </c>
      <c r="I138" s="143">
        <f t="shared" ca="1" si="43"/>
        <v>0</v>
      </c>
      <c r="J138" s="143">
        <f t="shared" ca="1" si="43"/>
        <v>0</v>
      </c>
      <c r="K138" s="143">
        <f t="shared" ca="1" si="43"/>
        <v>0</v>
      </c>
      <c r="L138" s="143">
        <f t="shared" ca="1" si="43"/>
        <v>0</v>
      </c>
      <c r="M138" s="143">
        <f t="shared" ca="1" si="43"/>
        <v>0</v>
      </c>
      <c r="N138" s="143">
        <f t="shared" ca="1" si="43"/>
        <v>0</v>
      </c>
      <c r="O138" s="143">
        <f t="shared" ca="1" si="43"/>
        <v>0</v>
      </c>
      <c r="P138" s="143">
        <f t="shared" ca="1" si="43"/>
        <v>0</v>
      </c>
      <c r="Q138" s="143">
        <f t="shared" ca="1" si="43"/>
        <v>0</v>
      </c>
      <c r="R138" s="143">
        <f t="shared" ca="1" si="43"/>
        <v>0</v>
      </c>
      <c r="S138" s="143">
        <f t="shared" ca="1" si="43"/>
        <v>0</v>
      </c>
      <c r="T138" s="143">
        <f t="shared" ca="1" si="43"/>
        <v>0</v>
      </c>
      <c r="U138" s="143">
        <f t="shared" ca="1" si="43"/>
        <v>0</v>
      </c>
      <c r="V138" s="143">
        <f t="shared" ca="1" si="43"/>
        <v>0</v>
      </c>
      <c r="W138" s="143">
        <f t="shared" ca="1" si="43"/>
        <v>0</v>
      </c>
      <c r="X138" s="143">
        <f t="shared" ca="1" si="43"/>
        <v>0</v>
      </c>
      <c r="Y138" s="143">
        <f t="shared" ref="Y138" ca="1" si="51">Y101-Y100</f>
        <v>0</v>
      </c>
      <c r="Z138" s="34"/>
      <c r="AA138" s="34"/>
      <c r="AB138" s="34"/>
      <c r="AC138" s="34"/>
    </row>
    <row r="139" spans="1:29" customFormat="1">
      <c r="A139" s="34"/>
      <c r="B139" s="34"/>
      <c r="C139" s="34"/>
      <c r="D139" s="34" t="s">
        <v>1022</v>
      </c>
      <c r="E139" s="143">
        <f t="shared" ca="1" si="43"/>
        <v>0</v>
      </c>
      <c r="F139" s="143">
        <f t="shared" ca="1" si="43"/>
        <v>0</v>
      </c>
      <c r="G139" s="143">
        <f t="shared" ca="1" si="43"/>
        <v>0</v>
      </c>
      <c r="H139" s="143">
        <f t="shared" ca="1" si="43"/>
        <v>0</v>
      </c>
      <c r="I139" s="143">
        <f t="shared" ca="1" si="43"/>
        <v>0</v>
      </c>
      <c r="J139" s="143">
        <f t="shared" ca="1" si="43"/>
        <v>0</v>
      </c>
      <c r="K139" s="143">
        <f t="shared" ca="1" si="43"/>
        <v>0</v>
      </c>
      <c r="L139" s="143">
        <f t="shared" ca="1" si="43"/>
        <v>0</v>
      </c>
      <c r="M139" s="143">
        <f t="shared" ca="1" si="43"/>
        <v>0</v>
      </c>
      <c r="N139" s="143">
        <f t="shared" ca="1" si="43"/>
        <v>0</v>
      </c>
      <c r="O139" s="143">
        <f t="shared" ca="1" si="43"/>
        <v>0</v>
      </c>
      <c r="P139" s="143">
        <f t="shared" ca="1" si="43"/>
        <v>0</v>
      </c>
      <c r="Q139" s="143">
        <f t="shared" ca="1" si="43"/>
        <v>0</v>
      </c>
      <c r="R139" s="143">
        <f t="shared" ca="1" si="43"/>
        <v>0</v>
      </c>
      <c r="S139" s="143">
        <f t="shared" ca="1" si="43"/>
        <v>0</v>
      </c>
      <c r="T139" s="143">
        <f t="shared" ca="1" si="43"/>
        <v>0</v>
      </c>
      <c r="U139" s="143">
        <f t="shared" ca="1" si="43"/>
        <v>0</v>
      </c>
      <c r="V139" s="143">
        <f t="shared" ca="1" si="43"/>
        <v>0</v>
      </c>
      <c r="W139" s="143">
        <f t="shared" ca="1" si="43"/>
        <v>0</v>
      </c>
      <c r="X139" s="143">
        <f t="shared" ca="1" si="43"/>
        <v>0</v>
      </c>
      <c r="Y139" s="143">
        <f t="shared" ref="Y139" ca="1" si="52">Y102-Y101</f>
        <v>0</v>
      </c>
      <c r="Z139" s="34"/>
      <c r="AA139" s="34"/>
      <c r="AB139" s="34"/>
      <c r="AC139" s="34"/>
    </row>
    <row r="140" spans="1:29" customFormat="1">
      <c r="A140" s="34"/>
      <c r="B140" s="34"/>
      <c r="C140" s="34"/>
      <c r="D140" s="34" t="s">
        <v>1025</v>
      </c>
      <c r="E140" s="143">
        <f t="shared" ca="1" si="43"/>
        <v>0</v>
      </c>
      <c r="F140" s="143">
        <f t="shared" ca="1" si="43"/>
        <v>0</v>
      </c>
      <c r="G140" s="143">
        <f t="shared" ca="1" si="43"/>
        <v>0</v>
      </c>
      <c r="H140" s="143">
        <f t="shared" ca="1" si="43"/>
        <v>0</v>
      </c>
      <c r="I140" s="143">
        <f t="shared" ca="1" si="43"/>
        <v>0</v>
      </c>
      <c r="J140" s="143">
        <f t="shared" ca="1" si="43"/>
        <v>0</v>
      </c>
      <c r="K140" s="143">
        <f t="shared" ca="1" si="43"/>
        <v>0</v>
      </c>
      <c r="L140" s="143">
        <f t="shared" ca="1" si="43"/>
        <v>0</v>
      </c>
      <c r="M140" s="143">
        <f t="shared" ca="1" si="43"/>
        <v>0</v>
      </c>
      <c r="N140" s="143">
        <f t="shared" ca="1" si="43"/>
        <v>0</v>
      </c>
      <c r="O140" s="143">
        <f t="shared" ca="1" si="43"/>
        <v>0</v>
      </c>
      <c r="P140" s="143">
        <f t="shared" ca="1" si="43"/>
        <v>0</v>
      </c>
      <c r="Q140" s="143">
        <f t="shared" ca="1" si="43"/>
        <v>0</v>
      </c>
      <c r="R140" s="143">
        <f t="shared" ca="1" si="43"/>
        <v>0</v>
      </c>
      <c r="S140" s="143">
        <f t="shared" ca="1" si="43"/>
        <v>0</v>
      </c>
      <c r="T140" s="143">
        <f t="shared" ca="1" si="43"/>
        <v>0</v>
      </c>
      <c r="U140" s="143">
        <f t="shared" ca="1" si="43"/>
        <v>0</v>
      </c>
      <c r="V140" s="143">
        <f t="shared" ca="1" si="43"/>
        <v>0</v>
      </c>
      <c r="W140" s="143">
        <f t="shared" ca="1" si="43"/>
        <v>0</v>
      </c>
      <c r="X140" s="143">
        <f t="shared" ca="1" si="43"/>
        <v>0</v>
      </c>
      <c r="Y140" s="143">
        <f t="shared" ref="Y140" ca="1" si="53">Y103-Y102</f>
        <v>0</v>
      </c>
      <c r="Z140" s="34"/>
      <c r="AA140" s="34"/>
      <c r="AB140" s="34"/>
      <c r="AC140" s="34"/>
    </row>
    <row r="141" spans="1:29" customFormat="1">
      <c r="A141" s="34"/>
      <c r="B141" s="34"/>
      <c r="C141" s="34"/>
      <c r="D141" s="34" t="s">
        <v>1028</v>
      </c>
      <c r="E141" s="143">
        <f t="shared" ca="1" si="43"/>
        <v>0</v>
      </c>
      <c r="F141" s="143">
        <f t="shared" ca="1" si="43"/>
        <v>0</v>
      </c>
      <c r="G141" s="143">
        <f t="shared" ca="1" si="43"/>
        <v>0</v>
      </c>
      <c r="H141" s="143">
        <f t="shared" ca="1" si="43"/>
        <v>0</v>
      </c>
      <c r="I141" s="143">
        <f t="shared" ca="1" si="43"/>
        <v>0</v>
      </c>
      <c r="J141" s="143">
        <f t="shared" ca="1" si="43"/>
        <v>0</v>
      </c>
      <c r="K141" s="143">
        <f t="shared" ca="1" si="43"/>
        <v>0</v>
      </c>
      <c r="L141" s="143">
        <f t="shared" ca="1" si="43"/>
        <v>0</v>
      </c>
      <c r="M141" s="143">
        <f t="shared" ca="1" si="43"/>
        <v>0</v>
      </c>
      <c r="N141" s="143">
        <f t="shared" ca="1" si="43"/>
        <v>0</v>
      </c>
      <c r="O141" s="143">
        <f t="shared" ca="1" si="43"/>
        <v>0</v>
      </c>
      <c r="P141" s="143">
        <f t="shared" ca="1" si="43"/>
        <v>0</v>
      </c>
      <c r="Q141" s="143">
        <f t="shared" ca="1" si="43"/>
        <v>0</v>
      </c>
      <c r="R141" s="143">
        <f t="shared" ca="1" si="43"/>
        <v>0</v>
      </c>
      <c r="S141" s="143">
        <f t="shared" ca="1" si="43"/>
        <v>0</v>
      </c>
      <c r="T141" s="143">
        <f t="shared" ca="1" si="43"/>
        <v>0</v>
      </c>
      <c r="U141" s="143">
        <f t="shared" ca="1" si="43"/>
        <v>0</v>
      </c>
      <c r="V141" s="143">
        <f t="shared" ca="1" si="43"/>
        <v>0</v>
      </c>
      <c r="W141" s="143">
        <f t="shared" ca="1" si="43"/>
        <v>0</v>
      </c>
      <c r="X141" s="143">
        <f t="shared" ca="1" si="43"/>
        <v>0</v>
      </c>
      <c r="Y141" s="143">
        <f t="shared" ref="Y141" ca="1" si="54">Y104-Y103</f>
        <v>0</v>
      </c>
      <c r="Z141" s="34"/>
      <c r="AA141" s="34"/>
      <c r="AB141" s="34"/>
      <c r="AC141" s="34"/>
    </row>
    <row r="142" spans="1:29" customFormat="1">
      <c r="A142" s="34"/>
      <c r="B142" s="34"/>
      <c r="C142" s="34"/>
      <c r="D142" s="34" t="s">
        <v>1031</v>
      </c>
      <c r="E142" s="143">
        <f t="shared" ca="1" si="43"/>
        <v>0</v>
      </c>
      <c r="F142" s="143">
        <f t="shared" ca="1" si="43"/>
        <v>0</v>
      </c>
      <c r="G142" s="143">
        <f t="shared" ca="1" si="43"/>
        <v>0</v>
      </c>
      <c r="H142" s="143">
        <f t="shared" ca="1" si="43"/>
        <v>0</v>
      </c>
      <c r="I142" s="143">
        <f t="shared" ref="I142:X142" ca="1" si="55">I105-I104</f>
        <v>0</v>
      </c>
      <c r="J142" s="143">
        <f t="shared" ca="1" si="55"/>
        <v>0</v>
      </c>
      <c r="K142" s="143">
        <f t="shared" ca="1" si="55"/>
        <v>0</v>
      </c>
      <c r="L142" s="143">
        <f t="shared" ca="1" si="55"/>
        <v>0</v>
      </c>
      <c r="M142" s="143">
        <f t="shared" ca="1" si="55"/>
        <v>0</v>
      </c>
      <c r="N142" s="143">
        <f t="shared" ca="1" si="55"/>
        <v>0</v>
      </c>
      <c r="O142" s="143">
        <f t="shared" ca="1" si="55"/>
        <v>0</v>
      </c>
      <c r="P142" s="143">
        <f t="shared" ca="1" si="55"/>
        <v>0</v>
      </c>
      <c r="Q142" s="143">
        <f t="shared" ca="1" si="55"/>
        <v>0</v>
      </c>
      <c r="R142" s="143">
        <f t="shared" ca="1" si="55"/>
        <v>0</v>
      </c>
      <c r="S142" s="143">
        <f t="shared" ca="1" si="55"/>
        <v>0</v>
      </c>
      <c r="T142" s="143">
        <f t="shared" ca="1" si="55"/>
        <v>0</v>
      </c>
      <c r="U142" s="143">
        <f t="shared" ca="1" si="55"/>
        <v>0</v>
      </c>
      <c r="V142" s="143">
        <f t="shared" ca="1" si="55"/>
        <v>0</v>
      </c>
      <c r="W142" s="143">
        <f t="shared" ca="1" si="55"/>
        <v>0</v>
      </c>
      <c r="X142" s="143">
        <f t="shared" ca="1" si="55"/>
        <v>0</v>
      </c>
      <c r="Y142" s="143">
        <f t="shared" ref="Y142" ca="1" si="56">Y105-Y104</f>
        <v>0</v>
      </c>
      <c r="Z142" s="34"/>
      <c r="AA142" s="34"/>
      <c r="AB142" s="34"/>
      <c r="AC142" s="34"/>
    </row>
    <row r="143" spans="1:29" customFormat="1">
      <c r="A143" s="34"/>
      <c r="B143" s="34"/>
      <c r="C143" s="34"/>
      <c r="D143" s="34" t="s">
        <v>1034</v>
      </c>
      <c r="E143" s="143">
        <f t="shared" ref="E143:X143" ca="1" si="57">E106-E105</f>
        <v>0</v>
      </c>
      <c r="F143" s="143">
        <f t="shared" ca="1" si="57"/>
        <v>0</v>
      </c>
      <c r="G143" s="143">
        <f t="shared" ca="1" si="57"/>
        <v>0</v>
      </c>
      <c r="H143" s="143">
        <f t="shared" ca="1" si="57"/>
        <v>0</v>
      </c>
      <c r="I143" s="143">
        <f t="shared" ca="1" si="57"/>
        <v>0</v>
      </c>
      <c r="J143" s="143">
        <f t="shared" ca="1" si="57"/>
        <v>0</v>
      </c>
      <c r="K143" s="143">
        <f t="shared" ca="1" si="57"/>
        <v>0</v>
      </c>
      <c r="L143" s="143">
        <f t="shared" ca="1" si="57"/>
        <v>0</v>
      </c>
      <c r="M143" s="143">
        <f t="shared" ca="1" si="57"/>
        <v>0</v>
      </c>
      <c r="N143" s="143">
        <f t="shared" ca="1" si="57"/>
        <v>0</v>
      </c>
      <c r="O143" s="143">
        <f t="shared" ca="1" si="57"/>
        <v>0</v>
      </c>
      <c r="P143" s="143">
        <f t="shared" ca="1" si="57"/>
        <v>0</v>
      </c>
      <c r="Q143" s="143">
        <f t="shared" ca="1" si="57"/>
        <v>0</v>
      </c>
      <c r="R143" s="143">
        <f t="shared" ca="1" si="57"/>
        <v>0</v>
      </c>
      <c r="S143" s="143">
        <f t="shared" ca="1" si="57"/>
        <v>0</v>
      </c>
      <c r="T143" s="143">
        <f t="shared" ca="1" si="57"/>
        <v>0</v>
      </c>
      <c r="U143" s="143">
        <f t="shared" ca="1" si="57"/>
        <v>0</v>
      </c>
      <c r="V143" s="143">
        <f t="shared" ca="1" si="57"/>
        <v>0</v>
      </c>
      <c r="W143" s="143">
        <f t="shared" ca="1" si="57"/>
        <v>0</v>
      </c>
      <c r="X143" s="143">
        <f t="shared" ca="1" si="57"/>
        <v>0</v>
      </c>
      <c r="Y143" s="143">
        <f t="shared" ref="Y143" ca="1" si="58">Y106-Y105</f>
        <v>0</v>
      </c>
      <c r="Z143" s="34"/>
      <c r="AA143" s="34"/>
      <c r="AB143" s="34"/>
      <c r="AC143" s="34"/>
    </row>
    <row r="144" spans="1:29" customFormat="1">
      <c r="A144" s="34"/>
      <c r="B144" s="34"/>
      <c r="C144" s="34"/>
      <c r="D144" s="34" t="s">
        <v>1037</v>
      </c>
      <c r="E144" s="143">
        <f t="shared" ref="E144:X144" ca="1" si="59">E107-E106</f>
        <v>2.5259609453051478E-3</v>
      </c>
      <c r="F144" s="143">
        <f t="shared" ca="1" si="59"/>
        <v>5.0404500808429436E-3</v>
      </c>
      <c r="G144" s="143">
        <f t="shared" ca="1" si="59"/>
        <v>7.543506481570067E-3</v>
      </c>
      <c r="H144" s="143">
        <f t="shared" ca="1" si="59"/>
        <v>1.0035169104135615E-2</v>
      </c>
      <c r="I144" s="143">
        <f t="shared" ca="1" si="59"/>
        <v>1.2515476787216932E-2</v>
      </c>
      <c r="J144" s="143">
        <f t="shared" ca="1" si="59"/>
        <v>1.4734727114323581E-2</v>
      </c>
      <c r="K144" s="143">
        <f t="shared" ca="1" si="59"/>
        <v>1.6495320787688957E-2</v>
      </c>
      <c r="L144" s="143">
        <f t="shared" ca="1" si="59"/>
        <v>1.7889846812989163E-2</v>
      </c>
      <c r="M144" s="143">
        <f t="shared" ca="1" si="59"/>
        <v>1.8992208139697913E-2</v>
      </c>
      <c r="N144" s="143">
        <f t="shared" ca="1" si="59"/>
        <v>1.9861392818010713E-2</v>
      </c>
      <c r="O144" s="143">
        <f t="shared" ca="1" si="59"/>
        <v>2.0544484073605984E-2</v>
      </c>
      <c r="P144" s="143">
        <f t="shared" ca="1" si="59"/>
        <v>2.1079062899276316E-2</v>
      </c>
      <c r="Q144" s="143">
        <f t="shared" ca="1" si="59"/>
        <v>2.1495125763625229E-2</v>
      </c>
      <c r="R144" s="143">
        <f t="shared" ca="1" si="59"/>
        <v>2.1816615294266525E-2</v>
      </c>
      <c r="S144" s="143">
        <f t="shared" ca="1" si="59"/>
        <v>2.2062642043706164E-2</v>
      </c>
      <c r="T144" s="143">
        <f t="shared" ca="1" si="59"/>
        <v>2.7043669765579287E-2</v>
      </c>
      <c r="U144" s="143">
        <f t="shared" ca="1" si="59"/>
        <v>2.6316539212250169E-2</v>
      </c>
      <c r="V144" s="143">
        <f t="shared" ca="1" si="59"/>
        <v>2.5606389161410528E-2</v>
      </c>
      <c r="W144" s="143">
        <f t="shared" ca="1" si="59"/>
        <v>2.5012704196696364E-2</v>
      </c>
      <c r="X144" s="143">
        <f t="shared" ca="1" si="59"/>
        <v>2.4464723994519894E-2</v>
      </c>
      <c r="Y144" s="143">
        <f t="shared" ref="Y144" ca="1" si="60">Y107-Y106</f>
        <v>0.35837465052362838</v>
      </c>
      <c r="Z144" s="34"/>
      <c r="AA144" s="34"/>
      <c r="AB144" s="34"/>
      <c r="AC144" s="34"/>
    </row>
    <row r="145" spans="1:29" customFormat="1">
      <c r="A145" s="34"/>
      <c r="B145" s="34"/>
      <c r="C145" s="34"/>
      <c r="D145" s="34" t="s">
        <v>1040</v>
      </c>
      <c r="E145" s="143">
        <f t="shared" ref="E145:X145" ca="1" si="61">E108-E107</f>
        <v>0</v>
      </c>
      <c r="F145" s="143">
        <f t="shared" ca="1" si="61"/>
        <v>0</v>
      </c>
      <c r="G145" s="143">
        <f t="shared" ca="1" si="61"/>
        <v>0</v>
      </c>
      <c r="H145" s="143">
        <f t="shared" ca="1" si="61"/>
        <v>0</v>
      </c>
      <c r="I145" s="143">
        <f t="shared" ca="1" si="61"/>
        <v>0</v>
      </c>
      <c r="J145" s="143">
        <f t="shared" ca="1" si="61"/>
        <v>0</v>
      </c>
      <c r="K145" s="143">
        <f t="shared" ca="1" si="61"/>
        <v>0</v>
      </c>
      <c r="L145" s="143">
        <f t="shared" ca="1" si="61"/>
        <v>0</v>
      </c>
      <c r="M145" s="143">
        <f t="shared" ca="1" si="61"/>
        <v>0</v>
      </c>
      <c r="N145" s="143">
        <f t="shared" ca="1" si="61"/>
        <v>0</v>
      </c>
      <c r="O145" s="143">
        <f t="shared" ca="1" si="61"/>
        <v>0</v>
      </c>
      <c r="P145" s="143">
        <f t="shared" ca="1" si="61"/>
        <v>0</v>
      </c>
      <c r="Q145" s="143">
        <f t="shared" ca="1" si="61"/>
        <v>0</v>
      </c>
      <c r="R145" s="143">
        <f t="shared" ca="1" si="61"/>
        <v>0</v>
      </c>
      <c r="S145" s="143">
        <f t="shared" ca="1" si="61"/>
        <v>0</v>
      </c>
      <c r="T145" s="143">
        <f t="shared" ca="1" si="61"/>
        <v>0</v>
      </c>
      <c r="U145" s="143">
        <f t="shared" ca="1" si="61"/>
        <v>0</v>
      </c>
      <c r="V145" s="143">
        <f t="shared" ca="1" si="61"/>
        <v>0</v>
      </c>
      <c r="W145" s="143">
        <f t="shared" ca="1" si="61"/>
        <v>0</v>
      </c>
      <c r="X145" s="143">
        <f t="shared" ca="1" si="61"/>
        <v>0</v>
      </c>
      <c r="Y145" s="143">
        <f t="shared" ref="Y145" ca="1" si="62">Y108-Y107</f>
        <v>0</v>
      </c>
      <c r="Z145" s="34"/>
      <c r="AA145" s="34"/>
      <c r="AB145" s="34"/>
      <c r="AC145" s="34"/>
    </row>
    <row r="146" spans="1:29" customFormat="1">
      <c r="A146" s="34"/>
      <c r="B146" s="34"/>
      <c r="C146" s="34"/>
      <c r="D146" s="34" t="s">
        <v>1043</v>
      </c>
      <c r="E146" s="143">
        <f t="shared" ref="E146:X146" ca="1" si="63">E109-E108</f>
        <v>0</v>
      </c>
      <c r="F146" s="143">
        <f t="shared" ca="1" si="63"/>
        <v>0</v>
      </c>
      <c r="G146" s="143">
        <f t="shared" ca="1" si="63"/>
        <v>0</v>
      </c>
      <c r="H146" s="143">
        <f t="shared" ca="1" si="63"/>
        <v>0</v>
      </c>
      <c r="I146" s="143">
        <f t="shared" ca="1" si="63"/>
        <v>0</v>
      </c>
      <c r="J146" s="143">
        <f t="shared" ca="1" si="63"/>
        <v>0</v>
      </c>
      <c r="K146" s="143">
        <f t="shared" ca="1" si="63"/>
        <v>0</v>
      </c>
      <c r="L146" s="143">
        <f t="shared" ca="1" si="63"/>
        <v>0</v>
      </c>
      <c r="M146" s="143">
        <f t="shared" ca="1" si="63"/>
        <v>0</v>
      </c>
      <c r="N146" s="143">
        <f t="shared" ca="1" si="63"/>
        <v>0</v>
      </c>
      <c r="O146" s="143">
        <f t="shared" ca="1" si="63"/>
        <v>0</v>
      </c>
      <c r="P146" s="143">
        <f t="shared" ca="1" si="63"/>
        <v>0</v>
      </c>
      <c r="Q146" s="143">
        <f t="shared" ca="1" si="63"/>
        <v>0</v>
      </c>
      <c r="R146" s="143">
        <f t="shared" ca="1" si="63"/>
        <v>0</v>
      </c>
      <c r="S146" s="143">
        <f t="shared" ca="1" si="63"/>
        <v>0</v>
      </c>
      <c r="T146" s="143">
        <f t="shared" ca="1" si="63"/>
        <v>0</v>
      </c>
      <c r="U146" s="143">
        <f t="shared" ca="1" si="63"/>
        <v>0</v>
      </c>
      <c r="V146" s="143">
        <f t="shared" ca="1" si="63"/>
        <v>0</v>
      </c>
      <c r="W146" s="143">
        <f t="shared" ca="1" si="63"/>
        <v>0</v>
      </c>
      <c r="X146" s="143">
        <f t="shared" ca="1" si="63"/>
        <v>0</v>
      </c>
      <c r="Y146" s="143">
        <f t="shared" ref="Y146" ca="1" si="64">Y109-Y108</f>
        <v>0</v>
      </c>
      <c r="Z146" s="34"/>
      <c r="AA146" s="34"/>
      <c r="AB146" s="34"/>
      <c r="AC146" s="34"/>
    </row>
    <row r="147" spans="1:29" customFormat="1">
      <c r="A147" s="34"/>
      <c r="B147" s="34"/>
      <c r="C147" s="34"/>
      <c r="D147" s="34" t="s">
        <v>1046</v>
      </c>
      <c r="E147" s="143">
        <f t="shared" ref="E147:X147" ca="1" si="65">E110-E109</f>
        <v>0</v>
      </c>
      <c r="F147" s="143">
        <f t="shared" ca="1" si="65"/>
        <v>0</v>
      </c>
      <c r="G147" s="143">
        <f t="shared" ca="1" si="65"/>
        <v>0</v>
      </c>
      <c r="H147" s="143">
        <f t="shared" ca="1" si="65"/>
        <v>0</v>
      </c>
      <c r="I147" s="143">
        <f t="shared" ca="1" si="65"/>
        <v>0</v>
      </c>
      <c r="J147" s="143">
        <f t="shared" ca="1" si="65"/>
        <v>0</v>
      </c>
      <c r="K147" s="143">
        <f t="shared" ca="1" si="65"/>
        <v>0</v>
      </c>
      <c r="L147" s="143">
        <f t="shared" ca="1" si="65"/>
        <v>0</v>
      </c>
      <c r="M147" s="143">
        <f t="shared" ca="1" si="65"/>
        <v>0</v>
      </c>
      <c r="N147" s="143">
        <f t="shared" ca="1" si="65"/>
        <v>0</v>
      </c>
      <c r="O147" s="143">
        <f t="shared" ca="1" si="65"/>
        <v>0</v>
      </c>
      <c r="P147" s="143">
        <f t="shared" ca="1" si="65"/>
        <v>0</v>
      </c>
      <c r="Q147" s="143">
        <f t="shared" ca="1" si="65"/>
        <v>0</v>
      </c>
      <c r="R147" s="143">
        <f t="shared" ca="1" si="65"/>
        <v>0</v>
      </c>
      <c r="S147" s="143">
        <f t="shared" ca="1" si="65"/>
        <v>0</v>
      </c>
      <c r="T147" s="143">
        <f t="shared" ca="1" si="65"/>
        <v>0</v>
      </c>
      <c r="U147" s="143">
        <f t="shared" ca="1" si="65"/>
        <v>0</v>
      </c>
      <c r="V147" s="143">
        <f t="shared" ca="1" si="65"/>
        <v>0</v>
      </c>
      <c r="W147" s="143">
        <f t="shared" ca="1" si="65"/>
        <v>0</v>
      </c>
      <c r="X147" s="143">
        <f t="shared" ca="1" si="65"/>
        <v>0</v>
      </c>
      <c r="Y147" s="143">
        <f t="shared" ref="Y147" ca="1" si="66">Y110-Y109</f>
        <v>0</v>
      </c>
      <c r="Z147" s="34"/>
      <c r="AA147" s="34"/>
      <c r="AB147" s="34"/>
      <c r="AC147" s="34"/>
    </row>
    <row r="148" spans="1:29" customFormat="1">
      <c r="A148" s="34"/>
      <c r="B148" s="34"/>
      <c r="C148" s="34"/>
      <c r="D148" s="34" t="s">
        <v>1049</v>
      </c>
      <c r="E148" s="143">
        <f t="shared" ref="E148:X148" ca="1" si="67">E111-E110</f>
        <v>0</v>
      </c>
      <c r="F148" s="143">
        <f t="shared" ca="1" si="67"/>
        <v>0</v>
      </c>
      <c r="G148" s="143">
        <f t="shared" ca="1" si="67"/>
        <v>0</v>
      </c>
      <c r="H148" s="143">
        <f t="shared" ca="1" si="67"/>
        <v>0</v>
      </c>
      <c r="I148" s="143">
        <f t="shared" ca="1" si="67"/>
        <v>0</v>
      </c>
      <c r="J148" s="143">
        <f t="shared" ca="1" si="67"/>
        <v>0</v>
      </c>
      <c r="K148" s="143">
        <f t="shared" ca="1" si="67"/>
        <v>0</v>
      </c>
      <c r="L148" s="143">
        <f t="shared" ca="1" si="67"/>
        <v>0</v>
      </c>
      <c r="M148" s="143">
        <f t="shared" ca="1" si="67"/>
        <v>0</v>
      </c>
      <c r="N148" s="143">
        <f t="shared" ca="1" si="67"/>
        <v>0</v>
      </c>
      <c r="O148" s="143">
        <f t="shared" ca="1" si="67"/>
        <v>0</v>
      </c>
      <c r="P148" s="143">
        <f t="shared" ca="1" si="67"/>
        <v>0</v>
      </c>
      <c r="Q148" s="143">
        <f t="shared" ca="1" si="67"/>
        <v>0</v>
      </c>
      <c r="R148" s="143">
        <f t="shared" ca="1" si="67"/>
        <v>0</v>
      </c>
      <c r="S148" s="143">
        <f t="shared" ca="1" si="67"/>
        <v>0</v>
      </c>
      <c r="T148" s="143">
        <f t="shared" ca="1" si="67"/>
        <v>0</v>
      </c>
      <c r="U148" s="143">
        <f t="shared" ca="1" si="67"/>
        <v>0</v>
      </c>
      <c r="V148" s="143">
        <f t="shared" ca="1" si="67"/>
        <v>0</v>
      </c>
      <c r="W148" s="143">
        <f t="shared" ca="1" si="67"/>
        <v>0</v>
      </c>
      <c r="X148" s="143">
        <f t="shared" ca="1" si="67"/>
        <v>0</v>
      </c>
      <c r="Y148" s="143">
        <f t="shared" ref="Y148" ca="1" si="68">Y111-Y110</f>
        <v>0</v>
      </c>
      <c r="Z148" s="34"/>
      <c r="AA148" s="34"/>
      <c r="AB148" s="34"/>
      <c r="AC148" s="34"/>
    </row>
    <row r="149" spans="1:29" customFormat="1">
      <c r="A149" s="34"/>
      <c r="B149" s="34"/>
      <c r="C149" s="34"/>
      <c r="D149" s="34" t="s">
        <v>1052</v>
      </c>
      <c r="E149" s="143">
        <f t="shared" ref="E149:X149" ca="1" si="69">E112-E111</f>
        <v>0</v>
      </c>
      <c r="F149" s="143">
        <f t="shared" ca="1" si="69"/>
        <v>0</v>
      </c>
      <c r="G149" s="143">
        <f t="shared" ca="1" si="69"/>
        <v>0</v>
      </c>
      <c r="H149" s="143">
        <f t="shared" ca="1" si="69"/>
        <v>0</v>
      </c>
      <c r="I149" s="143">
        <f t="shared" ca="1" si="69"/>
        <v>0</v>
      </c>
      <c r="J149" s="143">
        <f t="shared" ca="1" si="69"/>
        <v>0</v>
      </c>
      <c r="K149" s="143">
        <f t="shared" ca="1" si="69"/>
        <v>0</v>
      </c>
      <c r="L149" s="143">
        <f t="shared" ca="1" si="69"/>
        <v>0</v>
      </c>
      <c r="M149" s="143">
        <f t="shared" ca="1" si="69"/>
        <v>0</v>
      </c>
      <c r="N149" s="143">
        <f t="shared" ca="1" si="69"/>
        <v>0</v>
      </c>
      <c r="O149" s="143">
        <f t="shared" ca="1" si="69"/>
        <v>0</v>
      </c>
      <c r="P149" s="143">
        <f t="shared" ca="1" si="69"/>
        <v>0</v>
      </c>
      <c r="Q149" s="143">
        <f t="shared" ca="1" si="69"/>
        <v>0</v>
      </c>
      <c r="R149" s="143">
        <f t="shared" ca="1" si="69"/>
        <v>0</v>
      </c>
      <c r="S149" s="143">
        <f t="shared" ca="1" si="69"/>
        <v>0</v>
      </c>
      <c r="T149" s="143">
        <f t="shared" ca="1" si="69"/>
        <v>0</v>
      </c>
      <c r="U149" s="143">
        <f t="shared" ca="1" si="69"/>
        <v>0</v>
      </c>
      <c r="V149" s="143">
        <f t="shared" ca="1" si="69"/>
        <v>0</v>
      </c>
      <c r="W149" s="143">
        <f t="shared" ca="1" si="69"/>
        <v>0</v>
      </c>
      <c r="X149" s="143">
        <f t="shared" ca="1" si="69"/>
        <v>0</v>
      </c>
      <c r="Y149" s="143">
        <f t="shared" ref="Y149" ca="1" si="70">Y112-Y111</f>
        <v>0</v>
      </c>
      <c r="Z149" s="34"/>
      <c r="AA149" s="34"/>
      <c r="AB149" s="34"/>
      <c r="AC149" s="34"/>
    </row>
    <row r="150" spans="1:29" customFormat="1">
      <c r="A150" s="34"/>
      <c r="B150" s="34"/>
      <c r="C150" s="34"/>
      <c r="D150" s="34" t="s">
        <v>1302</v>
      </c>
      <c r="E150" s="143">
        <f t="shared" ref="E150:X150" ca="1" si="71">E113-E112</f>
        <v>0</v>
      </c>
      <c r="F150" s="143">
        <f t="shared" ca="1" si="71"/>
        <v>0</v>
      </c>
      <c r="G150" s="143">
        <f t="shared" ca="1" si="71"/>
        <v>0</v>
      </c>
      <c r="H150" s="143">
        <f t="shared" ca="1" si="71"/>
        <v>0</v>
      </c>
      <c r="I150" s="143">
        <f t="shared" ca="1" si="71"/>
        <v>0</v>
      </c>
      <c r="J150" s="143">
        <f t="shared" ca="1" si="71"/>
        <v>0</v>
      </c>
      <c r="K150" s="143">
        <f t="shared" ca="1" si="71"/>
        <v>0</v>
      </c>
      <c r="L150" s="143">
        <f t="shared" ca="1" si="71"/>
        <v>0</v>
      </c>
      <c r="M150" s="143">
        <f t="shared" ca="1" si="71"/>
        <v>0</v>
      </c>
      <c r="N150" s="143">
        <f t="shared" ca="1" si="71"/>
        <v>0</v>
      </c>
      <c r="O150" s="143">
        <f t="shared" ca="1" si="71"/>
        <v>0</v>
      </c>
      <c r="P150" s="143">
        <f t="shared" ca="1" si="71"/>
        <v>0</v>
      </c>
      <c r="Q150" s="143">
        <f t="shared" ca="1" si="71"/>
        <v>0</v>
      </c>
      <c r="R150" s="143">
        <f t="shared" ca="1" si="71"/>
        <v>0</v>
      </c>
      <c r="S150" s="143">
        <f t="shared" ca="1" si="71"/>
        <v>0</v>
      </c>
      <c r="T150" s="143">
        <f t="shared" ca="1" si="71"/>
        <v>0</v>
      </c>
      <c r="U150" s="143">
        <f t="shared" ca="1" si="71"/>
        <v>0</v>
      </c>
      <c r="V150" s="143">
        <f t="shared" ca="1" si="71"/>
        <v>0</v>
      </c>
      <c r="W150" s="143">
        <f t="shared" ca="1" si="71"/>
        <v>0</v>
      </c>
      <c r="X150" s="143">
        <f t="shared" ca="1" si="71"/>
        <v>0</v>
      </c>
      <c r="Y150" s="143">
        <f t="shared" ref="Y150" ca="1" si="72">Y113-Y112</f>
        <v>0</v>
      </c>
      <c r="Z150" s="34"/>
      <c r="AA150" s="34"/>
      <c r="AB150" s="34"/>
      <c r="AC150" s="34"/>
    </row>
    <row r="151" spans="1:29" customFormat="1">
      <c r="A151" s="34"/>
      <c r="B151" s="34"/>
      <c r="C151" s="34"/>
      <c r="D151" s="34" t="s">
        <v>1304</v>
      </c>
      <c r="E151" s="143">
        <f t="shared" ref="E151:X151" ca="1" si="73">E114-E113</f>
        <v>0</v>
      </c>
      <c r="F151" s="143">
        <f t="shared" ca="1" si="73"/>
        <v>0</v>
      </c>
      <c r="G151" s="143">
        <f t="shared" ca="1" si="73"/>
        <v>0</v>
      </c>
      <c r="H151" s="143">
        <f t="shared" ca="1" si="73"/>
        <v>0</v>
      </c>
      <c r="I151" s="143">
        <f t="shared" ca="1" si="73"/>
        <v>0</v>
      </c>
      <c r="J151" s="143">
        <f t="shared" ca="1" si="73"/>
        <v>0</v>
      </c>
      <c r="K151" s="143">
        <f t="shared" ca="1" si="73"/>
        <v>0</v>
      </c>
      <c r="L151" s="143">
        <f t="shared" ca="1" si="73"/>
        <v>0</v>
      </c>
      <c r="M151" s="143">
        <f t="shared" ca="1" si="73"/>
        <v>0</v>
      </c>
      <c r="N151" s="143">
        <f t="shared" ca="1" si="73"/>
        <v>0</v>
      </c>
      <c r="O151" s="143">
        <f t="shared" ca="1" si="73"/>
        <v>0</v>
      </c>
      <c r="P151" s="143">
        <f t="shared" ca="1" si="73"/>
        <v>0</v>
      </c>
      <c r="Q151" s="143">
        <f t="shared" ca="1" si="73"/>
        <v>0</v>
      </c>
      <c r="R151" s="143">
        <f t="shared" ca="1" si="73"/>
        <v>0</v>
      </c>
      <c r="S151" s="143">
        <f t="shared" ca="1" si="73"/>
        <v>0</v>
      </c>
      <c r="T151" s="143">
        <f t="shared" ca="1" si="73"/>
        <v>0</v>
      </c>
      <c r="U151" s="143">
        <f t="shared" ca="1" si="73"/>
        <v>0</v>
      </c>
      <c r="V151" s="143">
        <f t="shared" ca="1" si="73"/>
        <v>0</v>
      </c>
      <c r="W151" s="143">
        <f t="shared" ca="1" si="73"/>
        <v>0</v>
      </c>
      <c r="X151" s="143">
        <f t="shared" ca="1" si="73"/>
        <v>0</v>
      </c>
      <c r="Y151" s="143">
        <f t="shared" ref="Y151" ca="1" si="74">Y114-Y113</f>
        <v>0</v>
      </c>
      <c r="Z151" s="34"/>
      <c r="AA151" s="34"/>
      <c r="AB151" s="34"/>
      <c r="AC151" s="34"/>
    </row>
    <row r="152" spans="1:29" customFormat="1">
      <c r="A152" s="34"/>
      <c r="B152" s="34"/>
      <c r="C152" s="34"/>
      <c r="D152" s="34" t="s">
        <v>1307</v>
      </c>
      <c r="E152" s="143">
        <f t="shared" ref="E152:X152" ca="1" si="75">E115-E114</f>
        <v>0</v>
      </c>
      <c r="F152" s="143">
        <f t="shared" ca="1" si="75"/>
        <v>0</v>
      </c>
      <c r="G152" s="143">
        <f t="shared" ca="1" si="75"/>
        <v>0</v>
      </c>
      <c r="H152" s="143">
        <f t="shared" ca="1" si="75"/>
        <v>0</v>
      </c>
      <c r="I152" s="143">
        <f t="shared" ca="1" si="75"/>
        <v>0</v>
      </c>
      <c r="J152" s="143">
        <f t="shared" ca="1" si="75"/>
        <v>0</v>
      </c>
      <c r="K152" s="143">
        <f t="shared" ca="1" si="75"/>
        <v>0</v>
      </c>
      <c r="L152" s="143">
        <f t="shared" ca="1" si="75"/>
        <v>0</v>
      </c>
      <c r="M152" s="143">
        <f t="shared" ca="1" si="75"/>
        <v>0</v>
      </c>
      <c r="N152" s="143">
        <f t="shared" ca="1" si="75"/>
        <v>0</v>
      </c>
      <c r="O152" s="143">
        <f t="shared" ca="1" si="75"/>
        <v>0</v>
      </c>
      <c r="P152" s="143">
        <f t="shared" ca="1" si="75"/>
        <v>0</v>
      </c>
      <c r="Q152" s="143">
        <f t="shared" ca="1" si="75"/>
        <v>0</v>
      </c>
      <c r="R152" s="143">
        <f t="shared" ca="1" si="75"/>
        <v>0</v>
      </c>
      <c r="S152" s="143">
        <f t="shared" ca="1" si="75"/>
        <v>0</v>
      </c>
      <c r="T152" s="143">
        <f t="shared" ca="1" si="75"/>
        <v>0</v>
      </c>
      <c r="U152" s="143">
        <f t="shared" ca="1" si="75"/>
        <v>0</v>
      </c>
      <c r="V152" s="143">
        <f t="shared" ca="1" si="75"/>
        <v>0</v>
      </c>
      <c r="W152" s="143">
        <f t="shared" ca="1" si="75"/>
        <v>0</v>
      </c>
      <c r="X152" s="143">
        <f t="shared" ca="1" si="75"/>
        <v>0</v>
      </c>
      <c r="Y152" s="143">
        <f t="shared" ref="Y152" ca="1" si="76">Y115-Y114</f>
        <v>0</v>
      </c>
      <c r="Z152" s="34"/>
      <c r="AA152" s="34"/>
      <c r="AB152" s="34"/>
      <c r="AC152" s="34"/>
    </row>
    <row r="153" spans="1:29" customFormat="1">
      <c r="A153" s="34"/>
      <c r="B153" s="34"/>
      <c r="C153" s="34"/>
      <c r="D153" s="34" t="s">
        <v>1310</v>
      </c>
      <c r="E153" s="143">
        <f t="shared" ref="E153:X153" ca="1" si="77">E116-E115</f>
        <v>0</v>
      </c>
      <c r="F153" s="143">
        <f t="shared" ca="1" si="77"/>
        <v>0</v>
      </c>
      <c r="G153" s="143">
        <f t="shared" ca="1" si="77"/>
        <v>0</v>
      </c>
      <c r="H153" s="143">
        <f t="shared" ca="1" si="77"/>
        <v>0</v>
      </c>
      <c r="I153" s="143">
        <f t="shared" ca="1" si="77"/>
        <v>0</v>
      </c>
      <c r="J153" s="143">
        <f t="shared" ca="1" si="77"/>
        <v>0</v>
      </c>
      <c r="K153" s="143">
        <f t="shared" ca="1" si="77"/>
        <v>0</v>
      </c>
      <c r="L153" s="143">
        <f t="shared" ca="1" si="77"/>
        <v>0</v>
      </c>
      <c r="M153" s="143">
        <f t="shared" ca="1" si="77"/>
        <v>0</v>
      </c>
      <c r="N153" s="143">
        <f t="shared" ca="1" si="77"/>
        <v>0</v>
      </c>
      <c r="O153" s="143">
        <f t="shared" ca="1" si="77"/>
        <v>0</v>
      </c>
      <c r="P153" s="143">
        <f t="shared" ca="1" si="77"/>
        <v>0</v>
      </c>
      <c r="Q153" s="143">
        <f t="shared" ca="1" si="77"/>
        <v>0</v>
      </c>
      <c r="R153" s="143">
        <f t="shared" ca="1" si="77"/>
        <v>0</v>
      </c>
      <c r="S153" s="143">
        <f t="shared" ca="1" si="77"/>
        <v>0</v>
      </c>
      <c r="T153" s="143">
        <f t="shared" ca="1" si="77"/>
        <v>0</v>
      </c>
      <c r="U153" s="143">
        <f t="shared" ca="1" si="77"/>
        <v>0</v>
      </c>
      <c r="V153" s="143">
        <f t="shared" ca="1" si="77"/>
        <v>0</v>
      </c>
      <c r="W153" s="143">
        <f t="shared" ca="1" si="77"/>
        <v>0</v>
      </c>
      <c r="X153" s="143">
        <f t="shared" ca="1" si="77"/>
        <v>0</v>
      </c>
      <c r="Y153" s="143">
        <f t="shared" ref="Y153" ca="1" si="78">Y116-Y115</f>
        <v>0</v>
      </c>
      <c r="Z153" s="34"/>
      <c r="AA153" s="34"/>
      <c r="AB153" s="34"/>
      <c r="AC153" s="34"/>
    </row>
    <row r="154" spans="1:29" customFormat="1">
      <c r="A154" s="34"/>
      <c r="B154" s="34"/>
      <c r="C154" s="34"/>
      <c r="D154" s="34" t="s">
        <v>1313</v>
      </c>
      <c r="E154" s="143">
        <f t="shared" ref="E154:X154" ca="1" si="79">E117-E116</f>
        <v>0</v>
      </c>
      <c r="F154" s="143">
        <f t="shared" ca="1" si="79"/>
        <v>0</v>
      </c>
      <c r="G154" s="143">
        <f t="shared" ca="1" si="79"/>
        <v>0</v>
      </c>
      <c r="H154" s="143">
        <f t="shared" ca="1" si="79"/>
        <v>0</v>
      </c>
      <c r="I154" s="143">
        <f t="shared" ca="1" si="79"/>
        <v>0</v>
      </c>
      <c r="J154" s="143">
        <f t="shared" ca="1" si="79"/>
        <v>0</v>
      </c>
      <c r="K154" s="143">
        <f t="shared" ca="1" si="79"/>
        <v>0</v>
      </c>
      <c r="L154" s="143">
        <f t="shared" ca="1" si="79"/>
        <v>0</v>
      </c>
      <c r="M154" s="143">
        <f t="shared" ca="1" si="79"/>
        <v>0</v>
      </c>
      <c r="N154" s="143">
        <f t="shared" ca="1" si="79"/>
        <v>0</v>
      </c>
      <c r="O154" s="143">
        <f t="shared" ca="1" si="79"/>
        <v>0</v>
      </c>
      <c r="P154" s="143">
        <f t="shared" ca="1" si="79"/>
        <v>0</v>
      </c>
      <c r="Q154" s="143">
        <f t="shared" ca="1" si="79"/>
        <v>0</v>
      </c>
      <c r="R154" s="143">
        <f t="shared" ca="1" si="79"/>
        <v>0</v>
      </c>
      <c r="S154" s="143">
        <f t="shared" ca="1" si="79"/>
        <v>0</v>
      </c>
      <c r="T154" s="143">
        <f t="shared" ca="1" si="79"/>
        <v>0</v>
      </c>
      <c r="U154" s="143">
        <f t="shared" ca="1" si="79"/>
        <v>0</v>
      </c>
      <c r="V154" s="143">
        <f t="shared" ca="1" si="79"/>
        <v>0</v>
      </c>
      <c r="W154" s="143">
        <f t="shared" ca="1" si="79"/>
        <v>0</v>
      </c>
      <c r="X154" s="143">
        <f t="shared" ca="1" si="79"/>
        <v>0</v>
      </c>
      <c r="Y154" s="143">
        <f t="shared" ref="Y154" ca="1" si="80">Y117-Y116</f>
        <v>0</v>
      </c>
      <c r="Z154" s="34"/>
      <c r="AA154" s="34"/>
      <c r="AB154" s="34"/>
      <c r="AC154" s="34"/>
    </row>
    <row r="155" spans="1:29" customFormat="1">
      <c r="A155" s="34"/>
      <c r="B155" s="34"/>
      <c r="C155" s="34"/>
      <c r="D155" s="34" t="s">
        <v>1316</v>
      </c>
      <c r="E155" s="143">
        <f t="shared" ref="E155:X155" ca="1" si="81">E118-E117</f>
        <v>0</v>
      </c>
      <c r="F155" s="143">
        <f t="shared" ca="1" si="81"/>
        <v>0</v>
      </c>
      <c r="G155" s="143">
        <f t="shared" ca="1" si="81"/>
        <v>0</v>
      </c>
      <c r="H155" s="143">
        <f t="shared" ca="1" si="81"/>
        <v>0</v>
      </c>
      <c r="I155" s="143">
        <f t="shared" ca="1" si="81"/>
        <v>0</v>
      </c>
      <c r="J155" s="143">
        <f t="shared" ca="1" si="81"/>
        <v>0</v>
      </c>
      <c r="K155" s="143">
        <f t="shared" ca="1" si="81"/>
        <v>0</v>
      </c>
      <c r="L155" s="143">
        <f t="shared" ca="1" si="81"/>
        <v>0</v>
      </c>
      <c r="M155" s="143">
        <f t="shared" ca="1" si="81"/>
        <v>0</v>
      </c>
      <c r="N155" s="143">
        <f t="shared" ca="1" si="81"/>
        <v>0</v>
      </c>
      <c r="O155" s="143">
        <f t="shared" ca="1" si="81"/>
        <v>0</v>
      </c>
      <c r="P155" s="143">
        <f t="shared" ca="1" si="81"/>
        <v>0</v>
      </c>
      <c r="Q155" s="143">
        <f t="shared" ca="1" si="81"/>
        <v>0</v>
      </c>
      <c r="R155" s="143">
        <f t="shared" ca="1" si="81"/>
        <v>0</v>
      </c>
      <c r="S155" s="143">
        <f t="shared" ca="1" si="81"/>
        <v>0</v>
      </c>
      <c r="T155" s="143">
        <f t="shared" ca="1" si="81"/>
        <v>0</v>
      </c>
      <c r="U155" s="143">
        <f t="shared" ca="1" si="81"/>
        <v>0</v>
      </c>
      <c r="V155" s="143">
        <f t="shared" ca="1" si="81"/>
        <v>0</v>
      </c>
      <c r="W155" s="143">
        <f t="shared" ca="1" si="81"/>
        <v>0</v>
      </c>
      <c r="X155" s="143">
        <f t="shared" ca="1" si="81"/>
        <v>0</v>
      </c>
      <c r="Y155" s="143">
        <f t="shared" ref="Y155" ca="1" si="82">Y118-Y117</f>
        <v>0</v>
      </c>
      <c r="Z155" s="34"/>
      <c r="AA155" s="34"/>
      <c r="AB155" s="34"/>
      <c r="AC155" s="34"/>
    </row>
    <row r="156" spans="1:29" customFormat="1">
      <c r="A156" s="34"/>
      <c r="B156" s="34"/>
      <c r="C156" s="34"/>
      <c r="D156" s="34" t="s">
        <v>1319</v>
      </c>
      <c r="E156" s="143">
        <f t="shared" ref="E156:X156" ca="1" si="83">E119-E118</f>
        <v>0</v>
      </c>
      <c r="F156" s="143">
        <f t="shared" ca="1" si="83"/>
        <v>0</v>
      </c>
      <c r="G156" s="143">
        <f t="shared" ca="1" si="83"/>
        <v>0</v>
      </c>
      <c r="H156" s="143">
        <f t="shared" ca="1" si="83"/>
        <v>0</v>
      </c>
      <c r="I156" s="143">
        <f t="shared" ca="1" si="83"/>
        <v>0</v>
      </c>
      <c r="J156" s="143">
        <f t="shared" ca="1" si="83"/>
        <v>0</v>
      </c>
      <c r="K156" s="143">
        <f t="shared" ca="1" si="83"/>
        <v>0</v>
      </c>
      <c r="L156" s="143">
        <f t="shared" ca="1" si="83"/>
        <v>0</v>
      </c>
      <c r="M156" s="143">
        <f t="shared" ca="1" si="83"/>
        <v>0</v>
      </c>
      <c r="N156" s="143">
        <f t="shared" ca="1" si="83"/>
        <v>0</v>
      </c>
      <c r="O156" s="143">
        <f t="shared" ca="1" si="83"/>
        <v>0</v>
      </c>
      <c r="P156" s="143">
        <f t="shared" ca="1" si="83"/>
        <v>0</v>
      </c>
      <c r="Q156" s="143">
        <f t="shared" ca="1" si="83"/>
        <v>0</v>
      </c>
      <c r="R156" s="143">
        <f t="shared" ca="1" si="83"/>
        <v>0</v>
      </c>
      <c r="S156" s="143">
        <f t="shared" ca="1" si="83"/>
        <v>0</v>
      </c>
      <c r="T156" s="143">
        <f t="shared" ca="1" si="83"/>
        <v>0</v>
      </c>
      <c r="U156" s="143">
        <f t="shared" ca="1" si="83"/>
        <v>0</v>
      </c>
      <c r="V156" s="143">
        <f t="shared" ca="1" si="83"/>
        <v>0</v>
      </c>
      <c r="W156" s="143">
        <f t="shared" ca="1" si="83"/>
        <v>0</v>
      </c>
      <c r="X156" s="143">
        <f t="shared" ca="1" si="83"/>
        <v>0</v>
      </c>
      <c r="Y156" s="143">
        <f t="shared" ref="Y156" ca="1" si="84">Y119-Y118</f>
        <v>0</v>
      </c>
      <c r="Z156" s="34"/>
      <c r="AA156" s="34"/>
      <c r="AB156" s="34"/>
      <c r="AC156" s="34"/>
    </row>
    <row r="157" spans="1:29" customFormat="1">
      <c r="A157" s="34"/>
      <c r="B157" s="34"/>
      <c r="C157" s="34"/>
      <c r="D157" s="34" t="s">
        <v>1322</v>
      </c>
      <c r="E157" s="143">
        <f t="shared" ref="E157:X157" ca="1" si="85">E120-E119</f>
        <v>0</v>
      </c>
      <c r="F157" s="143">
        <f t="shared" ca="1" si="85"/>
        <v>0</v>
      </c>
      <c r="G157" s="143">
        <f t="shared" ca="1" si="85"/>
        <v>0</v>
      </c>
      <c r="H157" s="143">
        <f t="shared" ca="1" si="85"/>
        <v>0</v>
      </c>
      <c r="I157" s="143">
        <f t="shared" ca="1" si="85"/>
        <v>0</v>
      </c>
      <c r="J157" s="143">
        <f t="shared" ca="1" si="85"/>
        <v>0</v>
      </c>
      <c r="K157" s="143">
        <f t="shared" ca="1" si="85"/>
        <v>0</v>
      </c>
      <c r="L157" s="143">
        <f t="shared" ca="1" si="85"/>
        <v>0</v>
      </c>
      <c r="M157" s="143">
        <f t="shared" ca="1" si="85"/>
        <v>0</v>
      </c>
      <c r="N157" s="143">
        <f t="shared" ca="1" si="85"/>
        <v>0</v>
      </c>
      <c r="O157" s="143">
        <f t="shared" ca="1" si="85"/>
        <v>0</v>
      </c>
      <c r="P157" s="143">
        <f t="shared" ca="1" si="85"/>
        <v>0</v>
      </c>
      <c r="Q157" s="143">
        <f t="shared" ca="1" si="85"/>
        <v>0</v>
      </c>
      <c r="R157" s="143">
        <f t="shared" ca="1" si="85"/>
        <v>0</v>
      </c>
      <c r="S157" s="143">
        <f t="shared" ca="1" si="85"/>
        <v>0</v>
      </c>
      <c r="T157" s="143">
        <f t="shared" ca="1" si="85"/>
        <v>0</v>
      </c>
      <c r="U157" s="143">
        <f t="shared" ca="1" si="85"/>
        <v>0</v>
      </c>
      <c r="V157" s="143">
        <f t="shared" ca="1" si="85"/>
        <v>0</v>
      </c>
      <c r="W157" s="143">
        <f t="shared" ca="1" si="85"/>
        <v>0</v>
      </c>
      <c r="X157" s="143">
        <f t="shared" ca="1" si="85"/>
        <v>0</v>
      </c>
      <c r="Y157" s="143">
        <f t="shared" ref="Y157" ca="1" si="86">Y120-Y119</f>
        <v>0</v>
      </c>
      <c r="Z157" s="34"/>
      <c r="AA157" s="34"/>
      <c r="AB157" s="34"/>
      <c r="AC157" s="34"/>
    </row>
    <row r="158" spans="1:29" customFormat="1">
      <c r="A158" s="34"/>
      <c r="B158" s="34"/>
      <c r="C158" s="34"/>
      <c r="D158" s="34" t="s">
        <v>1325</v>
      </c>
      <c r="E158" s="143">
        <f t="shared" ref="E158:X158" ca="1" si="87">E121-E120</f>
        <v>0</v>
      </c>
      <c r="F158" s="143">
        <f t="shared" ca="1" si="87"/>
        <v>0</v>
      </c>
      <c r="G158" s="143">
        <f t="shared" ca="1" si="87"/>
        <v>0</v>
      </c>
      <c r="H158" s="143">
        <f t="shared" ca="1" si="87"/>
        <v>0</v>
      </c>
      <c r="I158" s="143">
        <f t="shared" ca="1" si="87"/>
        <v>0</v>
      </c>
      <c r="J158" s="143">
        <f t="shared" ca="1" si="87"/>
        <v>0</v>
      </c>
      <c r="K158" s="143">
        <f t="shared" ca="1" si="87"/>
        <v>0</v>
      </c>
      <c r="L158" s="143">
        <f t="shared" ca="1" si="87"/>
        <v>0</v>
      </c>
      <c r="M158" s="143">
        <f t="shared" ca="1" si="87"/>
        <v>0</v>
      </c>
      <c r="N158" s="143">
        <f t="shared" ca="1" si="87"/>
        <v>0</v>
      </c>
      <c r="O158" s="143">
        <f t="shared" ca="1" si="87"/>
        <v>0</v>
      </c>
      <c r="P158" s="143">
        <f t="shared" ca="1" si="87"/>
        <v>0</v>
      </c>
      <c r="Q158" s="143">
        <f t="shared" ca="1" si="87"/>
        <v>0</v>
      </c>
      <c r="R158" s="143">
        <f t="shared" ca="1" si="87"/>
        <v>0</v>
      </c>
      <c r="S158" s="143">
        <f t="shared" ca="1" si="87"/>
        <v>0</v>
      </c>
      <c r="T158" s="143">
        <f t="shared" ca="1" si="87"/>
        <v>0</v>
      </c>
      <c r="U158" s="143">
        <f t="shared" ca="1" si="87"/>
        <v>0</v>
      </c>
      <c r="V158" s="143">
        <f t="shared" ca="1" si="87"/>
        <v>0</v>
      </c>
      <c r="W158" s="143">
        <f t="shared" ca="1" si="87"/>
        <v>0</v>
      </c>
      <c r="X158" s="143">
        <f t="shared" ca="1" si="87"/>
        <v>0</v>
      </c>
      <c r="Y158" s="143">
        <f t="shared" ref="Y158" ca="1" si="88">Y121-Y120</f>
        <v>0</v>
      </c>
      <c r="Z158" s="34"/>
      <c r="AA158" s="34"/>
      <c r="AB158" s="34"/>
      <c r="AC158" s="34"/>
    </row>
    <row r="159" spans="1:29" customFormat="1">
      <c r="A159" s="34"/>
      <c r="B159" s="34"/>
      <c r="C159" s="34"/>
      <c r="D159" s="34" t="s">
        <v>1328</v>
      </c>
      <c r="E159" s="143">
        <f t="shared" ref="E159:X159" ca="1" si="89">E122-E121</f>
        <v>0</v>
      </c>
      <c r="F159" s="143">
        <f t="shared" ca="1" si="89"/>
        <v>0</v>
      </c>
      <c r="G159" s="143">
        <f t="shared" ca="1" si="89"/>
        <v>0</v>
      </c>
      <c r="H159" s="143">
        <f t="shared" ca="1" si="89"/>
        <v>0</v>
      </c>
      <c r="I159" s="143">
        <f t="shared" ca="1" si="89"/>
        <v>0</v>
      </c>
      <c r="J159" s="143">
        <f t="shared" ca="1" si="89"/>
        <v>0</v>
      </c>
      <c r="K159" s="143">
        <f t="shared" ca="1" si="89"/>
        <v>0</v>
      </c>
      <c r="L159" s="143">
        <f t="shared" ca="1" si="89"/>
        <v>0</v>
      </c>
      <c r="M159" s="143">
        <f t="shared" ca="1" si="89"/>
        <v>0</v>
      </c>
      <c r="N159" s="143">
        <f t="shared" ca="1" si="89"/>
        <v>0</v>
      </c>
      <c r="O159" s="143">
        <f t="shared" ca="1" si="89"/>
        <v>0</v>
      </c>
      <c r="P159" s="143">
        <f t="shared" ca="1" si="89"/>
        <v>0</v>
      </c>
      <c r="Q159" s="143">
        <f t="shared" ca="1" si="89"/>
        <v>0</v>
      </c>
      <c r="R159" s="143">
        <f t="shared" ca="1" si="89"/>
        <v>0</v>
      </c>
      <c r="S159" s="143">
        <f t="shared" ca="1" si="89"/>
        <v>0</v>
      </c>
      <c r="T159" s="143">
        <f t="shared" ca="1" si="89"/>
        <v>0</v>
      </c>
      <c r="U159" s="143">
        <f t="shared" ca="1" si="89"/>
        <v>0</v>
      </c>
      <c r="V159" s="143">
        <f t="shared" ca="1" si="89"/>
        <v>0</v>
      </c>
      <c r="W159" s="143">
        <f t="shared" ca="1" si="89"/>
        <v>0</v>
      </c>
      <c r="X159" s="143">
        <f t="shared" ca="1" si="89"/>
        <v>0</v>
      </c>
      <c r="Y159" s="143">
        <f t="shared" ref="Y159" ca="1" si="90">Y122-Y121</f>
        <v>0</v>
      </c>
      <c r="Z159" s="34"/>
      <c r="AA159" s="34"/>
      <c r="AB159" s="34"/>
      <c r="AC159" s="34"/>
    </row>
    <row r="160" spans="1:29" customFormat="1">
      <c r="A160" s="34"/>
      <c r="B160" s="34"/>
      <c r="C160" s="34"/>
      <c r="D160" s="34" t="s">
        <v>1331</v>
      </c>
      <c r="E160" s="143">
        <f t="shared" ref="E160:X160" ca="1" si="91">E123-E122</f>
        <v>0</v>
      </c>
      <c r="F160" s="143">
        <f t="shared" ca="1" si="91"/>
        <v>0</v>
      </c>
      <c r="G160" s="143">
        <f t="shared" ca="1" si="91"/>
        <v>0</v>
      </c>
      <c r="H160" s="143">
        <f t="shared" ca="1" si="91"/>
        <v>0</v>
      </c>
      <c r="I160" s="143">
        <f ca="1">I123-I122</f>
        <v>0</v>
      </c>
      <c r="J160" s="143">
        <f t="shared" ca="1" si="91"/>
        <v>0</v>
      </c>
      <c r="K160" s="143">
        <f t="shared" ca="1" si="91"/>
        <v>0</v>
      </c>
      <c r="L160" s="143">
        <f t="shared" ca="1" si="91"/>
        <v>0</v>
      </c>
      <c r="M160" s="143">
        <f t="shared" ca="1" si="91"/>
        <v>0</v>
      </c>
      <c r="N160" s="143">
        <f t="shared" ca="1" si="91"/>
        <v>0</v>
      </c>
      <c r="O160" s="143">
        <f t="shared" ca="1" si="91"/>
        <v>0</v>
      </c>
      <c r="P160" s="143">
        <f t="shared" ca="1" si="91"/>
        <v>0</v>
      </c>
      <c r="Q160" s="143">
        <f t="shared" ca="1" si="91"/>
        <v>0</v>
      </c>
      <c r="R160" s="143">
        <f t="shared" ca="1" si="91"/>
        <v>0</v>
      </c>
      <c r="S160" s="143">
        <f t="shared" ca="1" si="91"/>
        <v>0</v>
      </c>
      <c r="T160" s="143">
        <f t="shared" ca="1" si="91"/>
        <v>0</v>
      </c>
      <c r="U160" s="143">
        <f t="shared" ca="1" si="91"/>
        <v>0</v>
      </c>
      <c r="V160" s="143">
        <f t="shared" ca="1" si="91"/>
        <v>0</v>
      </c>
      <c r="W160" s="143">
        <f t="shared" ca="1" si="91"/>
        <v>0</v>
      </c>
      <c r="X160" s="143">
        <f t="shared" ca="1" si="91"/>
        <v>0</v>
      </c>
      <c r="Y160" s="143">
        <f t="shared" ref="Y160" ca="1" si="92">Y123-Y122</f>
        <v>0</v>
      </c>
      <c r="Z160" s="34"/>
      <c r="AA160" s="34"/>
      <c r="AB160" s="34"/>
      <c r="AC160" s="34"/>
    </row>
    <row r="161" spans="1:29" customFormat="1">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row>
    <row r="162" spans="1:29" customFormat="1" ht="15">
      <c r="A162" s="34"/>
      <c r="B162" s="34"/>
      <c r="C162" s="34"/>
      <c r="D162" s="551" t="s">
        <v>1060</v>
      </c>
      <c r="E162" s="552">
        <f t="shared" ref="E162:X162" ca="1" si="93">SUM(E129:E160)</f>
        <v>5.54074640658642E-3</v>
      </c>
      <c r="F162" s="552">
        <f t="shared" ca="1" si="93"/>
        <v>1.1038351960153273E-2</v>
      </c>
      <c r="G162" s="552">
        <f t="shared" ca="1" si="93"/>
        <v>1.6493251787311234E-2</v>
      </c>
      <c r="H162" s="552">
        <f t="shared" ca="1" si="93"/>
        <v>2.1905875590851609E-2</v>
      </c>
      <c r="I162" s="552">
        <f t="shared" ca="1" si="93"/>
        <v>2.7276647719997771E-2</v>
      </c>
      <c r="J162" s="552">
        <f t="shared" ca="1" si="93"/>
        <v>3.2062554119099008E-2</v>
      </c>
      <c r="K162" s="552">
        <f t="shared" ca="1" si="93"/>
        <v>3.5837188422305516E-2</v>
      </c>
      <c r="L162" s="552">
        <f t="shared" ca="1" si="93"/>
        <v>3.8806245820737557E-2</v>
      </c>
      <c r="M162" s="552">
        <f t="shared" ca="1" si="93"/>
        <v>4.1133625267988951E-2</v>
      </c>
      <c r="N162" s="552">
        <f t="shared" ca="1" si="93"/>
        <v>4.2949923316488836E-2</v>
      </c>
      <c r="O162" s="552">
        <f t="shared" ca="1" si="93"/>
        <v>4.4359201527640515E-2</v>
      </c>
      <c r="P162" s="552">
        <f t="shared" ca="1" si="93"/>
        <v>4.5444378427517126E-2</v>
      </c>
      <c r="Q162" s="552">
        <f t="shared" ca="1" si="93"/>
        <v>4.6271525616098493E-2</v>
      </c>
      <c r="R162" s="552">
        <f t="shared" ca="1" si="93"/>
        <v>4.6893290787554866E-2</v>
      </c>
      <c r="S162" s="552">
        <f t="shared" ca="1" si="93"/>
        <v>4.7351625129764402E-2</v>
      </c>
      <c r="T162" s="552">
        <f t="shared" ca="1" si="93"/>
        <v>5.9130604910379803E-2</v>
      </c>
      <c r="U162" s="552">
        <f t="shared" ca="1" si="93"/>
        <v>5.7549967767878511E-2</v>
      </c>
      <c r="V162" s="552">
        <f t="shared" ca="1" si="93"/>
        <v>5.6019705141079484E-2</v>
      </c>
      <c r="W162" s="552">
        <f t="shared" ca="1" si="93"/>
        <v>5.4485438054259025E-2</v>
      </c>
      <c r="X162" s="552">
        <f t="shared" ca="1" si="93"/>
        <v>5.2939049764859962E-2</v>
      </c>
      <c r="Y162" s="552"/>
      <c r="AA162" s="34"/>
      <c r="AB162" s="34"/>
      <c r="AC162" s="34"/>
    </row>
    <row r="163" spans="1:29" ht="15">
      <c r="D163" s="551" t="s">
        <v>1061</v>
      </c>
      <c r="E163" s="552">
        <f ca="1">E162</f>
        <v>5.54074640658642E-3</v>
      </c>
      <c r="F163" s="552">
        <f t="shared" ref="F163:X163" ca="1" si="94">E163+F162</f>
        <v>1.6579098366739695E-2</v>
      </c>
      <c r="G163" s="552">
        <f t="shared" ca="1" si="94"/>
        <v>3.3072350154050925E-2</v>
      </c>
      <c r="H163" s="552">
        <f t="shared" ca="1" si="94"/>
        <v>5.4978225744902534E-2</v>
      </c>
      <c r="I163" s="552">
        <f t="shared" ca="1" si="94"/>
        <v>8.2254873464900305E-2</v>
      </c>
      <c r="J163" s="552">
        <f t="shared" ca="1" si="94"/>
        <v>0.11431742758399932</v>
      </c>
      <c r="K163" s="552">
        <f t="shared" ca="1" si="94"/>
        <v>0.15015461600630484</v>
      </c>
      <c r="L163" s="552">
        <f t="shared" ca="1" si="94"/>
        <v>0.18896086182704239</v>
      </c>
      <c r="M163" s="552">
        <f t="shared" ca="1" si="94"/>
        <v>0.23009448709503133</v>
      </c>
      <c r="N163" s="552">
        <f t="shared" ca="1" si="94"/>
        <v>0.27304441041152017</v>
      </c>
      <c r="O163" s="552">
        <f t="shared" ca="1" si="94"/>
        <v>0.31740361193916067</v>
      </c>
      <c r="P163" s="552">
        <f t="shared" ca="1" si="94"/>
        <v>0.36284799036667781</v>
      </c>
      <c r="Q163" s="552">
        <f t="shared" ca="1" si="94"/>
        <v>0.40911951598277629</v>
      </c>
      <c r="R163" s="552">
        <f t="shared" ca="1" si="94"/>
        <v>0.45601280677033118</v>
      </c>
      <c r="S163" s="552">
        <f t="shared" ca="1" si="94"/>
        <v>0.50336443190009561</v>
      </c>
      <c r="T163" s="552">
        <f t="shared" ca="1" si="94"/>
        <v>0.56249503681047541</v>
      </c>
      <c r="U163" s="552">
        <f t="shared" ca="1" si="94"/>
        <v>0.62004500457835388</v>
      </c>
      <c r="V163" s="552">
        <f t="shared" ca="1" si="94"/>
        <v>0.67606470971943333</v>
      </c>
      <c r="W163" s="552">
        <f t="shared" ca="1" si="94"/>
        <v>0.73055014777369232</v>
      </c>
      <c r="X163" s="552">
        <f t="shared" ca="1" si="94"/>
        <v>0.78348919753855228</v>
      </c>
      <c r="Y163" s="552">
        <f ca="1">SUM(Y129:Y160)</f>
        <v>0.76936177080110313</v>
      </c>
      <c r="Z163"/>
    </row>
    <row r="164" spans="1:29">
      <c r="E164" s="533"/>
      <c r="F164" s="561"/>
      <c r="G164" s="561"/>
      <c r="H164" s="561"/>
      <c r="I164" s="561"/>
      <c r="J164" s="561"/>
      <c r="K164" s="561"/>
      <c r="L164" s="561"/>
      <c r="M164" s="561"/>
      <c r="N164" s="561"/>
      <c r="O164" s="561"/>
      <c r="P164" s="561"/>
      <c r="Q164" s="561"/>
      <c r="R164" s="561"/>
      <c r="S164" s="561"/>
      <c r="T164" s="561"/>
      <c r="U164" s="561"/>
      <c r="V164" s="561"/>
      <c r="W164" s="561"/>
      <c r="X164" s="561"/>
      <c r="Y164" s="561"/>
      <c r="Z164" s="561"/>
    </row>
    <row r="165" spans="1:29">
      <c r="E165" s="533"/>
      <c r="F165" s="561"/>
      <c r="G165" s="561"/>
      <c r="H165" s="561"/>
      <c r="I165" s="561"/>
      <c r="J165" s="561"/>
      <c r="K165" s="561"/>
      <c r="L165" s="561"/>
      <c r="M165" s="561"/>
      <c r="N165" s="561"/>
      <c r="O165" s="561"/>
      <c r="P165" s="561"/>
      <c r="Q165" s="561"/>
      <c r="R165" s="561"/>
      <c r="S165" s="561"/>
      <c r="T165" s="561"/>
      <c r="U165" s="561"/>
      <c r="V165" s="561"/>
      <c r="W165" s="561"/>
      <c r="X165" s="561"/>
      <c r="Y165" s="561"/>
      <c r="Z165" s="561"/>
    </row>
    <row r="166" spans="1:29" ht="15">
      <c r="A166" s="538" t="str">
        <f>CONCATENATE("ACHIEVABLE SAVINGS - CUMULATIVE BY MILL BIN - FOR MEASURE - ",D167)</f>
        <v>ACHIEVABLE SAVINGS - CUMULATIVE BY MILL BIN - FOR MEASURE - Dishwasher</v>
      </c>
      <c r="D166" s="34" t="s">
        <v>1115</v>
      </c>
      <c r="E166" s="549">
        <f>E127</f>
        <v>2016</v>
      </c>
      <c r="F166" s="542">
        <f t="shared" ref="F166:X166" si="95">F127</f>
        <v>2017</v>
      </c>
      <c r="G166" s="542">
        <f t="shared" si="95"/>
        <v>2018</v>
      </c>
      <c r="H166" s="542">
        <f t="shared" si="95"/>
        <v>2019</v>
      </c>
      <c r="I166" s="542">
        <f t="shared" si="95"/>
        <v>2020</v>
      </c>
      <c r="J166" s="542">
        <f t="shared" si="95"/>
        <v>2021</v>
      </c>
      <c r="K166" s="542">
        <f t="shared" si="95"/>
        <v>2022</v>
      </c>
      <c r="L166" s="542">
        <f t="shared" si="95"/>
        <v>2023</v>
      </c>
      <c r="M166" s="542">
        <f t="shared" si="95"/>
        <v>2024</v>
      </c>
      <c r="N166" s="542">
        <f t="shared" si="95"/>
        <v>2025</v>
      </c>
      <c r="O166" s="542">
        <f t="shared" si="95"/>
        <v>2026</v>
      </c>
      <c r="P166" s="542">
        <f t="shared" si="95"/>
        <v>2027</v>
      </c>
      <c r="Q166" s="542">
        <f t="shared" si="95"/>
        <v>2028</v>
      </c>
      <c r="R166" s="542">
        <f t="shared" si="95"/>
        <v>2029</v>
      </c>
      <c r="S166" s="542">
        <f t="shared" si="95"/>
        <v>2030</v>
      </c>
      <c r="T166" s="542">
        <f t="shared" si="95"/>
        <v>2031</v>
      </c>
      <c r="U166" s="542">
        <f t="shared" si="95"/>
        <v>2032</v>
      </c>
      <c r="V166" s="542">
        <f t="shared" si="95"/>
        <v>2033</v>
      </c>
      <c r="W166" s="542">
        <f t="shared" si="95"/>
        <v>2034</v>
      </c>
      <c r="X166" s="542">
        <f t="shared" si="95"/>
        <v>2035</v>
      </c>
      <c r="Y166" s="543"/>
    </row>
    <row r="167" spans="1:29" ht="15">
      <c r="D167" s="541" t="str">
        <f>$C$8</f>
        <v>Dishwasher</v>
      </c>
      <c r="E167" s="550" t="str">
        <f>CONCATENATE("aMW_",E$11)</f>
        <v>aMW_2016</v>
      </c>
      <c r="F167" s="544" t="str">
        <f t="shared" ref="F167:X167" si="96">CONCATENATE("aMW_",F$11)</f>
        <v>aMW_2017</v>
      </c>
      <c r="G167" s="544" t="str">
        <f t="shared" si="96"/>
        <v>aMW_2018</v>
      </c>
      <c r="H167" s="544" t="str">
        <f t="shared" si="96"/>
        <v>aMW_2019</v>
      </c>
      <c r="I167" s="544" t="str">
        <f t="shared" si="96"/>
        <v>aMW_2020</v>
      </c>
      <c r="J167" s="544" t="str">
        <f t="shared" si="96"/>
        <v>aMW_2021</v>
      </c>
      <c r="K167" s="544" t="str">
        <f t="shared" si="96"/>
        <v>aMW_2022</v>
      </c>
      <c r="L167" s="544" t="str">
        <f t="shared" si="96"/>
        <v>aMW_2023</v>
      </c>
      <c r="M167" s="544" t="str">
        <f t="shared" si="96"/>
        <v>aMW_2024</v>
      </c>
      <c r="N167" s="544" t="str">
        <f t="shared" si="96"/>
        <v>aMW_2025</v>
      </c>
      <c r="O167" s="544" t="str">
        <f t="shared" si="96"/>
        <v>aMW_2026</v>
      </c>
      <c r="P167" s="544" t="str">
        <f t="shared" si="96"/>
        <v>aMW_2027</v>
      </c>
      <c r="Q167" s="544" t="str">
        <f t="shared" si="96"/>
        <v>aMW_2028</v>
      </c>
      <c r="R167" s="544" t="str">
        <f t="shared" si="96"/>
        <v>aMW_2029</v>
      </c>
      <c r="S167" s="544" t="str">
        <f t="shared" si="96"/>
        <v>aMW_2030</v>
      </c>
      <c r="T167" s="544" t="str">
        <f t="shared" si="96"/>
        <v>aMW_2031</v>
      </c>
      <c r="U167" s="544" t="str">
        <f t="shared" si="96"/>
        <v>aMW_2032</v>
      </c>
      <c r="V167" s="544" t="str">
        <f t="shared" si="96"/>
        <v>aMW_2033</v>
      </c>
      <c r="W167" s="544" t="str">
        <f t="shared" si="96"/>
        <v>aMW_2034</v>
      </c>
      <c r="X167" s="544" t="str">
        <f t="shared" si="96"/>
        <v>aMW_2035</v>
      </c>
      <c r="Y167" s="545"/>
    </row>
    <row r="168" spans="1:29">
      <c r="D168" s="34" t="s">
        <v>992</v>
      </c>
      <c r="E168" s="562">
        <f t="shared" ref="E168:E199" si="97">E129</f>
        <v>0</v>
      </c>
      <c r="F168" s="563">
        <f t="shared" ref="F168:X168" si="98">E168+F129</f>
        <v>0</v>
      </c>
      <c r="G168" s="563">
        <f t="shared" si="98"/>
        <v>0</v>
      </c>
      <c r="H168" s="563">
        <f t="shared" si="98"/>
        <v>0</v>
      </c>
      <c r="I168" s="563">
        <f t="shared" si="98"/>
        <v>0</v>
      </c>
      <c r="J168" s="563">
        <f t="shared" si="98"/>
        <v>0</v>
      </c>
      <c r="K168" s="563">
        <f t="shared" si="98"/>
        <v>0</v>
      </c>
      <c r="L168" s="563">
        <f t="shared" si="98"/>
        <v>0</v>
      </c>
      <c r="M168" s="563">
        <f t="shared" si="98"/>
        <v>0</v>
      </c>
      <c r="N168" s="563">
        <f t="shared" si="98"/>
        <v>0</v>
      </c>
      <c r="O168" s="563">
        <f t="shared" si="98"/>
        <v>0</v>
      </c>
      <c r="P168" s="563">
        <f t="shared" si="98"/>
        <v>0</v>
      </c>
      <c r="Q168" s="563">
        <f t="shared" si="98"/>
        <v>0</v>
      </c>
      <c r="R168" s="563">
        <f t="shared" si="98"/>
        <v>0</v>
      </c>
      <c r="S168" s="563">
        <f t="shared" si="98"/>
        <v>0</v>
      </c>
      <c r="T168" s="563">
        <f t="shared" si="98"/>
        <v>0</v>
      </c>
      <c r="U168" s="563">
        <f t="shared" si="98"/>
        <v>0</v>
      </c>
      <c r="V168" s="563">
        <f t="shared" si="98"/>
        <v>0</v>
      </c>
      <c r="W168" s="563">
        <f t="shared" si="98"/>
        <v>0</v>
      </c>
      <c r="X168" s="563">
        <f t="shared" si="98"/>
        <v>0</v>
      </c>
      <c r="Y168" s="563"/>
    </row>
    <row r="169" spans="1:29">
      <c r="D169" s="34" t="s">
        <v>1339</v>
      </c>
      <c r="E169" s="562">
        <f t="shared" si="97"/>
        <v>0</v>
      </c>
      <c r="F169" s="563">
        <f t="shared" ref="F169:F199" si="99">E169+F130</f>
        <v>0</v>
      </c>
      <c r="G169" s="563">
        <f t="shared" ref="G169:G199" si="100">F169+G130</f>
        <v>0</v>
      </c>
      <c r="H169" s="563">
        <f t="shared" ref="H169:H199" si="101">G169+H130</f>
        <v>0</v>
      </c>
      <c r="I169" s="563">
        <f t="shared" ref="I169:I199" si="102">H169+I130</f>
        <v>0</v>
      </c>
      <c r="J169" s="563">
        <f t="shared" ref="J169:J199" si="103">I169+J130</f>
        <v>0</v>
      </c>
      <c r="K169" s="563">
        <f t="shared" ref="K169:K199" si="104">J169+K130</f>
        <v>0</v>
      </c>
      <c r="L169" s="563">
        <f t="shared" ref="L169:L199" si="105">K169+L130</f>
        <v>0</v>
      </c>
      <c r="M169" s="563">
        <f t="shared" ref="M169:M199" si="106">L169+M130</f>
        <v>0</v>
      </c>
      <c r="N169" s="563">
        <f t="shared" ref="N169:N199" si="107">M169+N130</f>
        <v>0</v>
      </c>
      <c r="O169" s="563">
        <f t="shared" ref="O169:O199" si="108">N169+O130</f>
        <v>0</v>
      </c>
      <c r="P169" s="563">
        <f t="shared" ref="P169:P199" si="109">O169+P130</f>
        <v>0</v>
      </c>
      <c r="Q169" s="563">
        <f t="shared" ref="Q169:Q199" si="110">P169+Q130</f>
        <v>0</v>
      </c>
      <c r="R169" s="563">
        <f t="shared" ref="R169:R199" si="111">Q169+R130</f>
        <v>0</v>
      </c>
      <c r="S169" s="563">
        <f t="shared" ref="S169:S199" si="112">R169+S130</f>
        <v>0</v>
      </c>
      <c r="T169" s="563">
        <f t="shared" ref="T169:T199" si="113">S169+T130</f>
        <v>0</v>
      </c>
      <c r="U169" s="563">
        <f t="shared" ref="U169:U199" si="114">T169+U130</f>
        <v>0</v>
      </c>
      <c r="V169" s="563">
        <f t="shared" ref="V169:V199" si="115">U169+V130</f>
        <v>0</v>
      </c>
      <c r="W169" s="563">
        <f t="shared" ref="W169:W199" si="116">V169+W130</f>
        <v>0</v>
      </c>
      <c r="X169" s="563">
        <f t="shared" ref="X169:X199" si="117">W169+X130</f>
        <v>0</v>
      </c>
      <c r="Y169" s="563"/>
    </row>
    <row r="170" spans="1:29">
      <c r="D170" s="34" t="s">
        <v>998</v>
      </c>
      <c r="E170" s="562">
        <f t="shared" si="97"/>
        <v>0</v>
      </c>
      <c r="F170" s="563">
        <f t="shared" si="99"/>
        <v>0</v>
      </c>
      <c r="G170" s="563">
        <f t="shared" si="100"/>
        <v>0</v>
      </c>
      <c r="H170" s="563">
        <f t="shared" si="101"/>
        <v>0</v>
      </c>
      <c r="I170" s="563">
        <f t="shared" si="102"/>
        <v>0</v>
      </c>
      <c r="J170" s="563">
        <f t="shared" si="103"/>
        <v>0</v>
      </c>
      <c r="K170" s="563">
        <f t="shared" si="104"/>
        <v>0</v>
      </c>
      <c r="L170" s="563">
        <f t="shared" si="105"/>
        <v>0</v>
      </c>
      <c r="M170" s="563">
        <f t="shared" si="106"/>
        <v>0</v>
      </c>
      <c r="N170" s="563">
        <f t="shared" si="107"/>
        <v>0</v>
      </c>
      <c r="O170" s="563">
        <f t="shared" si="108"/>
        <v>0</v>
      </c>
      <c r="P170" s="563">
        <f t="shared" si="109"/>
        <v>0</v>
      </c>
      <c r="Q170" s="563">
        <f t="shared" si="110"/>
        <v>0</v>
      </c>
      <c r="R170" s="563">
        <f t="shared" si="111"/>
        <v>0</v>
      </c>
      <c r="S170" s="563">
        <f t="shared" si="112"/>
        <v>0</v>
      </c>
      <c r="T170" s="563">
        <f t="shared" si="113"/>
        <v>0</v>
      </c>
      <c r="U170" s="563">
        <f t="shared" si="114"/>
        <v>0</v>
      </c>
      <c r="V170" s="563">
        <f t="shared" si="115"/>
        <v>0</v>
      </c>
      <c r="W170" s="563">
        <f t="shared" si="116"/>
        <v>0</v>
      </c>
      <c r="X170" s="563">
        <f t="shared" si="117"/>
        <v>0</v>
      </c>
      <c r="Y170" s="563"/>
    </row>
    <row r="171" spans="1:29">
      <c r="D171" s="34" t="s">
        <v>1001</v>
      </c>
      <c r="E171" s="562">
        <f t="shared" si="97"/>
        <v>0</v>
      </c>
      <c r="F171" s="563">
        <f t="shared" si="99"/>
        <v>0</v>
      </c>
      <c r="G171" s="563">
        <f t="shared" si="100"/>
        <v>0</v>
      </c>
      <c r="H171" s="563">
        <f t="shared" si="101"/>
        <v>0</v>
      </c>
      <c r="I171" s="563">
        <f t="shared" si="102"/>
        <v>0</v>
      </c>
      <c r="J171" s="563">
        <f t="shared" si="103"/>
        <v>0</v>
      </c>
      <c r="K171" s="563">
        <f t="shared" si="104"/>
        <v>0</v>
      </c>
      <c r="L171" s="563">
        <f t="shared" si="105"/>
        <v>0</v>
      </c>
      <c r="M171" s="563">
        <f t="shared" si="106"/>
        <v>0</v>
      </c>
      <c r="N171" s="563">
        <f t="shared" si="107"/>
        <v>0</v>
      </c>
      <c r="O171" s="563">
        <f t="shared" si="108"/>
        <v>0</v>
      </c>
      <c r="P171" s="563">
        <f t="shared" si="109"/>
        <v>0</v>
      </c>
      <c r="Q171" s="563">
        <f t="shared" si="110"/>
        <v>0</v>
      </c>
      <c r="R171" s="563">
        <f t="shared" si="111"/>
        <v>0</v>
      </c>
      <c r="S171" s="563">
        <f t="shared" si="112"/>
        <v>0</v>
      </c>
      <c r="T171" s="563">
        <f t="shared" si="113"/>
        <v>0</v>
      </c>
      <c r="U171" s="563">
        <f t="shared" si="114"/>
        <v>0</v>
      </c>
      <c r="V171" s="563">
        <f t="shared" si="115"/>
        <v>0</v>
      </c>
      <c r="W171" s="563">
        <f t="shared" si="116"/>
        <v>0</v>
      </c>
      <c r="X171" s="563">
        <f t="shared" si="117"/>
        <v>0</v>
      </c>
      <c r="Y171" s="563"/>
    </row>
    <row r="172" spans="1:29">
      <c r="D172" s="34" t="s">
        <v>1004</v>
      </c>
      <c r="E172" s="562">
        <f t="shared" si="97"/>
        <v>0</v>
      </c>
      <c r="F172" s="563">
        <f t="shared" si="99"/>
        <v>0</v>
      </c>
      <c r="G172" s="563">
        <f t="shared" si="100"/>
        <v>0</v>
      </c>
      <c r="H172" s="563">
        <f t="shared" si="101"/>
        <v>0</v>
      </c>
      <c r="I172" s="563">
        <f t="shared" si="102"/>
        <v>0</v>
      </c>
      <c r="J172" s="563">
        <f t="shared" si="103"/>
        <v>0</v>
      </c>
      <c r="K172" s="563">
        <f t="shared" si="104"/>
        <v>0</v>
      </c>
      <c r="L172" s="563">
        <f t="shared" si="105"/>
        <v>0</v>
      </c>
      <c r="M172" s="563">
        <f t="shared" si="106"/>
        <v>0</v>
      </c>
      <c r="N172" s="563">
        <f t="shared" si="107"/>
        <v>0</v>
      </c>
      <c r="O172" s="563">
        <f t="shared" si="108"/>
        <v>0</v>
      </c>
      <c r="P172" s="563">
        <f t="shared" si="109"/>
        <v>0</v>
      </c>
      <c r="Q172" s="563">
        <f t="shared" si="110"/>
        <v>0</v>
      </c>
      <c r="R172" s="563">
        <f t="shared" si="111"/>
        <v>0</v>
      </c>
      <c r="S172" s="563">
        <f t="shared" si="112"/>
        <v>0</v>
      </c>
      <c r="T172" s="563">
        <f t="shared" si="113"/>
        <v>0</v>
      </c>
      <c r="U172" s="563">
        <f t="shared" si="114"/>
        <v>0</v>
      </c>
      <c r="V172" s="563">
        <f t="shared" si="115"/>
        <v>0</v>
      </c>
      <c r="W172" s="563">
        <f t="shared" si="116"/>
        <v>0</v>
      </c>
      <c r="X172" s="563">
        <f t="shared" si="117"/>
        <v>0</v>
      </c>
      <c r="Y172" s="563"/>
    </row>
    <row r="173" spans="1:29">
      <c r="D173" s="34" t="s">
        <v>1007</v>
      </c>
      <c r="E173" s="562">
        <f t="shared" ca="1" si="97"/>
        <v>1.0680029667840972E-3</v>
      </c>
      <c r="F173" s="563">
        <f t="shared" ca="1" si="99"/>
        <v>3.1811814338245613E-3</v>
      </c>
      <c r="G173" s="563">
        <f t="shared" ca="1" si="100"/>
        <v>6.3170738698328059E-3</v>
      </c>
      <c r="H173" s="563">
        <f t="shared" ca="1" si="101"/>
        <v>1.0453579464432787E-2</v>
      </c>
      <c r="I173" s="563">
        <f t="shared" ca="1" si="102"/>
        <v>1.5568952983491188E-2</v>
      </c>
      <c r="J173" s="563">
        <f t="shared" ca="1" si="103"/>
        <v>2.1540585581382457E-2</v>
      </c>
      <c r="K173" s="563">
        <f t="shared" ca="1" si="104"/>
        <v>2.8169352975938391E-2</v>
      </c>
      <c r="L173" s="563">
        <f t="shared" ca="1" si="105"/>
        <v>3.5297877809074341E-2</v>
      </c>
      <c r="M173" s="563">
        <f t="shared" ca="1" si="106"/>
        <v>4.2801820995666026E-2</v>
      </c>
      <c r="N173" s="563">
        <f t="shared" ca="1" si="107"/>
        <v>5.0582989283125476E-2</v>
      </c>
      <c r="O173" s="563">
        <f t="shared" ca="1" si="108"/>
        <v>5.8563880251412966E-2</v>
      </c>
      <c r="P173" s="563">
        <f t="shared" ca="1" si="109"/>
        <v>6.6683364975607146E-2</v>
      </c>
      <c r="Q173" s="563">
        <f t="shared" ca="1" si="110"/>
        <v>7.4893271091711983E-2</v>
      </c>
      <c r="R173" s="563">
        <f t="shared" ca="1" si="111"/>
        <v>8.3155678486715762E-2</v>
      </c>
      <c r="S173" s="563">
        <f t="shared" ca="1" si="112"/>
        <v>9.1440778995150268E-2</v>
      </c>
      <c r="T173" s="563">
        <f t="shared" ca="1" si="113"/>
        <v>0.10016954835705566</v>
      </c>
      <c r="U173" s="563">
        <f t="shared" ca="1" si="114"/>
        <v>0.10876746483032404</v>
      </c>
      <c r="V173" s="563">
        <f t="shared" ca="1" si="115"/>
        <v>0.11724488238252001</v>
      </c>
      <c r="W173" s="563">
        <f t="shared" ca="1" si="116"/>
        <v>0.12560008513050652</v>
      </c>
      <c r="X173" s="563">
        <f t="shared" ca="1" si="117"/>
        <v>0.13381167781381079</v>
      </c>
      <c r="Y173" s="563"/>
    </row>
    <row r="174" spans="1:29">
      <c r="D174" s="34" t="s">
        <v>1010</v>
      </c>
      <c r="E174" s="562">
        <f t="shared" ca="1" si="97"/>
        <v>1.946782494497175E-3</v>
      </c>
      <c r="F174" s="563">
        <f t="shared" ca="1" si="99"/>
        <v>5.8315059067670406E-3</v>
      </c>
      <c r="G174" s="563">
        <f t="shared" ca="1" si="100"/>
        <v>1.1645358776499963E-2</v>
      </c>
      <c r="H174" s="563">
        <f t="shared" ca="1" si="101"/>
        <v>1.9379559668615976E-2</v>
      </c>
      <c r="I174" s="563">
        <f t="shared" ca="1" si="102"/>
        <v>2.9025357082338415E-2</v>
      </c>
      <c r="J174" s="563">
        <f t="shared" ca="1" si="103"/>
        <v>4.0381551489222574E-2</v>
      </c>
      <c r="K174" s="563">
        <f t="shared" ca="1" si="104"/>
        <v>5.3094651729283196E-2</v>
      </c>
      <c r="L174" s="563">
        <f t="shared" ca="1" si="105"/>
        <v>6.6882525903895637E-2</v>
      </c>
      <c r="M174" s="563">
        <f t="shared" ca="1" si="106"/>
        <v>8.1519999845594993E-2</v>
      </c>
      <c r="N174" s="563">
        <f t="shared" ca="1" si="107"/>
        <v>9.6827362056613658E-2</v>
      </c>
      <c r="O174" s="563">
        <f t="shared" ca="1" si="108"/>
        <v>0.11266118854236071</v>
      </c>
      <c r="P174" s="563">
        <f t="shared" ca="1" si="109"/>
        <v>0.12890701934640733</v>
      </c>
      <c r="Q174" s="563">
        <f t="shared" ca="1" si="110"/>
        <v>0.14547351308277576</v>
      </c>
      <c r="R174" s="563">
        <f t="shared" ca="1" si="111"/>
        <v>0.16228778118106033</v>
      </c>
      <c r="S174" s="563">
        <f t="shared" ca="1" si="112"/>
        <v>0.17929166375868405</v>
      </c>
      <c r="T174" s="563">
        <f t="shared" ca="1" si="113"/>
        <v>0.20264982954157917</v>
      </c>
      <c r="U174" s="563">
        <f t="shared" ca="1" si="114"/>
        <v>0.22528534162393915</v>
      </c>
      <c r="V174" s="563">
        <f t="shared" ca="1" si="115"/>
        <v>0.24722124005141213</v>
      </c>
      <c r="W174" s="563">
        <f t="shared" ca="1" si="116"/>
        <v>0.26833877116098825</v>
      </c>
      <c r="X174" s="563">
        <f t="shared" ca="1" si="117"/>
        <v>0.28860150424802405</v>
      </c>
      <c r="Y174" s="563"/>
    </row>
    <row r="175" spans="1:29">
      <c r="D175" s="34" t="s">
        <v>1013</v>
      </c>
      <c r="E175" s="562">
        <f t="shared" ca="1" si="97"/>
        <v>0</v>
      </c>
      <c r="F175" s="563">
        <f t="shared" ca="1" si="99"/>
        <v>0</v>
      </c>
      <c r="G175" s="563">
        <f t="shared" ca="1" si="100"/>
        <v>0</v>
      </c>
      <c r="H175" s="563">
        <f t="shared" ca="1" si="101"/>
        <v>0</v>
      </c>
      <c r="I175" s="563">
        <f t="shared" ca="1" si="102"/>
        <v>0</v>
      </c>
      <c r="J175" s="563">
        <f t="shared" ca="1" si="103"/>
        <v>0</v>
      </c>
      <c r="K175" s="563">
        <f t="shared" ca="1" si="104"/>
        <v>0</v>
      </c>
      <c r="L175" s="563">
        <f t="shared" ca="1" si="105"/>
        <v>0</v>
      </c>
      <c r="M175" s="563">
        <f t="shared" ca="1" si="106"/>
        <v>0</v>
      </c>
      <c r="N175" s="563">
        <f t="shared" ca="1" si="107"/>
        <v>0</v>
      </c>
      <c r="O175" s="563">
        <f t="shared" ca="1" si="108"/>
        <v>0</v>
      </c>
      <c r="P175" s="563">
        <f t="shared" ca="1" si="109"/>
        <v>0</v>
      </c>
      <c r="Q175" s="563">
        <f t="shared" ca="1" si="110"/>
        <v>0</v>
      </c>
      <c r="R175" s="563">
        <f t="shared" ca="1" si="111"/>
        <v>0</v>
      </c>
      <c r="S175" s="563">
        <f t="shared" ca="1" si="112"/>
        <v>0</v>
      </c>
      <c r="T175" s="563">
        <f t="shared" ca="1" si="113"/>
        <v>0</v>
      </c>
      <c r="U175" s="563">
        <f t="shared" ca="1" si="114"/>
        <v>0</v>
      </c>
      <c r="V175" s="563">
        <f t="shared" ca="1" si="115"/>
        <v>0</v>
      </c>
      <c r="W175" s="563">
        <f t="shared" ca="1" si="116"/>
        <v>0</v>
      </c>
      <c r="X175" s="563">
        <f t="shared" ca="1" si="117"/>
        <v>0</v>
      </c>
      <c r="Y175" s="563"/>
    </row>
    <row r="176" spans="1:29">
      <c r="D176" s="34" t="s">
        <v>1016</v>
      </c>
      <c r="E176" s="562">
        <f t="shared" ca="1" si="97"/>
        <v>0</v>
      </c>
      <c r="F176" s="563">
        <f t="shared" ca="1" si="99"/>
        <v>0</v>
      </c>
      <c r="G176" s="563">
        <f t="shared" ca="1" si="100"/>
        <v>0</v>
      </c>
      <c r="H176" s="563">
        <f t="shared" ca="1" si="101"/>
        <v>0</v>
      </c>
      <c r="I176" s="563">
        <f t="shared" ca="1" si="102"/>
        <v>0</v>
      </c>
      <c r="J176" s="563">
        <f t="shared" ca="1" si="103"/>
        <v>0</v>
      </c>
      <c r="K176" s="563">
        <f t="shared" ca="1" si="104"/>
        <v>0</v>
      </c>
      <c r="L176" s="563">
        <f t="shared" ca="1" si="105"/>
        <v>0</v>
      </c>
      <c r="M176" s="563">
        <f t="shared" ca="1" si="106"/>
        <v>0</v>
      </c>
      <c r="N176" s="563">
        <f t="shared" ca="1" si="107"/>
        <v>0</v>
      </c>
      <c r="O176" s="563">
        <f t="shared" ca="1" si="108"/>
        <v>0</v>
      </c>
      <c r="P176" s="563">
        <f t="shared" ca="1" si="109"/>
        <v>0</v>
      </c>
      <c r="Q176" s="563">
        <f t="shared" ca="1" si="110"/>
        <v>0</v>
      </c>
      <c r="R176" s="563">
        <f t="shared" ca="1" si="111"/>
        <v>0</v>
      </c>
      <c r="S176" s="563">
        <f t="shared" ca="1" si="112"/>
        <v>0</v>
      </c>
      <c r="T176" s="563">
        <f t="shared" ca="1" si="113"/>
        <v>0</v>
      </c>
      <c r="U176" s="563">
        <f t="shared" ca="1" si="114"/>
        <v>0</v>
      </c>
      <c r="V176" s="563">
        <f t="shared" ca="1" si="115"/>
        <v>0</v>
      </c>
      <c r="W176" s="563">
        <f t="shared" ca="1" si="116"/>
        <v>0</v>
      </c>
      <c r="X176" s="563">
        <f t="shared" ca="1" si="117"/>
        <v>0</v>
      </c>
      <c r="Y176" s="563"/>
    </row>
    <row r="177" spans="4:25">
      <c r="D177" s="34" t="s">
        <v>1019</v>
      </c>
      <c r="E177" s="562">
        <f t="shared" ca="1" si="97"/>
        <v>0</v>
      </c>
      <c r="F177" s="563">
        <f t="shared" ca="1" si="99"/>
        <v>0</v>
      </c>
      <c r="G177" s="563">
        <f t="shared" ca="1" si="100"/>
        <v>0</v>
      </c>
      <c r="H177" s="563">
        <f t="shared" ca="1" si="101"/>
        <v>0</v>
      </c>
      <c r="I177" s="563">
        <f t="shared" ca="1" si="102"/>
        <v>0</v>
      </c>
      <c r="J177" s="563">
        <f t="shared" ca="1" si="103"/>
        <v>0</v>
      </c>
      <c r="K177" s="563">
        <f t="shared" ca="1" si="104"/>
        <v>0</v>
      </c>
      <c r="L177" s="563">
        <f t="shared" ca="1" si="105"/>
        <v>0</v>
      </c>
      <c r="M177" s="563">
        <f t="shared" ca="1" si="106"/>
        <v>0</v>
      </c>
      <c r="N177" s="563">
        <f t="shared" ca="1" si="107"/>
        <v>0</v>
      </c>
      <c r="O177" s="563">
        <f t="shared" ca="1" si="108"/>
        <v>0</v>
      </c>
      <c r="P177" s="563">
        <f t="shared" ca="1" si="109"/>
        <v>0</v>
      </c>
      <c r="Q177" s="563">
        <f t="shared" ca="1" si="110"/>
        <v>0</v>
      </c>
      <c r="R177" s="563">
        <f t="shared" ca="1" si="111"/>
        <v>0</v>
      </c>
      <c r="S177" s="563">
        <f t="shared" ca="1" si="112"/>
        <v>0</v>
      </c>
      <c r="T177" s="563">
        <f t="shared" ca="1" si="113"/>
        <v>0</v>
      </c>
      <c r="U177" s="563">
        <f t="shared" ca="1" si="114"/>
        <v>0</v>
      </c>
      <c r="V177" s="563">
        <f t="shared" ca="1" si="115"/>
        <v>0</v>
      </c>
      <c r="W177" s="563">
        <f t="shared" ca="1" si="116"/>
        <v>0</v>
      </c>
      <c r="X177" s="563">
        <f t="shared" ca="1" si="117"/>
        <v>0</v>
      </c>
      <c r="Y177" s="563"/>
    </row>
    <row r="178" spans="4:25">
      <c r="D178" s="34" t="s">
        <v>1022</v>
      </c>
      <c r="E178" s="562">
        <f t="shared" ca="1" si="97"/>
        <v>0</v>
      </c>
      <c r="F178" s="563">
        <f t="shared" ca="1" si="99"/>
        <v>0</v>
      </c>
      <c r="G178" s="563">
        <f t="shared" ca="1" si="100"/>
        <v>0</v>
      </c>
      <c r="H178" s="563">
        <f t="shared" ca="1" si="101"/>
        <v>0</v>
      </c>
      <c r="I178" s="563">
        <f t="shared" ca="1" si="102"/>
        <v>0</v>
      </c>
      <c r="J178" s="563">
        <f t="shared" ca="1" si="103"/>
        <v>0</v>
      </c>
      <c r="K178" s="563">
        <f t="shared" ca="1" si="104"/>
        <v>0</v>
      </c>
      <c r="L178" s="563">
        <f t="shared" ca="1" si="105"/>
        <v>0</v>
      </c>
      <c r="M178" s="563">
        <f t="shared" ca="1" si="106"/>
        <v>0</v>
      </c>
      <c r="N178" s="563">
        <f t="shared" ca="1" si="107"/>
        <v>0</v>
      </c>
      <c r="O178" s="563">
        <f t="shared" ca="1" si="108"/>
        <v>0</v>
      </c>
      <c r="P178" s="563">
        <f t="shared" ca="1" si="109"/>
        <v>0</v>
      </c>
      <c r="Q178" s="563">
        <f t="shared" ca="1" si="110"/>
        <v>0</v>
      </c>
      <c r="R178" s="563">
        <f t="shared" ca="1" si="111"/>
        <v>0</v>
      </c>
      <c r="S178" s="563">
        <f t="shared" ca="1" si="112"/>
        <v>0</v>
      </c>
      <c r="T178" s="563">
        <f t="shared" ca="1" si="113"/>
        <v>0</v>
      </c>
      <c r="U178" s="563">
        <f t="shared" ca="1" si="114"/>
        <v>0</v>
      </c>
      <c r="V178" s="563">
        <f t="shared" ca="1" si="115"/>
        <v>0</v>
      </c>
      <c r="W178" s="563">
        <f t="shared" ca="1" si="116"/>
        <v>0</v>
      </c>
      <c r="X178" s="563">
        <f t="shared" ca="1" si="117"/>
        <v>0</v>
      </c>
      <c r="Y178" s="563"/>
    </row>
    <row r="179" spans="4:25">
      <c r="D179" s="34" t="s">
        <v>1025</v>
      </c>
      <c r="E179" s="562">
        <f t="shared" ca="1" si="97"/>
        <v>0</v>
      </c>
      <c r="F179" s="563">
        <f t="shared" ca="1" si="99"/>
        <v>0</v>
      </c>
      <c r="G179" s="563">
        <f t="shared" ca="1" si="100"/>
        <v>0</v>
      </c>
      <c r="H179" s="563">
        <f t="shared" ca="1" si="101"/>
        <v>0</v>
      </c>
      <c r="I179" s="563">
        <f t="shared" ca="1" si="102"/>
        <v>0</v>
      </c>
      <c r="J179" s="563">
        <f t="shared" ca="1" si="103"/>
        <v>0</v>
      </c>
      <c r="K179" s="563">
        <f t="shared" ca="1" si="104"/>
        <v>0</v>
      </c>
      <c r="L179" s="563">
        <f t="shared" ca="1" si="105"/>
        <v>0</v>
      </c>
      <c r="M179" s="563">
        <f t="shared" ca="1" si="106"/>
        <v>0</v>
      </c>
      <c r="N179" s="563">
        <f t="shared" ca="1" si="107"/>
        <v>0</v>
      </c>
      <c r="O179" s="563">
        <f t="shared" ca="1" si="108"/>
        <v>0</v>
      </c>
      <c r="P179" s="563">
        <f t="shared" ca="1" si="109"/>
        <v>0</v>
      </c>
      <c r="Q179" s="563">
        <f t="shared" ca="1" si="110"/>
        <v>0</v>
      </c>
      <c r="R179" s="563">
        <f t="shared" ca="1" si="111"/>
        <v>0</v>
      </c>
      <c r="S179" s="563">
        <f t="shared" ca="1" si="112"/>
        <v>0</v>
      </c>
      <c r="T179" s="563">
        <f t="shared" ca="1" si="113"/>
        <v>0</v>
      </c>
      <c r="U179" s="563">
        <f t="shared" ca="1" si="114"/>
        <v>0</v>
      </c>
      <c r="V179" s="563">
        <f t="shared" ca="1" si="115"/>
        <v>0</v>
      </c>
      <c r="W179" s="563">
        <f t="shared" ca="1" si="116"/>
        <v>0</v>
      </c>
      <c r="X179" s="563">
        <f t="shared" ca="1" si="117"/>
        <v>0</v>
      </c>
      <c r="Y179" s="563"/>
    </row>
    <row r="180" spans="4:25">
      <c r="D180" s="34" t="s">
        <v>1028</v>
      </c>
      <c r="E180" s="562">
        <f t="shared" ca="1" si="97"/>
        <v>0</v>
      </c>
      <c r="F180" s="563">
        <f t="shared" ca="1" si="99"/>
        <v>0</v>
      </c>
      <c r="G180" s="563">
        <f t="shared" ca="1" si="100"/>
        <v>0</v>
      </c>
      <c r="H180" s="563">
        <f t="shared" ca="1" si="101"/>
        <v>0</v>
      </c>
      <c r="I180" s="563">
        <f t="shared" ca="1" si="102"/>
        <v>0</v>
      </c>
      <c r="J180" s="563">
        <f t="shared" ca="1" si="103"/>
        <v>0</v>
      </c>
      <c r="K180" s="563">
        <f t="shared" ca="1" si="104"/>
        <v>0</v>
      </c>
      <c r="L180" s="563">
        <f t="shared" ca="1" si="105"/>
        <v>0</v>
      </c>
      <c r="M180" s="563">
        <f t="shared" ca="1" si="106"/>
        <v>0</v>
      </c>
      <c r="N180" s="563">
        <f t="shared" ca="1" si="107"/>
        <v>0</v>
      </c>
      <c r="O180" s="563">
        <f t="shared" ca="1" si="108"/>
        <v>0</v>
      </c>
      <c r="P180" s="563">
        <f t="shared" ca="1" si="109"/>
        <v>0</v>
      </c>
      <c r="Q180" s="563">
        <f t="shared" ca="1" si="110"/>
        <v>0</v>
      </c>
      <c r="R180" s="563">
        <f t="shared" ca="1" si="111"/>
        <v>0</v>
      </c>
      <c r="S180" s="563">
        <f t="shared" ca="1" si="112"/>
        <v>0</v>
      </c>
      <c r="T180" s="563">
        <f t="shared" ca="1" si="113"/>
        <v>0</v>
      </c>
      <c r="U180" s="563">
        <f t="shared" ca="1" si="114"/>
        <v>0</v>
      </c>
      <c r="V180" s="563">
        <f t="shared" ca="1" si="115"/>
        <v>0</v>
      </c>
      <c r="W180" s="563">
        <f t="shared" ca="1" si="116"/>
        <v>0</v>
      </c>
      <c r="X180" s="563">
        <f t="shared" ca="1" si="117"/>
        <v>0</v>
      </c>
      <c r="Y180" s="563"/>
    </row>
    <row r="181" spans="4:25">
      <c r="D181" s="34" t="s">
        <v>1031</v>
      </c>
      <c r="E181" s="562">
        <f t="shared" ca="1" si="97"/>
        <v>0</v>
      </c>
      <c r="F181" s="563">
        <f t="shared" ca="1" si="99"/>
        <v>0</v>
      </c>
      <c r="G181" s="563">
        <f t="shared" ca="1" si="100"/>
        <v>0</v>
      </c>
      <c r="H181" s="563">
        <f t="shared" ca="1" si="101"/>
        <v>0</v>
      </c>
      <c r="I181" s="563">
        <f t="shared" ca="1" si="102"/>
        <v>0</v>
      </c>
      <c r="J181" s="563">
        <f t="shared" ca="1" si="103"/>
        <v>0</v>
      </c>
      <c r="K181" s="563">
        <f t="shared" ca="1" si="104"/>
        <v>0</v>
      </c>
      <c r="L181" s="563">
        <f t="shared" ca="1" si="105"/>
        <v>0</v>
      </c>
      <c r="M181" s="563">
        <f t="shared" ca="1" si="106"/>
        <v>0</v>
      </c>
      <c r="N181" s="563">
        <f t="shared" ca="1" si="107"/>
        <v>0</v>
      </c>
      <c r="O181" s="563">
        <f t="shared" ca="1" si="108"/>
        <v>0</v>
      </c>
      <c r="P181" s="563">
        <f t="shared" ca="1" si="109"/>
        <v>0</v>
      </c>
      <c r="Q181" s="563">
        <f t="shared" ca="1" si="110"/>
        <v>0</v>
      </c>
      <c r="R181" s="563">
        <f t="shared" ca="1" si="111"/>
        <v>0</v>
      </c>
      <c r="S181" s="563">
        <f t="shared" ca="1" si="112"/>
        <v>0</v>
      </c>
      <c r="T181" s="563">
        <f t="shared" ca="1" si="113"/>
        <v>0</v>
      </c>
      <c r="U181" s="563">
        <f t="shared" ca="1" si="114"/>
        <v>0</v>
      </c>
      <c r="V181" s="563">
        <f t="shared" ca="1" si="115"/>
        <v>0</v>
      </c>
      <c r="W181" s="563">
        <f t="shared" ca="1" si="116"/>
        <v>0</v>
      </c>
      <c r="X181" s="563">
        <f t="shared" ca="1" si="117"/>
        <v>0</v>
      </c>
      <c r="Y181" s="563"/>
    </row>
    <row r="182" spans="4:25">
      <c r="D182" s="34" t="s">
        <v>1034</v>
      </c>
      <c r="E182" s="562">
        <f t="shared" ca="1" si="97"/>
        <v>0</v>
      </c>
      <c r="F182" s="563">
        <f t="shared" ca="1" si="99"/>
        <v>0</v>
      </c>
      <c r="G182" s="563">
        <f t="shared" ca="1" si="100"/>
        <v>0</v>
      </c>
      <c r="H182" s="563">
        <f t="shared" ca="1" si="101"/>
        <v>0</v>
      </c>
      <c r="I182" s="563">
        <f t="shared" ca="1" si="102"/>
        <v>0</v>
      </c>
      <c r="J182" s="563">
        <f t="shared" ca="1" si="103"/>
        <v>0</v>
      </c>
      <c r="K182" s="563">
        <f t="shared" ca="1" si="104"/>
        <v>0</v>
      </c>
      <c r="L182" s="563">
        <f t="shared" ca="1" si="105"/>
        <v>0</v>
      </c>
      <c r="M182" s="563">
        <f t="shared" ca="1" si="106"/>
        <v>0</v>
      </c>
      <c r="N182" s="563">
        <f t="shared" ca="1" si="107"/>
        <v>0</v>
      </c>
      <c r="O182" s="563">
        <f t="shared" ca="1" si="108"/>
        <v>0</v>
      </c>
      <c r="P182" s="563">
        <f t="shared" ca="1" si="109"/>
        <v>0</v>
      </c>
      <c r="Q182" s="563">
        <f t="shared" ca="1" si="110"/>
        <v>0</v>
      </c>
      <c r="R182" s="563">
        <f t="shared" ca="1" si="111"/>
        <v>0</v>
      </c>
      <c r="S182" s="563">
        <f t="shared" ca="1" si="112"/>
        <v>0</v>
      </c>
      <c r="T182" s="563">
        <f t="shared" ca="1" si="113"/>
        <v>0</v>
      </c>
      <c r="U182" s="563">
        <f t="shared" ca="1" si="114"/>
        <v>0</v>
      </c>
      <c r="V182" s="563">
        <f t="shared" ca="1" si="115"/>
        <v>0</v>
      </c>
      <c r="W182" s="563">
        <f t="shared" ca="1" si="116"/>
        <v>0</v>
      </c>
      <c r="X182" s="563">
        <f t="shared" ca="1" si="117"/>
        <v>0</v>
      </c>
      <c r="Y182" s="563"/>
    </row>
    <row r="183" spans="4:25">
      <c r="D183" s="34" t="s">
        <v>1037</v>
      </c>
      <c r="E183" s="562">
        <f t="shared" ca="1" si="97"/>
        <v>2.5259609453051478E-3</v>
      </c>
      <c r="F183" s="563">
        <f t="shared" ca="1" si="99"/>
        <v>7.566411026148091E-3</v>
      </c>
      <c r="G183" s="563">
        <f t="shared" ca="1" si="100"/>
        <v>1.5109917507718158E-2</v>
      </c>
      <c r="H183" s="563">
        <f t="shared" ca="1" si="101"/>
        <v>2.5145086611853773E-2</v>
      </c>
      <c r="I183" s="563">
        <f t="shared" ca="1" si="102"/>
        <v>3.7660563399070701E-2</v>
      </c>
      <c r="J183" s="563">
        <f t="shared" ca="1" si="103"/>
        <v>5.2395290513394283E-2</v>
      </c>
      <c r="K183" s="563">
        <f t="shared" ca="1" si="104"/>
        <v>6.8890611301083232E-2</v>
      </c>
      <c r="L183" s="563">
        <f t="shared" ca="1" si="105"/>
        <v>8.6780458114072395E-2</v>
      </c>
      <c r="M183" s="563">
        <f t="shared" ca="1" si="106"/>
        <v>0.10577266625377031</v>
      </c>
      <c r="N183" s="563">
        <f t="shared" ca="1" si="107"/>
        <v>0.12563405907178102</v>
      </c>
      <c r="O183" s="563">
        <f t="shared" ca="1" si="108"/>
        <v>0.146178543145387</v>
      </c>
      <c r="P183" s="563">
        <f t="shared" ca="1" si="109"/>
        <v>0.16725760604466333</v>
      </c>
      <c r="Q183" s="563">
        <f t="shared" ca="1" si="110"/>
        <v>0.18875273180828855</v>
      </c>
      <c r="R183" s="563">
        <f t="shared" ca="1" si="111"/>
        <v>0.21056934710255509</v>
      </c>
      <c r="S183" s="563">
        <f t="shared" ca="1" si="112"/>
        <v>0.23263198914626126</v>
      </c>
      <c r="T183" s="563">
        <f t="shared" ca="1" si="113"/>
        <v>0.25967565891184052</v>
      </c>
      <c r="U183" s="563">
        <f t="shared" ca="1" si="114"/>
        <v>0.28599219812409071</v>
      </c>
      <c r="V183" s="563">
        <f t="shared" ca="1" si="115"/>
        <v>0.31159858728550122</v>
      </c>
      <c r="W183" s="563">
        <f t="shared" ca="1" si="116"/>
        <v>0.33661129148219759</v>
      </c>
      <c r="X183" s="563">
        <f t="shared" ca="1" si="117"/>
        <v>0.36107601547671747</v>
      </c>
      <c r="Y183" s="563"/>
    </row>
    <row r="184" spans="4:25">
      <c r="D184" s="34" t="s">
        <v>1040</v>
      </c>
      <c r="E184" s="562">
        <f t="shared" ca="1" si="97"/>
        <v>0</v>
      </c>
      <c r="F184" s="563">
        <f t="shared" ca="1" si="99"/>
        <v>0</v>
      </c>
      <c r="G184" s="563">
        <f t="shared" ca="1" si="100"/>
        <v>0</v>
      </c>
      <c r="H184" s="563">
        <f t="shared" ca="1" si="101"/>
        <v>0</v>
      </c>
      <c r="I184" s="563">
        <f t="shared" ca="1" si="102"/>
        <v>0</v>
      </c>
      <c r="J184" s="563">
        <f t="shared" ca="1" si="103"/>
        <v>0</v>
      </c>
      <c r="K184" s="563">
        <f t="shared" ca="1" si="104"/>
        <v>0</v>
      </c>
      <c r="L184" s="563">
        <f t="shared" ca="1" si="105"/>
        <v>0</v>
      </c>
      <c r="M184" s="563">
        <f t="shared" ca="1" si="106"/>
        <v>0</v>
      </c>
      <c r="N184" s="563">
        <f t="shared" ca="1" si="107"/>
        <v>0</v>
      </c>
      <c r="O184" s="563">
        <f t="shared" ca="1" si="108"/>
        <v>0</v>
      </c>
      <c r="P184" s="563">
        <f t="shared" ca="1" si="109"/>
        <v>0</v>
      </c>
      <c r="Q184" s="563">
        <f t="shared" ca="1" si="110"/>
        <v>0</v>
      </c>
      <c r="R184" s="563">
        <f t="shared" ca="1" si="111"/>
        <v>0</v>
      </c>
      <c r="S184" s="563">
        <f t="shared" ca="1" si="112"/>
        <v>0</v>
      </c>
      <c r="T184" s="563">
        <f t="shared" ca="1" si="113"/>
        <v>0</v>
      </c>
      <c r="U184" s="563">
        <f t="shared" ca="1" si="114"/>
        <v>0</v>
      </c>
      <c r="V184" s="563">
        <f t="shared" ca="1" si="115"/>
        <v>0</v>
      </c>
      <c r="W184" s="563">
        <f t="shared" ca="1" si="116"/>
        <v>0</v>
      </c>
      <c r="X184" s="563">
        <f t="shared" ca="1" si="117"/>
        <v>0</v>
      </c>
      <c r="Y184" s="563"/>
    </row>
    <row r="185" spans="4:25">
      <c r="D185" s="34" t="s">
        <v>1043</v>
      </c>
      <c r="E185" s="562">
        <f t="shared" ca="1" si="97"/>
        <v>0</v>
      </c>
      <c r="F185" s="563">
        <f t="shared" ca="1" si="99"/>
        <v>0</v>
      </c>
      <c r="G185" s="563">
        <f t="shared" ca="1" si="100"/>
        <v>0</v>
      </c>
      <c r="H185" s="563">
        <f t="shared" ca="1" si="101"/>
        <v>0</v>
      </c>
      <c r="I185" s="563">
        <f t="shared" ca="1" si="102"/>
        <v>0</v>
      </c>
      <c r="J185" s="563">
        <f t="shared" ca="1" si="103"/>
        <v>0</v>
      </c>
      <c r="K185" s="563">
        <f t="shared" ca="1" si="104"/>
        <v>0</v>
      </c>
      <c r="L185" s="563">
        <f t="shared" ca="1" si="105"/>
        <v>0</v>
      </c>
      <c r="M185" s="563">
        <f t="shared" ca="1" si="106"/>
        <v>0</v>
      </c>
      <c r="N185" s="563">
        <f t="shared" ca="1" si="107"/>
        <v>0</v>
      </c>
      <c r="O185" s="563">
        <f t="shared" ca="1" si="108"/>
        <v>0</v>
      </c>
      <c r="P185" s="563">
        <f t="shared" ca="1" si="109"/>
        <v>0</v>
      </c>
      <c r="Q185" s="563">
        <f t="shared" ca="1" si="110"/>
        <v>0</v>
      </c>
      <c r="R185" s="563">
        <f t="shared" ca="1" si="111"/>
        <v>0</v>
      </c>
      <c r="S185" s="563">
        <f t="shared" ca="1" si="112"/>
        <v>0</v>
      </c>
      <c r="T185" s="563">
        <f t="shared" ca="1" si="113"/>
        <v>0</v>
      </c>
      <c r="U185" s="563">
        <f t="shared" ca="1" si="114"/>
        <v>0</v>
      </c>
      <c r="V185" s="563">
        <f t="shared" ca="1" si="115"/>
        <v>0</v>
      </c>
      <c r="W185" s="563">
        <f t="shared" ca="1" si="116"/>
        <v>0</v>
      </c>
      <c r="X185" s="563">
        <f t="shared" ca="1" si="117"/>
        <v>0</v>
      </c>
      <c r="Y185" s="563"/>
    </row>
    <row r="186" spans="4:25">
      <c r="D186" s="34" t="s">
        <v>1046</v>
      </c>
      <c r="E186" s="562">
        <f t="shared" ca="1" si="97"/>
        <v>0</v>
      </c>
      <c r="F186" s="563">
        <f t="shared" ca="1" si="99"/>
        <v>0</v>
      </c>
      <c r="G186" s="563">
        <f t="shared" ca="1" si="100"/>
        <v>0</v>
      </c>
      <c r="H186" s="563">
        <f t="shared" ca="1" si="101"/>
        <v>0</v>
      </c>
      <c r="I186" s="563">
        <f t="shared" ca="1" si="102"/>
        <v>0</v>
      </c>
      <c r="J186" s="563">
        <f t="shared" ca="1" si="103"/>
        <v>0</v>
      </c>
      <c r="K186" s="563">
        <f t="shared" ca="1" si="104"/>
        <v>0</v>
      </c>
      <c r="L186" s="563">
        <f t="shared" ca="1" si="105"/>
        <v>0</v>
      </c>
      <c r="M186" s="563">
        <f t="shared" ca="1" si="106"/>
        <v>0</v>
      </c>
      <c r="N186" s="563">
        <f t="shared" ca="1" si="107"/>
        <v>0</v>
      </c>
      <c r="O186" s="563">
        <f t="shared" ca="1" si="108"/>
        <v>0</v>
      </c>
      <c r="P186" s="563">
        <f t="shared" ca="1" si="109"/>
        <v>0</v>
      </c>
      <c r="Q186" s="563">
        <f t="shared" ca="1" si="110"/>
        <v>0</v>
      </c>
      <c r="R186" s="563">
        <f t="shared" ca="1" si="111"/>
        <v>0</v>
      </c>
      <c r="S186" s="563">
        <f t="shared" ca="1" si="112"/>
        <v>0</v>
      </c>
      <c r="T186" s="563">
        <f t="shared" ca="1" si="113"/>
        <v>0</v>
      </c>
      <c r="U186" s="563">
        <f t="shared" ca="1" si="114"/>
        <v>0</v>
      </c>
      <c r="V186" s="563">
        <f t="shared" ca="1" si="115"/>
        <v>0</v>
      </c>
      <c r="W186" s="563">
        <f t="shared" ca="1" si="116"/>
        <v>0</v>
      </c>
      <c r="X186" s="563">
        <f t="shared" ca="1" si="117"/>
        <v>0</v>
      </c>
      <c r="Y186" s="563"/>
    </row>
    <row r="187" spans="4:25">
      <c r="D187" s="34" t="s">
        <v>1049</v>
      </c>
      <c r="E187" s="562">
        <f t="shared" ca="1" si="97"/>
        <v>0</v>
      </c>
      <c r="F187" s="563">
        <f t="shared" ca="1" si="99"/>
        <v>0</v>
      </c>
      <c r="G187" s="563">
        <f t="shared" ca="1" si="100"/>
        <v>0</v>
      </c>
      <c r="H187" s="563">
        <f t="shared" ca="1" si="101"/>
        <v>0</v>
      </c>
      <c r="I187" s="563">
        <f t="shared" ca="1" si="102"/>
        <v>0</v>
      </c>
      <c r="J187" s="563">
        <f t="shared" ca="1" si="103"/>
        <v>0</v>
      </c>
      <c r="K187" s="563">
        <f t="shared" ca="1" si="104"/>
        <v>0</v>
      </c>
      <c r="L187" s="563">
        <f t="shared" ca="1" si="105"/>
        <v>0</v>
      </c>
      <c r="M187" s="563">
        <f t="shared" ca="1" si="106"/>
        <v>0</v>
      </c>
      <c r="N187" s="563">
        <f t="shared" ca="1" si="107"/>
        <v>0</v>
      </c>
      <c r="O187" s="563">
        <f t="shared" ca="1" si="108"/>
        <v>0</v>
      </c>
      <c r="P187" s="563">
        <f t="shared" ca="1" si="109"/>
        <v>0</v>
      </c>
      <c r="Q187" s="563">
        <f t="shared" ca="1" si="110"/>
        <v>0</v>
      </c>
      <c r="R187" s="563">
        <f t="shared" ca="1" si="111"/>
        <v>0</v>
      </c>
      <c r="S187" s="563">
        <f t="shared" ca="1" si="112"/>
        <v>0</v>
      </c>
      <c r="T187" s="563">
        <f t="shared" ca="1" si="113"/>
        <v>0</v>
      </c>
      <c r="U187" s="563">
        <f t="shared" ca="1" si="114"/>
        <v>0</v>
      </c>
      <c r="V187" s="563">
        <f t="shared" ca="1" si="115"/>
        <v>0</v>
      </c>
      <c r="W187" s="563">
        <f t="shared" ca="1" si="116"/>
        <v>0</v>
      </c>
      <c r="X187" s="563">
        <f t="shared" ca="1" si="117"/>
        <v>0</v>
      </c>
      <c r="Y187" s="563"/>
    </row>
    <row r="188" spans="4:25">
      <c r="D188" s="34" t="s">
        <v>1052</v>
      </c>
      <c r="E188" s="562">
        <f t="shared" ca="1" si="97"/>
        <v>0</v>
      </c>
      <c r="F188" s="563">
        <f t="shared" ca="1" si="99"/>
        <v>0</v>
      </c>
      <c r="G188" s="563">
        <f t="shared" ca="1" si="100"/>
        <v>0</v>
      </c>
      <c r="H188" s="563">
        <f t="shared" ca="1" si="101"/>
        <v>0</v>
      </c>
      <c r="I188" s="563">
        <f t="shared" ca="1" si="102"/>
        <v>0</v>
      </c>
      <c r="J188" s="563">
        <f t="shared" ca="1" si="103"/>
        <v>0</v>
      </c>
      <c r="K188" s="563">
        <f t="shared" ca="1" si="104"/>
        <v>0</v>
      </c>
      <c r="L188" s="563">
        <f t="shared" ca="1" si="105"/>
        <v>0</v>
      </c>
      <c r="M188" s="563">
        <f t="shared" ca="1" si="106"/>
        <v>0</v>
      </c>
      <c r="N188" s="563">
        <f t="shared" ca="1" si="107"/>
        <v>0</v>
      </c>
      <c r="O188" s="563">
        <f t="shared" ca="1" si="108"/>
        <v>0</v>
      </c>
      <c r="P188" s="563">
        <f t="shared" ca="1" si="109"/>
        <v>0</v>
      </c>
      <c r="Q188" s="563">
        <f t="shared" ca="1" si="110"/>
        <v>0</v>
      </c>
      <c r="R188" s="563">
        <f t="shared" ca="1" si="111"/>
        <v>0</v>
      </c>
      <c r="S188" s="563">
        <f t="shared" ca="1" si="112"/>
        <v>0</v>
      </c>
      <c r="T188" s="563">
        <f t="shared" ca="1" si="113"/>
        <v>0</v>
      </c>
      <c r="U188" s="563">
        <f t="shared" ca="1" si="114"/>
        <v>0</v>
      </c>
      <c r="V188" s="563">
        <f t="shared" ca="1" si="115"/>
        <v>0</v>
      </c>
      <c r="W188" s="563">
        <f t="shared" ca="1" si="116"/>
        <v>0</v>
      </c>
      <c r="X188" s="563">
        <f t="shared" ca="1" si="117"/>
        <v>0</v>
      </c>
      <c r="Y188" s="563"/>
    </row>
    <row r="189" spans="4:25">
      <c r="D189" s="34" t="s">
        <v>1302</v>
      </c>
      <c r="E189" s="562">
        <f t="shared" ca="1" si="97"/>
        <v>0</v>
      </c>
      <c r="F189" s="563">
        <f t="shared" ca="1" si="99"/>
        <v>0</v>
      </c>
      <c r="G189" s="563">
        <f t="shared" ca="1" si="100"/>
        <v>0</v>
      </c>
      <c r="H189" s="563">
        <f t="shared" ca="1" si="101"/>
        <v>0</v>
      </c>
      <c r="I189" s="563">
        <f t="shared" ca="1" si="102"/>
        <v>0</v>
      </c>
      <c r="J189" s="563">
        <f t="shared" ca="1" si="103"/>
        <v>0</v>
      </c>
      <c r="K189" s="563">
        <f t="shared" ca="1" si="104"/>
        <v>0</v>
      </c>
      <c r="L189" s="563">
        <f t="shared" ca="1" si="105"/>
        <v>0</v>
      </c>
      <c r="M189" s="563">
        <f t="shared" ca="1" si="106"/>
        <v>0</v>
      </c>
      <c r="N189" s="563">
        <f t="shared" ca="1" si="107"/>
        <v>0</v>
      </c>
      <c r="O189" s="563">
        <f t="shared" ca="1" si="108"/>
        <v>0</v>
      </c>
      <c r="P189" s="563">
        <f t="shared" ca="1" si="109"/>
        <v>0</v>
      </c>
      <c r="Q189" s="563">
        <f t="shared" ca="1" si="110"/>
        <v>0</v>
      </c>
      <c r="R189" s="563">
        <f t="shared" ca="1" si="111"/>
        <v>0</v>
      </c>
      <c r="S189" s="563">
        <f t="shared" ca="1" si="112"/>
        <v>0</v>
      </c>
      <c r="T189" s="563">
        <f t="shared" ca="1" si="113"/>
        <v>0</v>
      </c>
      <c r="U189" s="563">
        <f t="shared" ca="1" si="114"/>
        <v>0</v>
      </c>
      <c r="V189" s="563">
        <f t="shared" ca="1" si="115"/>
        <v>0</v>
      </c>
      <c r="W189" s="563">
        <f t="shared" ca="1" si="116"/>
        <v>0</v>
      </c>
      <c r="X189" s="563">
        <f t="shared" ca="1" si="117"/>
        <v>0</v>
      </c>
      <c r="Y189" s="563"/>
    </row>
    <row r="190" spans="4:25">
      <c r="D190" s="34" t="s">
        <v>1304</v>
      </c>
      <c r="E190" s="562">
        <f t="shared" ca="1" si="97"/>
        <v>0</v>
      </c>
      <c r="F190" s="563">
        <f t="shared" ca="1" si="99"/>
        <v>0</v>
      </c>
      <c r="G190" s="563">
        <f t="shared" ca="1" si="100"/>
        <v>0</v>
      </c>
      <c r="H190" s="563">
        <f t="shared" ca="1" si="101"/>
        <v>0</v>
      </c>
      <c r="I190" s="563">
        <f t="shared" ca="1" si="102"/>
        <v>0</v>
      </c>
      <c r="J190" s="563">
        <f t="shared" ca="1" si="103"/>
        <v>0</v>
      </c>
      <c r="K190" s="563">
        <f t="shared" ca="1" si="104"/>
        <v>0</v>
      </c>
      <c r="L190" s="563">
        <f t="shared" ca="1" si="105"/>
        <v>0</v>
      </c>
      <c r="M190" s="563">
        <f t="shared" ca="1" si="106"/>
        <v>0</v>
      </c>
      <c r="N190" s="563">
        <f t="shared" ca="1" si="107"/>
        <v>0</v>
      </c>
      <c r="O190" s="563">
        <f t="shared" ca="1" si="108"/>
        <v>0</v>
      </c>
      <c r="P190" s="563">
        <f t="shared" ca="1" si="109"/>
        <v>0</v>
      </c>
      <c r="Q190" s="563">
        <f t="shared" ca="1" si="110"/>
        <v>0</v>
      </c>
      <c r="R190" s="563">
        <f t="shared" ca="1" si="111"/>
        <v>0</v>
      </c>
      <c r="S190" s="563">
        <f t="shared" ca="1" si="112"/>
        <v>0</v>
      </c>
      <c r="T190" s="563">
        <f t="shared" ca="1" si="113"/>
        <v>0</v>
      </c>
      <c r="U190" s="563">
        <f t="shared" ca="1" si="114"/>
        <v>0</v>
      </c>
      <c r="V190" s="563">
        <f t="shared" ca="1" si="115"/>
        <v>0</v>
      </c>
      <c r="W190" s="563">
        <f t="shared" ca="1" si="116"/>
        <v>0</v>
      </c>
      <c r="X190" s="563">
        <f t="shared" ca="1" si="117"/>
        <v>0</v>
      </c>
      <c r="Y190" s="563"/>
    </row>
    <row r="191" spans="4:25">
      <c r="D191" s="34" t="s">
        <v>1307</v>
      </c>
      <c r="E191" s="562">
        <f t="shared" ca="1" si="97"/>
        <v>0</v>
      </c>
      <c r="F191" s="563">
        <f t="shared" ca="1" si="99"/>
        <v>0</v>
      </c>
      <c r="G191" s="563">
        <f t="shared" ca="1" si="100"/>
        <v>0</v>
      </c>
      <c r="H191" s="563">
        <f t="shared" ca="1" si="101"/>
        <v>0</v>
      </c>
      <c r="I191" s="563">
        <f t="shared" ca="1" si="102"/>
        <v>0</v>
      </c>
      <c r="J191" s="563">
        <f t="shared" ca="1" si="103"/>
        <v>0</v>
      </c>
      <c r="K191" s="563">
        <f t="shared" ca="1" si="104"/>
        <v>0</v>
      </c>
      <c r="L191" s="563">
        <f t="shared" ca="1" si="105"/>
        <v>0</v>
      </c>
      <c r="M191" s="563">
        <f t="shared" ca="1" si="106"/>
        <v>0</v>
      </c>
      <c r="N191" s="563">
        <f t="shared" ca="1" si="107"/>
        <v>0</v>
      </c>
      <c r="O191" s="563">
        <f t="shared" ca="1" si="108"/>
        <v>0</v>
      </c>
      <c r="P191" s="563">
        <f t="shared" ca="1" si="109"/>
        <v>0</v>
      </c>
      <c r="Q191" s="563">
        <f t="shared" ca="1" si="110"/>
        <v>0</v>
      </c>
      <c r="R191" s="563">
        <f t="shared" ca="1" si="111"/>
        <v>0</v>
      </c>
      <c r="S191" s="563">
        <f t="shared" ca="1" si="112"/>
        <v>0</v>
      </c>
      <c r="T191" s="563">
        <f t="shared" ca="1" si="113"/>
        <v>0</v>
      </c>
      <c r="U191" s="563">
        <f t="shared" ca="1" si="114"/>
        <v>0</v>
      </c>
      <c r="V191" s="563">
        <f t="shared" ca="1" si="115"/>
        <v>0</v>
      </c>
      <c r="W191" s="563">
        <f t="shared" ca="1" si="116"/>
        <v>0</v>
      </c>
      <c r="X191" s="563">
        <f t="shared" ca="1" si="117"/>
        <v>0</v>
      </c>
      <c r="Y191" s="563"/>
    </row>
    <row r="192" spans="4:25">
      <c r="D192" s="34" t="s">
        <v>1310</v>
      </c>
      <c r="E192" s="562">
        <f t="shared" ca="1" si="97"/>
        <v>0</v>
      </c>
      <c r="F192" s="563">
        <f t="shared" ca="1" si="99"/>
        <v>0</v>
      </c>
      <c r="G192" s="563">
        <f t="shared" ca="1" si="100"/>
        <v>0</v>
      </c>
      <c r="H192" s="563">
        <f t="shared" ca="1" si="101"/>
        <v>0</v>
      </c>
      <c r="I192" s="563">
        <f t="shared" ca="1" si="102"/>
        <v>0</v>
      </c>
      <c r="J192" s="563">
        <f t="shared" ca="1" si="103"/>
        <v>0</v>
      </c>
      <c r="K192" s="563">
        <f t="shared" ca="1" si="104"/>
        <v>0</v>
      </c>
      <c r="L192" s="563">
        <f t="shared" ca="1" si="105"/>
        <v>0</v>
      </c>
      <c r="M192" s="563">
        <f t="shared" ca="1" si="106"/>
        <v>0</v>
      </c>
      <c r="N192" s="563">
        <f t="shared" ca="1" si="107"/>
        <v>0</v>
      </c>
      <c r="O192" s="563">
        <f t="shared" ca="1" si="108"/>
        <v>0</v>
      </c>
      <c r="P192" s="563">
        <f t="shared" ca="1" si="109"/>
        <v>0</v>
      </c>
      <c r="Q192" s="563">
        <f t="shared" ca="1" si="110"/>
        <v>0</v>
      </c>
      <c r="R192" s="563">
        <f t="shared" ca="1" si="111"/>
        <v>0</v>
      </c>
      <c r="S192" s="563">
        <f t="shared" ca="1" si="112"/>
        <v>0</v>
      </c>
      <c r="T192" s="563">
        <f t="shared" ca="1" si="113"/>
        <v>0</v>
      </c>
      <c r="U192" s="563">
        <f t="shared" ca="1" si="114"/>
        <v>0</v>
      </c>
      <c r="V192" s="563">
        <f t="shared" ca="1" si="115"/>
        <v>0</v>
      </c>
      <c r="W192" s="563">
        <f t="shared" ca="1" si="116"/>
        <v>0</v>
      </c>
      <c r="X192" s="563">
        <f t="shared" ca="1" si="117"/>
        <v>0</v>
      </c>
      <c r="Y192" s="563"/>
    </row>
    <row r="193" spans="4:79">
      <c r="D193" s="34" t="s">
        <v>1313</v>
      </c>
      <c r="E193" s="562">
        <f t="shared" ca="1" si="97"/>
        <v>0</v>
      </c>
      <c r="F193" s="563">
        <f t="shared" ca="1" si="99"/>
        <v>0</v>
      </c>
      <c r="G193" s="563">
        <f t="shared" ca="1" si="100"/>
        <v>0</v>
      </c>
      <c r="H193" s="563">
        <f t="shared" ca="1" si="101"/>
        <v>0</v>
      </c>
      <c r="I193" s="563">
        <f t="shared" ca="1" si="102"/>
        <v>0</v>
      </c>
      <c r="J193" s="563">
        <f t="shared" ca="1" si="103"/>
        <v>0</v>
      </c>
      <c r="K193" s="563">
        <f t="shared" ca="1" si="104"/>
        <v>0</v>
      </c>
      <c r="L193" s="563">
        <f t="shared" ca="1" si="105"/>
        <v>0</v>
      </c>
      <c r="M193" s="563">
        <f t="shared" ca="1" si="106"/>
        <v>0</v>
      </c>
      <c r="N193" s="563">
        <f t="shared" ca="1" si="107"/>
        <v>0</v>
      </c>
      <c r="O193" s="563">
        <f t="shared" ca="1" si="108"/>
        <v>0</v>
      </c>
      <c r="P193" s="563">
        <f t="shared" ca="1" si="109"/>
        <v>0</v>
      </c>
      <c r="Q193" s="563">
        <f t="shared" ca="1" si="110"/>
        <v>0</v>
      </c>
      <c r="R193" s="563">
        <f t="shared" ca="1" si="111"/>
        <v>0</v>
      </c>
      <c r="S193" s="563">
        <f t="shared" ca="1" si="112"/>
        <v>0</v>
      </c>
      <c r="T193" s="563">
        <f t="shared" ca="1" si="113"/>
        <v>0</v>
      </c>
      <c r="U193" s="563">
        <f t="shared" ca="1" si="114"/>
        <v>0</v>
      </c>
      <c r="V193" s="563">
        <f t="shared" ca="1" si="115"/>
        <v>0</v>
      </c>
      <c r="W193" s="563">
        <f t="shared" ca="1" si="116"/>
        <v>0</v>
      </c>
      <c r="X193" s="563">
        <f t="shared" ca="1" si="117"/>
        <v>0</v>
      </c>
      <c r="Y193" s="563"/>
    </row>
    <row r="194" spans="4:79">
      <c r="D194" s="34" t="s">
        <v>1316</v>
      </c>
      <c r="E194" s="562">
        <f t="shared" ca="1" si="97"/>
        <v>0</v>
      </c>
      <c r="F194" s="563">
        <f t="shared" ca="1" si="99"/>
        <v>0</v>
      </c>
      <c r="G194" s="563">
        <f t="shared" ca="1" si="100"/>
        <v>0</v>
      </c>
      <c r="H194" s="563">
        <f t="shared" ca="1" si="101"/>
        <v>0</v>
      </c>
      <c r="I194" s="563">
        <f t="shared" ca="1" si="102"/>
        <v>0</v>
      </c>
      <c r="J194" s="563">
        <f t="shared" ca="1" si="103"/>
        <v>0</v>
      </c>
      <c r="K194" s="563">
        <f t="shared" ca="1" si="104"/>
        <v>0</v>
      </c>
      <c r="L194" s="563">
        <f t="shared" ca="1" si="105"/>
        <v>0</v>
      </c>
      <c r="M194" s="563">
        <f t="shared" ca="1" si="106"/>
        <v>0</v>
      </c>
      <c r="N194" s="563">
        <f t="shared" ca="1" si="107"/>
        <v>0</v>
      </c>
      <c r="O194" s="563">
        <f t="shared" ca="1" si="108"/>
        <v>0</v>
      </c>
      <c r="P194" s="563">
        <f t="shared" ca="1" si="109"/>
        <v>0</v>
      </c>
      <c r="Q194" s="563">
        <f t="shared" ca="1" si="110"/>
        <v>0</v>
      </c>
      <c r="R194" s="563">
        <f t="shared" ca="1" si="111"/>
        <v>0</v>
      </c>
      <c r="S194" s="563">
        <f t="shared" ca="1" si="112"/>
        <v>0</v>
      </c>
      <c r="T194" s="563">
        <f t="shared" ca="1" si="113"/>
        <v>0</v>
      </c>
      <c r="U194" s="563">
        <f t="shared" ca="1" si="114"/>
        <v>0</v>
      </c>
      <c r="V194" s="563">
        <f t="shared" ca="1" si="115"/>
        <v>0</v>
      </c>
      <c r="W194" s="563">
        <f t="shared" ca="1" si="116"/>
        <v>0</v>
      </c>
      <c r="X194" s="563">
        <f t="shared" ca="1" si="117"/>
        <v>0</v>
      </c>
      <c r="Y194" s="563"/>
    </row>
    <row r="195" spans="4:79">
      <c r="D195" s="34" t="s">
        <v>1319</v>
      </c>
      <c r="E195" s="562">
        <f t="shared" ca="1" si="97"/>
        <v>0</v>
      </c>
      <c r="F195" s="563">
        <f t="shared" ca="1" si="99"/>
        <v>0</v>
      </c>
      <c r="G195" s="563">
        <f t="shared" ca="1" si="100"/>
        <v>0</v>
      </c>
      <c r="H195" s="563">
        <f t="shared" ca="1" si="101"/>
        <v>0</v>
      </c>
      <c r="I195" s="563">
        <f t="shared" ca="1" si="102"/>
        <v>0</v>
      </c>
      <c r="J195" s="563">
        <f t="shared" ca="1" si="103"/>
        <v>0</v>
      </c>
      <c r="K195" s="563">
        <f t="shared" ca="1" si="104"/>
        <v>0</v>
      </c>
      <c r="L195" s="563">
        <f t="shared" ca="1" si="105"/>
        <v>0</v>
      </c>
      <c r="M195" s="563">
        <f t="shared" ca="1" si="106"/>
        <v>0</v>
      </c>
      <c r="N195" s="563">
        <f t="shared" ca="1" si="107"/>
        <v>0</v>
      </c>
      <c r="O195" s="563">
        <f t="shared" ca="1" si="108"/>
        <v>0</v>
      </c>
      <c r="P195" s="563">
        <f t="shared" ca="1" si="109"/>
        <v>0</v>
      </c>
      <c r="Q195" s="563">
        <f t="shared" ca="1" si="110"/>
        <v>0</v>
      </c>
      <c r="R195" s="563">
        <f t="shared" ca="1" si="111"/>
        <v>0</v>
      </c>
      <c r="S195" s="563">
        <f t="shared" ca="1" si="112"/>
        <v>0</v>
      </c>
      <c r="T195" s="563">
        <f t="shared" ca="1" si="113"/>
        <v>0</v>
      </c>
      <c r="U195" s="563">
        <f t="shared" ca="1" si="114"/>
        <v>0</v>
      </c>
      <c r="V195" s="563">
        <f t="shared" ca="1" si="115"/>
        <v>0</v>
      </c>
      <c r="W195" s="563">
        <f t="shared" ca="1" si="116"/>
        <v>0</v>
      </c>
      <c r="X195" s="563">
        <f t="shared" ca="1" si="117"/>
        <v>0</v>
      </c>
      <c r="Y195" s="563"/>
    </row>
    <row r="196" spans="4:79">
      <c r="D196" s="34" t="s">
        <v>1322</v>
      </c>
      <c r="E196" s="562">
        <f t="shared" ca="1" si="97"/>
        <v>0</v>
      </c>
      <c r="F196" s="563">
        <f t="shared" ca="1" si="99"/>
        <v>0</v>
      </c>
      <c r="G196" s="563">
        <f t="shared" ca="1" si="100"/>
        <v>0</v>
      </c>
      <c r="H196" s="563">
        <f t="shared" ca="1" si="101"/>
        <v>0</v>
      </c>
      <c r="I196" s="563">
        <f t="shared" ca="1" si="102"/>
        <v>0</v>
      </c>
      <c r="J196" s="563">
        <f t="shared" ca="1" si="103"/>
        <v>0</v>
      </c>
      <c r="K196" s="563">
        <f t="shared" ca="1" si="104"/>
        <v>0</v>
      </c>
      <c r="L196" s="563">
        <f t="shared" ca="1" si="105"/>
        <v>0</v>
      </c>
      <c r="M196" s="563">
        <f t="shared" ca="1" si="106"/>
        <v>0</v>
      </c>
      <c r="N196" s="563">
        <f t="shared" ca="1" si="107"/>
        <v>0</v>
      </c>
      <c r="O196" s="563">
        <f t="shared" ca="1" si="108"/>
        <v>0</v>
      </c>
      <c r="P196" s="563">
        <f t="shared" ca="1" si="109"/>
        <v>0</v>
      </c>
      <c r="Q196" s="563">
        <f t="shared" ca="1" si="110"/>
        <v>0</v>
      </c>
      <c r="R196" s="563">
        <f t="shared" ca="1" si="111"/>
        <v>0</v>
      </c>
      <c r="S196" s="563">
        <f t="shared" ca="1" si="112"/>
        <v>0</v>
      </c>
      <c r="T196" s="563">
        <f t="shared" ca="1" si="113"/>
        <v>0</v>
      </c>
      <c r="U196" s="563">
        <f t="shared" ca="1" si="114"/>
        <v>0</v>
      </c>
      <c r="V196" s="563">
        <f t="shared" ca="1" si="115"/>
        <v>0</v>
      </c>
      <c r="W196" s="563">
        <f t="shared" ca="1" si="116"/>
        <v>0</v>
      </c>
      <c r="X196" s="563">
        <f t="shared" ca="1" si="117"/>
        <v>0</v>
      </c>
      <c r="Y196" s="563"/>
    </row>
    <row r="197" spans="4:79">
      <c r="D197" s="34" t="s">
        <v>1325</v>
      </c>
      <c r="E197" s="562">
        <f t="shared" ca="1" si="97"/>
        <v>0</v>
      </c>
      <c r="F197" s="563">
        <f t="shared" ca="1" si="99"/>
        <v>0</v>
      </c>
      <c r="G197" s="563">
        <f t="shared" ca="1" si="100"/>
        <v>0</v>
      </c>
      <c r="H197" s="563">
        <f t="shared" ca="1" si="101"/>
        <v>0</v>
      </c>
      <c r="I197" s="563">
        <f t="shared" ca="1" si="102"/>
        <v>0</v>
      </c>
      <c r="J197" s="563">
        <f t="shared" ca="1" si="103"/>
        <v>0</v>
      </c>
      <c r="K197" s="563">
        <f t="shared" ca="1" si="104"/>
        <v>0</v>
      </c>
      <c r="L197" s="563">
        <f t="shared" ca="1" si="105"/>
        <v>0</v>
      </c>
      <c r="M197" s="563">
        <f t="shared" ca="1" si="106"/>
        <v>0</v>
      </c>
      <c r="N197" s="563">
        <f t="shared" ca="1" si="107"/>
        <v>0</v>
      </c>
      <c r="O197" s="563">
        <f t="shared" ca="1" si="108"/>
        <v>0</v>
      </c>
      <c r="P197" s="563">
        <f t="shared" ca="1" si="109"/>
        <v>0</v>
      </c>
      <c r="Q197" s="563">
        <f t="shared" ca="1" si="110"/>
        <v>0</v>
      </c>
      <c r="R197" s="563">
        <f t="shared" ca="1" si="111"/>
        <v>0</v>
      </c>
      <c r="S197" s="563">
        <f t="shared" ca="1" si="112"/>
        <v>0</v>
      </c>
      <c r="T197" s="563">
        <f t="shared" ca="1" si="113"/>
        <v>0</v>
      </c>
      <c r="U197" s="563">
        <f t="shared" ca="1" si="114"/>
        <v>0</v>
      </c>
      <c r="V197" s="563">
        <f t="shared" ca="1" si="115"/>
        <v>0</v>
      </c>
      <c r="W197" s="563">
        <f t="shared" ca="1" si="116"/>
        <v>0</v>
      </c>
      <c r="X197" s="563">
        <f t="shared" ca="1" si="117"/>
        <v>0</v>
      </c>
      <c r="Y197" s="563"/>
    </row>
    <row r="198" spans="4:79">
      <c r="D198" s="34" t="s">
        <v>1328</v>
      </c>
      <c r="E198" s="562">
        <f t="shared" ca="1" si="97"/>
        <v>0</v>
      </c>
      <c r="F198" s="563">
        <f t="shared" ca="1" si="99"/>
        <v>0</v>
      </c>
      <c r="G198" s="563">
        <f t="shared" ca="1" si="100"/>
        <v>0</v>
      </c>
      <c r="H198" s="563">
        <f t="shared" ca="1" si="101"/>
        <v>0</v>
      </c>
      <c r="I198" s="563">
        <f t="shared" ca="1" si="102"/>
        <v>0</v>
      </c>
      <c r="J198" s="563">
        <f t="shared" ca="1" si="103"/>
        <v>0</v>
      </c>
      <c r="K198" s="563">
        <f t="shared" ca="1" si="104"/>
        <v>0</v>
      </c>
      <c r="L198" s="563">
        <f t="shared" ca="1" si="105"/>
        <v>0</v>
      </c>
      <c r="M198" s="563">
        <f t="shared" ca="1" si="106"/>
        <v>0</v>
      </c>
      <c r="N198" s="563">
        <f t="shared" ca="1" si="107"/>
        <v>0</v>
      </c>
      <c r="O198" s="563">
        <f t="shared" ca="1" si="108"/>
        <v>0</v>
      </c>
      <c r="P198" s="563">
        <f t="shared" ca="1" si="109"/>
        <v>0</v>
      </c>
      <c r="Q198" s="563">
        <f t="shared" ca="1" si="110"/>
        <v>0</v>
      </c>
      <c r="R198" s="563">
        <f t="shared" ca="1" si="111"/>
        <v>0</v>
      </c>
      <c r="S198" s="563">
        <f t="shared" ca="1" si="112"/>
        <v>0</v>
      </c>
      <c r="T198" s="563">
        <f t="shared" ca="1" si="113"/>
        <v>0</v>
      </c>
      <c r="U198" s="563">
        <f t="shared" ca="1" si="114"/>
        <v>0</v>
      </c>
      <c r="V198" s="563">
        <f t="shared" ca="1" si="115"/>
        <v>0</v>
      </c>
      <c r="W198" s="563">
        <f t="shared" ca="1" si="116"/>
        <v>0</v>
      </c>
      <c r="X198" s="563">
        <f t="shared" ca="1" si="117"/>
        <v>0</v>
      </c>
      <c r="Y198" s="563"/>
    </row>
    <row r="199" spans="4:79">
      <c r="D199" s="34" t="s">
        <v>1331</v>
      </c>
      <c r="E199" s="562">
        <f t="shared" ca="1" si="97"/>
        <v>0</v>
      </c>
      <c r="F199" s="563">
        <f t="shared" ca="1" si="99"/>
        <v>0</v>
      </c>
      <c r="G199" s="563">
        <f t="shared" ca="1" si="100"/>
        <v>0</v>
      </c>
      <c r="H199" s="563">
        <f t="shared" ca="1" si="101"/>
        <v>0</v>
      </c>
      <c r="I199" s="563">
        <f t="shared" ca="1" si="102"/>
        <v>0</v>
      </c>
      <c r="J199" s="563">
        <f t="shared" ca="1" si="103"/>
        <v>0</v>
      </c>
      <c r="K199" s="563">
        <f t="shared" ca="1" si="104"/>
        <v>0</v>
      </c>
      <c r="L199" s="563">
        <f t="shared" ca="1" si="105"/>
        <v>0</v>
      </c>
      <c r="M199" s="563">
        <f t="shared" ca="1" si="106"/>
        <v>0</v>
      </c>
      <c r="N199" s="563">
        <f t="shared" ca="1" si="107"/>
        <v>0</v>
      </c>
      <c r="O199" s="563">
        <f t="shared" ca="1" si="108"/>
        <v>0</v>
      </c>
      <c r="P199" s="563">
        <f t="shared" ca="1" si="109"/>
        <v>0</v>
      </c>
      <c r="Q199" s="563">
        <f t="shared" ca="1" si="110"/>
        <v>0</v>
      </c>
      <c r="R199" s="563">
        <f t="shared" ca="1" si="111"/>
        <v>0</v>
      </c>
      <c r="S199" s="563">
        <f t="shared" ca="1" si="112"/>
        <v>0</v>
      </c>
      <c r="T199" s="563">
        <f t="shared" ca="1" si="113"/>
        <v>0</v>
      </c>
      <c r="U199" s="563">
        <f t="shared" ca="1" si="114"/>
        <v>0</v>
      </c>
      <c r="V199" s="563">
        <f t="shared" ca="1" si="115"/>
        <v>0</v>
      </c>
      <c r="W199" s="563">
        <f t="shared" ca="1" si="116"/>
        <v>0</v>
      </c>
      <c r="X199" s="563">
        <f t="shared" ca="1" si="117"/>
        <v>0</v>
      </c>
      <c r="Y199" s="563"/>
    </row>
    <row r="201" spans="4:79" ht="15">
      <c r="D201" s="552" t="s">
        <v>1060</v>
      </c>
      <c r="E201" s="552">
        <f ca="1">SUM(E168:E199)</f>
        <v>5.54074640658642E-3</v>
      </c>
      <c r="F201" s="552">
        <f ca="1">SUM(F168:F199)</f>
        <v>1.6579098366739695E-2</v>
      </c>
      <c r="G201" s="552">
        <f t="shared" ref="G201:X201" ca="1" si="118">SUM(G168:G199)</f>
        <v>3.3072350154050925E-2</v>
      </c>
      <c r="H201" s="552">
        <f t="shared" ca="1" si="118"/>
        <v>5.4978225744902534E-2</v>
      </c>
      <c r="I201" s="552">
        <f t="shared" ca="1" si="118"/>
        <v>8.2254873464900305E-2</v>
      </c>
      <c r="J201" s="552">
        <f t="shared" ca="1" si="118"/>
        <v>0.11431742758399932</v>
      </c>
      <c r="K201" s="552">
        <f t="shared" ca="1" si="118"/>
        <v>0.15015461600630481</v>
      </c>
      <c r="L201" s="552">
        <f t="shared" ca="1" si="118"/>
        <v>0.18896086182704236</v>
      </c>
      <c r="M201" s="552">
        <f t="shared" ca="1" si="118"/>
        <v>0.23009448709503133</v>
      </c>
      <c r="N201" s="552">
        <f t="shared" ca="1" si="118"/>
        <v>0.27304441041152017</v>
      </c>
      <c r="O201" s="552">
        <f t="shared" ca="1" si="118"/>
        <v>0.31740361193916067</v>
      </c>
      <c r="P201" s="552">
        <f t="shared" ca="1" si="118"/>
        <v>0.36284799036667781</v>
      </c>
      <c r="Q201" s="552">
        <f t="shared" ca="1" si="118"/>
        <v>0.40911951598277629</v>
      </c>
      <c r="R201" s="552">
        <f t="shared" ca="1" si="118"/>
        <v>0.45601280677033118</v>
      </c>
      <c r="S201" s="552">
        <f t="shared" ca="1" si="118"/>
        <v>0.50336443190009561</v>
      </c>
      <c r="T201" s="552">
        <f t="shared" ca="1" si="118"/>
        <v>0.5624950368104753</v>
      </c>
      <c r="U201" s="552">
        <f t="shared" ca="1" si="118"/>
        <v>0.62004500457835388</v>
      </c>
      <c r="V201" s="552">
        <f t="shared" ca="1" si="118"/>
        <v>0.67606470971943344</v>
      </c>
      <c r="W201" s="552">
        <f t="shared" ca="1" si="118"/>
        <v>0.73055014777369243</v>
      </c>
      <c r="X201" s="552">
        <f t="shared" ca="1" si="118"/>
        <v>0.78348919753855228</v>
      </c>
      <c r="Y201" s="552"/>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row>
    <row r="202" spans="4:79">
      <c r="E202" s="143"/>
      <c r="F202" s="137"/>
      <c r="G202" s="137"/>
      <c r="H202" s="137"/>
      <c r="I202" s="137"/>
      <c r="J202" s="137"/>
      <c r="K202" s="137"/>
      <c r="L202" s="137"/>
      <c r="M202" s="137"/>
      <c r="N202" s="137"/>
      <c r="O202" s="137"/>
      <c r="P202" s="137"/>
      <c r="Q202" s="137"/>
      <c r="R202" s="137"/>
      <c r="S202" s="137"/>
      <c r="T202" s="137"/>
      <c r="U202" s="137"/>
      <c r="V202" s="137"/>
      <c r="W202" s="137"/>
      <c r="X202" s="137"/>
      <c r="Y202" s="137"/>
    </row>
    <row r="205" spans="4:79" customFormat="1"/>
    <row r="206" spans="4:79" customFormat="1"/>
    <row r="207" spans="4:79" customFormat="1"/>
    <row r="208" spans="4:79"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sheetData>
  <mergeCells count="2">
    <mergeCell ref="B1:T6"/>
    <mergeCell ref="U1:U6"/>
  </mergeCells>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dimension ref="A1:EA8"/>
  <sheetViews>
    <sheetView workbookViewId="0">
      <selection sqref="A1:EA8"/>
    </sheetView>
  </sheetViews>
  <sheetFormatPr defaultRowHeight="12.75"/>
  <sheetData>
    <row r="1" spans="1:131" ht="13.5" thickBot="1">
      <c r="A1" s="518" t="s">
        <v>944</v>
      </c>
      <c r="B1" s="519"/>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row>
    <row r="2" spans="1:131" ht="13.5" thickBot="1">
      <c r="A2" s="520"/>
      <c r="B2" s="521"/>
      <c r="C2" s="522"/>
      <c r="D2" s="522"/>
      <c r="E2" s="522"/>
      <c r="F2" s="522"/>
      <c r="G2" s="522"/>
      <c r="H2" s="522"/>
      <c r="I2" s="522"/>
      <c r="J2" s="522"/>
      <c r="K2" s="522"/>
      <c r="L2" s="522"/>
      <c r="M2" s="522"/>
      <c r="N2" s="522"/>
      <c r="O2" s="523" t="s">
        <v>1336</v>
      </c>
      <c r="P2" s="524"/>
      <c r="Q2" s="524"/>
      <c r="R2" s="524"/>
      <c r="S2" s="524"/>
      <c r="T2" s="524"/>
      <c r="U2" s="524"/>
      <c r="V2" s="524"/>
      <c r="W2" s="524"/>
      <c r="X2" s="524"/>
      <c r="Y2" s="524"/>
      <c r="Z2" s="525"/>
      <c r="AA2" s="522"/>
      <c r="AB2" s="523" t="s">
        <v>1337</v>
      </c>
      <c r="AC2" s="524"/>
      <c r="AD2" s="524"/>
      <c r="AE2" s="524"/>
      <c r="AF2" s="524"/>
      <c r="AG2" s="524"/>
      <c r="AH2" s="524"/>
      <c r="AI2" s="524"/>
      <c r="AJ2" s="524"/>
      <c r="AK2" s="524"/>
      <c r="AL2" s="524"/>
      <c r="AM2" s="525"/>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row>
    <row r="3" spans="1:131" ht="204">
      <c r="A3" s="526" t="s">
        <v>945</v>
      </c>
      <c r="B3" s="527" t="s">
        <v>219</v>
      </c>
      <c r="C3" s="528" t="s">
        <v>946</v>
      </c>
      <c r="D3" s="528" t="s">
        <v>947</v>
      </c>
      <c r="E3" s="528" t="s">
        <v>948</v>
      </c>
      <c r="F3" s="528" t="s">
        <v>949</v>
      </c>
      <c r="G3" s="528" t="s">
        <v>950</v>
      </c>
      <c r="H3" s="528" t="s">
        <v>951</v>
      </c>
      <c r="I3" s="528" t="s">
        <v>952</v>
      </c>
      <c r="J3" s="528" t="s">
        <v>953</v>
      </c>
      <c r="K3" s="528" t="s">
        <v>954</v>
      </c>
      <c r="L3" s="528" t="s">
        <v>955</v>
      </c>
      <c r="M3" s="528" t="s">
        <v>956</v>
      </c>
      <c r="N3" s="528" t="s">
        <v>1338</v>
      </c>
      <c r="O3" s="528" t="s">
        <v>957</v>
      </c>
      <c r="P3" s="528" t="s">
        <v>958</v>
      </c>
      <c r="Q3" s="528" t="s">
        <v>959</v>
      </c>
      <c r="R3" s="528" t="s">
        <v>960</v>
      </c>
      <c r="S3" s="528" t="s">
        <v>961</v>
      </c>
      <c r="T3" s="528" t="s">
        <v>962</v>
      </c>
      <c r="U3" s="528" t="s">
        <v>963</v>
      </c>
      <c r="V3" s="528" t="s">
        <v>964</v>
      </c>
      <c r="W3" s="528" t="s">
        <v>965</v>
      </c>
      <c r="X3" s="528" t="s">
        <v>966</v>
      </c>
      <c r="Y3" s="528" t="s">
        <v>967</v>
      </c>
      <c r="Z3" s="528" t="s">
        <v>968</v>
      </c>
      <c r="AA3" s="528"/>
      <c r="AB3" s="528" t="s">
        <v>957</v>
      </c>
      <c r="AC3" s="528" t="s">
        <v>958</v>
      </c>
      <c r="AD3" s="528" t="s">
        <v>959</v>
      </c>
      <c r="AE3" s="528" t="s">
        <v>960</v>
      </c>
      <c r="AF3" s="528" t="s">
        <v>961</v>
      </c>
      <c r="AG3" s="528" t="s">
        <v>962</v>
      </c>
      <c r="AH3" s="528" t="s">
        <v>963</v>
      </c>
      <c r="AI3" s="528" t="s">
        <v>964</v>
      </c>
      <c r="AJ3" s="528" t="s">
        <v>965</v>
      </c>
      <c r="AK3" s="528" t="s">
        <v>966</v>
      </c>
      <c r="AL3" s="528" t="s">
        <v>967</v>
      </c>
      <c r="AM3" s="528" t="s">
        <v>968</v>
      </c>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row>
    <row r="4" spans="1:131">
      <c r="A4" s="34" t="s">
        <v>970</v>
      </c>
      <c r="B4" s="34"/>
      <c r="C4" s="137">
        <v>3.5557059945100065</v>
      </c>
      <c r="D4" s="137">
        <v>5.2795660553372441</v>
      </c>
      <c r="E4" s="137">
        <v>1.055913211067449</v>
      </c>
      <c r="F4" s="137">
        <v>6.3354792664046933</v>
      </c>
      <c r="G4" s="137">
        <v>7.4925578876706256</v>
      </c>
      <c r="H4" s="137">
        <v>6.9756530674603905</v>
      </c>
      <c r="I4" s="137">
        <v>15608.376637268379</v>
      </c>
      <c r="J4" s="137">
        <v>83.115067610955847</v>
      </c>
      <c r="K4" s="137">
        <v>48.658285133252164</v>
      </c>
      <c r="L4" s="602">
        <v>0.93101090068842474</v>
      </c>
      <c r="M4" s="137">
        <v>3.5499397544400221E-2</v>
      </c>
      <c r="N4" s="137">
        <v>6.8070900757051642E-4</v>
      </c>
      <c r="O4" s="137">
        <v>0.23344310596774925</v>
      </c>
      <c r="P4" s="137">
        <v>0.20872530995851063</v>
      </c>
      <c r="Q4" s="137">
        <v>0.23931692046848702</v>
      </c>
      <c r="R4" s="137">
        <v>0.207474530098605</v>
      </c>
      <c r="S4" s="137">
        <v>0.19843382899768067</v>
      </c>
      <c r="T4" s="137">
        <v>0.19412174922352995</v>
      </c>
      <c r="U4" s="137">
        <v>0.16598073699505142</v>
      </c>
      <c r="V4" s="137">
        <v>0.17363864551754932</v>
      </c>
      <c r="W4" s="137">
        <v>0.16183688934593823</v>
      </c>
      <c r="X4" s="137">
        <v>0.19473984471358194</v>
      </c>
      <c r="Y4" s="137">
        <v>0.19932804538613083</v>
      </c>
      <c r="Z4" s="137">
        <v>0.23173934650167499</v>
      </c>
      <c r="AA4" s="137"/>
      <c r="AB4" s="137">
        <v>0.11957225991186747</v>
      </c>
      <c r="AC4" s="137">
        <v>0.10015607351596681</v>
      </c>
      <c r="AD4" s="137">
        <v>9.5523562492732902E-2</v>
      </c>
      <c r="AE4" s="137">
        <v>9.8738331528047729E-2</v>
      </c>
      <c r="AF4" s="137">
        <v>9.8564993692252481E-2</v>
      </c>
      <c r="AG4" s="137">
        <v>8.2481603895873362E-2</v>
      </c>
      <c r="AH4" s="137">
        <v>9.0317405541494172E-2</v>
      </c>
      <c r="AI4" s="137">
        <v>7.148661564111837E-2</v>
      </c>
      <c r="AJ4" s="137">
        <v>8.6836079555160095E-2</v>
      </c>
      <c r="AK4" s="137">
        <v>8.1061959117889729E-2</v>
      </c>
      <c r="AL4" s="137">
        <v>0.1057591836205643</v>
      </c>
      <c r="AM4" s="143">
        <v>0.11642897282254996</v>
      </c>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row>
    <row r="5" spans="1:131">
      <c r="A5" s="34" t="s">
        <v>971</v>
      </c>
      <c r="B5" s="34"/>
      <c r="C5" s="137">
        <v>3.1794885152576335</v>
      </c>
      <c r="D5" s="137">
        <v>5.2795660553372441</v>
      </c>
      <c r="E5" s="137">
        <v>1.055913211067449</v>
      </c>
      <c r="F5" s="137">
        <v>6.3354792664046933</v>
      </c>
      <c r="G5" s="137">
        <v>7.4925578876706256</v>
      </c>
      <c r="H5" s="137">
        <v>6.8423975333356601</v>
      </c>
      <c r="I5" s="137">
        <v>17455.259897112115</v>
      </c>
      <c r="J5" s="137">
        <v>94.249892730393199</v>
      </c>
      <c r="K5" s="137">
        <v>53.004218139522706</v>
      </c>
      <c r="L5" s="602">
        <v>0.91322584835749665</v>
      </c>
      <c r="M5" s="137">
        <v>3.3807425652068235E-2</v>
      </c>
      <c r="N5" s="137">
        <v>6.0790203401237843E-4</v>
      </c>
      <c r="O5" s="137">
        <v>0.20856762971636814</v>
      </c>
      <c r="P5" s="137">
        <v>0.1864410678070427</v>
      </c>
      <c r="Q5" s="137">
        <v>0.21368153026712461</v>
      </c>
      <c r="R5" s="137">
        <v>0.18524213193309319</v>
      </c>
      <c r="S5" s="137">
        <v>0.17722801341254679</v>
      </c>
      <c r="T5" s="137">
        <v>0.17344648951467118</v>
      </c>
      <c r="U5" s="137">
        <v>0.14848255613421052</v>
      </c>
      <c r="V5" s="137">
        <v>0.1553391889640402</v>
      </c>
      <c r="W5" s="137">
        <v>0.14466933043358504</v>
      </c>
      <c r="X5" s="137">
        <v>0.17401311900186581</v>
      </c>
      <c r="Y5" s="137">
        <v>0.17808396104100074</v>
      </c>
      <c r="Z5" s="137">
        <v>0.20703930808874799</v>
      </c>
      <c r="AA5" s="137"/>
      <c r="AB5" s="137">
        <v>0.10709016193091135</v>
      </c>
      <c r="AC5" s="137">
        <v>8.9700786936127125E-2</v>
      </c>
      <c r="AD5" s="137">
        <v>8.5541327705861925E-2</v>
      </c>
      <c r="AE5" s="137">
        <v>8.8354448721179424E-2</v>
      </c>
      <c r="AF5" s="137">
        <v>8.8188414920633701E-2</v>
      </c>
      <c r="AG5" s="137">
        <v>7.3878249501081544E-2</v>
      </c>
      <c r="AH5" s="137">
        <v>8.0962620115533027E-2</v>
      </c>
      <c r="AI5" s="137">
        <v>6.4142108560946071E-2</v>
      </c>
      <c r="AJ5" s="137">
        <v>7.7787353612097807E-2</v>
      </c>
      <c r="AK5" s="137">
        <v>7.2619823454763407E-2</v>
      </c>
      <c r="AL5" s="137">
        <v>9.4703379028289222E-2</v>
      </c>
      <c r="AM5" s="143">
        <v>0.10428551445591223</v>
      </c>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c r="CL5" s="143"/>
      <c r="CM5" s="143"/>
      <c r="CN5" s="143"/>
      <c r="CO5" s="143"/>
      <c r="CP5" s="143"/>
      <c r="CQ5" s="143"/>
      <c r="CR5" s="143"/>
      <c r="CS5" s="143"/>
      <c r="CT5" s="143"/>
      <c r="CU5" s="143"/>
      <c r="CV5" s="143"/>
      <c r="CW5" s="143"/>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row>
    <row r="6" spans="1:131">
      <c r="A6" s="34" t="s">
        <v>972</v>
      </c>
      <c r="B6" s="34"/>
      <c r="C6" s="137">
        <v>3.1794885152576335</v>
      </c>
      <c r="D6" s="137">
        <v>5.2795660553372441</v>
      </c>
      <c r="E6" s="137">
        <v>1.055913211067449</v>
      </c>
      <c r="F6" s="137">
        <v>6.3354792664046933</v>
      </c>
      <c r="G6" s="137">
        <v>7.4925578876706256</v>
      </c>
      <c r="H6" s="137">
        <v>6.8423975333356601</v>
      </c>
      <c r="I6" s="137">
        <v>17455.259897112115</v>
      </c>
      <c r="J6" s="137">
        <v>94.249892730393199</v>
      </c>
      <c r="K6" s="137">
        <v>53.004218139522706</v>
      </c>
      <c r="L6" s="602">
        <v>0.91322584835749665</v>
      </c>
      <c r="M6" s="137">
        <v>3.3807425652068235E-2</v>
      </c>
      <c r="N6" s="137">
        <v>6.0790203401237843E-4</v>
      </c>
      <c r="O6" s="137">
        <v>0.20856762971636814</v>
      </c>
      <c r="P6" s="137">
        <v>0.1864410678070427</v>
      </c>
      <c r="Q6" s="137">
        <v>0.21368153026712461</v>
      </c>
      <c r="R6" s="137">
        <v>0.18524213193309319</v>
      </c>
      <c r="S6" s="137">
        <v>0.17722801341254679</v>
      </c>
      <c r="T6" s="137">
        <v>0.17344648951467118</v>
      </c>
      <c r="U6" s="137">
        <v>0.14848255613421052</v>
      </c>
      <c r="V6" s="137">
        <v>0.1553391889640402</v>
      </c>
      <c r="W6" s="137">
        <v>0.14466933043358504</v>
      </c>
      <c r="X6" s="137">
        <v>0.17401311900186581</v>
      </c>
      <c r="Y6" s="137">
        <v>0.17808396104100074</v>
      </c>
      <c r="Z6" s="137">
        <v>0.20703930808874799</v>
      </c>
      <c r="AA6" s="137"/>
      <c r="AB6" s="137">
        <v>0.10709016193091135</v>
      </c>
      <c r="AC6" s="137">
        <v>8.9700786936127125E-2</v>
      </c>
      <c r="AD6" s="137">
        <v>8.5541327705861925E-2</v>
      </c>
      <c r="AE6" s="137">
        <v>8.8354448721179424E-2</v>
      </c>
      <c r="AF6" s="137">
        <v>8.8188414920633701E-2</v>
      </c>
      <c r="AG6" s="137">
        <v>7.3878249501081544E-2</v>
      </c>
      <c r="AH6" s="137">
        <v>8.0962620115533027E-2</v>
      </c>
      <c r="AI6" s="137">
        <v>6.4142108560946071E-2</v>
      </c>
      <c r="AJ6" s="137">
        <v>7.7787353612097807E-2</v>
      </c>
      <c r="AK6" s="137">
        <v>7.2619823454763407E-2</v>
      </c>
      <c r="AL6" s="137">
        <v>9.4703379028289222E-2</v>
      </c>
      <c r="AM6" s="143">
        <v>0.10428551445591223</v>
      </c>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row>
    <row r="7" spans="1:131">
      <c r="A7" s="34" t="s">
        <v>969</v>
      </c>
      <c r="B7" s="34"/>
      <c r="C7" s="137">
        <v>0.99353523063608473</v>
      </c>
      <c r="D7" s="137">
        <v>5.2795660553372441</v>
      </c>
      <c r="E7" s="137">
        <v>1.055913211067449</v>
      </c>
      <c r="F7" s="137">
        <v>6.3354792664046933</v>
      </c>
      <c r="G7" s="137">
        <v>7.4925578876706256</v>
      </c>
      <c r="H7" s="137">
        <v>6.0681369298868013</v>
      </c>
      <c r="I7" s="137">
        <v>55859.91987236675</v>
      </c>
      <c r="J7" s="137">
        <v>325.79087958848862</v>
      </c>
      <c r="K7" s="137">
        <v>143.37488910178871</v>
      </c>
      <c r="L7" s="602">
        <v>0.80988856153813915</v>
      </c>
      <c r="M7" s="137">
        <v>2.3976485519036032E-2</v>
      </c>
      <c r="N7" s="137">
        <v>1.8486841178664502E-4</v>
      </c>
      <c r="O7" s="137">
        <v>6.4032534945412126E-2</v>
      </c>
      <c r="P7" s="137">
        <v>5.6961936685582151E-2</v>
      </c>
      <c r="Q7" s="137">
        <v>6.4731073407484283E-2</v>
      </c>
      <c r="R7" s="137">
        <v>5.6064232247274463E-2</v>
      </c>
      <c r="S7" s="137">
        <v>5.4014912512717041E-2</v>
      </c>
      <c r="T7" s="137">
        <v>5.3316101206301938E-2</v>
      </c>
      <c r="U7" s="137">
        <v>4.6812091477255471E-2</v>
      </c>
      <c r="V7" s="137">
        <v>4.9013036230719925E-2</v>
      </c>
      <c r="W7" s="137">
        <v>4.491989330491214E-2</v>
      </c>
      <c r="X7" s="137">
        <v>5.3583695469997798E-2</v>
      </c>
      <c r="Y7" s="137">
        <v>5.46485054494689E-2</v>
      </c>
      <c r="Z7" s="137">
        <v>6.3523567655016808E-2</v>
      </c>
      <c r="AA7" s="137"/>
      <c r="AB7" s="137">
        <v>3.456486848983864E-2</v>
      </c>
      <c r="AC7" s="137">
        <v>2.8951966636023983E-2</v>
      </c>
      <c r="AD7" s="137">
        <v>2.7541101444214944E-2</v>
      </c>
      <c r="AE7" s="137">
        <v>2.8020508964030764E-2</v>
      </c>
      <c r="AF7" s="137">
        <v>2.789691412691751E-2</v>
      </c>
      <c r="AG7" s="137">
        <v>2.388979379341177E-2</v>
      </c>
      <c r="AH7" s="137">
        <v>2.6608091002620692E-2</v>
      </c>
      <c r="AI7" s="137">
        <v>2.1467989836496552E-2</v>
      </c>
      <c r="AJ7" s="137">
        <v>2.5211135632580643E-2</v>
      </c>
      <c r="AK7" s="137">
        <v>2.3568104170736227E-2</v>
      </c>
      <c r="AL7" s="137">
        <v>3.0465342000759787E-2</v>
      </c>
      <c r="AM7" s="143">
        <v>3.3727833946310182E-2</v>
      </c>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row>
    <row r="8" spans="1:131">
      <c r="A8" s="34"/>
      <c r="B8" s="34"/>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3"/>
  <dimension ref="A1:EA121"/>
  <sheetViews>
    <sheetView topLeftCell="A19" workbookViewId="0">
      <selection activeCell="A39" sqref="A39:EA121"/>
    </sheetView>
  </sheetViews>
  <sheetFormatPr defaultRowHeight="12.75"/>
  <cols>
    <col min="1" max="1" width="71.42578125" bestFit="1" customWidth="1"/>
    <col min="2" max="2" width="18.7109375" customWidth="1"/>
    <col min="3" max="3" width="18" customWidth="1"/>
    <col min="15" max="15" width="11.140625" customWidth="1"/>
  </cols>
  <sheetData>
    <row r="1" spans="1:20">
      <c r="A1" s="107" t="s">
        <v>197</v>
      </c>
      <c r="B1" s="108"/>
      <c r="C1" s="108"/>
      <c r="D1" s="108"/>
      <c r="E1" s="108"/>
      <c r="F1" s="108"/>
      <c r="G1" s="108"/>
      <c r="H1" s="109"/>
      <c r="I1" s="110"/>
      <c r="J1" s="110"/>
      <c r="K1" s="110"/>
      <c r="L1" s="110"/>
      <c r="M1" s="110"/>
      <c r="N1" s="111"/>
      <c r="O1" s="112"/>
      <c r="P1" s="111"/>
    </row>
    <row r="2" spans="1:20">
      <c r="A2" s="115" t="s">
        <v>198</v>
      </c>
      <c r="B2" s="109"/>
      <c r="C2" s="109"/>
      <c r="D2" s="109"/>
      <c r="E2" s="109"/>
      <c r="F2" s="109"/>
      <c r="G2" s="109"/>
      <c r="H2" s="109"/>
      <c r="I2" s="110"/>
      <c r="J2" s="110"/>
      <c r="K2" s="110"/>
      <c r="L2" s="110"/>
      <c r="M2" s="110"/>
      <c r="N2" s="111"/>
      <c r="O2" s="111"/>
      <c r="P2" s="111"/>
    </row>
    <row r="3" spans="1:20">
      <c r="A3" s="115" t="s">
        <v>199</v>
      </c>
      <c r="B3" s="34"/>
      <c r="C3" s="115">
        <v>2012</v>
      </c>
      <c r="D3" s="34"/>
      <c r="E3" s="34"/>
      <c r="F3" s="34"/>
      <c r="G3" s="34"/>
      <c r="H3" s="34"/>
      <c r="I3" s="34"/>
      <c r="J3" s="116"/>
      <c r="K3" s="117"/>
      <c r="L3" s="34"/>
      <c r="M3" s="34"/>
      <c r="N3" s="34"/>
      <c r="O3" s="34"/>
      <c r="P3" s="34"/>
    </row>
    <row r="4" spans="1:20">
      <c r="A4" s="34"/>
      <c r="B4" s="34"/>
      <c r="C4" s="34"/>
      <c r="D4" s="34"/>
      <c r="E4" s="34"/>
      <c r="F4" s="34"/>
      <c r="G4" s="34"/>
      <c r="H4" s="34"/>
      <c r="I4" s="34"/>
      <c r="J4" s="34"/>
      <c r="K4" s="34"/>
      <c r="L4" s="34"/>
      <c r="M4" s="34"/>
      <c r="N4" s="34"/>
      <c r="O4" s="34"/>
      <c r="P4" s="34"/>
    </row>
    <row r="5" spans="1:20">
      <c r="A5" s="118">
        <v>1</v>
      </c>
      <c r="B5" s="118">
        <v>2</v>
      </c>
      <c r="C5" s="118">
        <v>3</v>
      </c>
      <c r="D5" s="118">
        <v>4</v>
      </c>
      <c r="E5" s="118">
        <v>5</v>
      </c>
      <c r="F5" s="118">
        <v>6</v>
      </c>
      <c r="G5" s="118">
        <v>7</v>
      </c>
      <c r="H5" s="118">
        <v>8</v>
      </c>
      <c r="I5" s="118">
        <v>9</v>
      </c>
      <c r="J5" s="118">
        <v>10</v>
      </c>
      <c r="K5" s="118">
        <v>11</v>
      </c>
      <c r="L5" s="118">
        <v>12</v>
      </c>
      <c r="M5" s="118">
        <v>13</v>
      </c>
      <c r="N5" s="118">
        <v>14</v>
      </c>
      <c r="O5" s="118">
        <v>15</v>
      </c>
      <c r="P5" s="118">
        <v>16</v>
      </c>
    </row>
    <row r="6" spans="1:20">
      <c r="A6" s="119" t="s">
        <v>200</v>
      </c>
      <c r="B6" s="120"/>
      <c r="C6" s="120"/>
      <c r="D6" s="120"/>
      <c r="E6" s="120"/>
      <c r="F6" s="120"/>
      <c r="G6" s="121"/>
      <c r="H6" s="511"/>
      <c r="I6" s="620" t="s">
        <v>201</v>
      </c>
      <c r="J6" s="621"/>
      <c r="K6" s="621"/>
      <c r="L6" s="621"/>
      <c r="M6" s="621"/>
      <c r="N6" s="622"/>
      <c r="O6" s="623" t="s">
        <v>202</v>
      </c>
      <c r="P6" s="624"/>
      <c r="Q6" s="580" t="s">
        <v>1109</v>
      </c>
      <c r="R6" s="625" t="s">
        <v>1110</v>
      </c>
      <c r="S6" s="625"/>
      <c r="T6" s="625"/>
    </row>
    <row r="7" spans="1:20" ht="38.25">
      <c r="A7" s="128" t="s">
        <v>203</v>
      </c>
      <c r="B7" s="128" t="s">
        <v>204</v>
      </c>
      <c r="C7" s="128" t="s">
        <v>205</v>
      </c>
      <c r="D7" s="128" t="s">
        <v>206</v>
      </c>
      <c r="E7" s="128" t="s">
        <v>207</v>
      </c>
      <c r="F7" s="128" t="s">
        <v>208</v>
      </c>
      <c r="G7" s="128" t="s">
        <v>209</v>
      </c>
      <c r="H7" s="128" t="s">
        <v>210</v>
      </c>
      <c r="I7" s="128" t="s">
        <v>211</v>
      </c>
      <c r="J7" s="128" t="s">
        <v>212</v>
      </c>
      <c r="K7" s="128" t="s">
        <v>213</v>
      </c>
      <c r="L7" s="128" t="s">
        <v>214</v>
      </c>
      <c r="M7" s="128" t="s">
        <v>215</v>
      </c>
      <c r="N7" s="128" t="s">
        <v>216</v>
      </c>
      <c r="O7" s="512" t="s">
        <v>217</v>
      </c>
      <c r="P7" s="128" t="s">
        <v>209</v>
      </c>
      <c r="Q7" s="581" t="s">
        <v>1111</v>
      </c>
      <c r="R7" s="582" t="s">
        <v>1112</v>
      </c>
      <c r="S7" s="582" t="s">
        <v>1113</v>
      </c>
      <c r="T7" s="582" t="s">
        <v>1114</v>
      </c>
    </row>
    <row r="8" spans="1:20">
      <c r="A8" t="str">
        <f>CONCATENATE(Segmented!A6," ",Segmented!C6)</f>
        <v>Single Family Energy Star Dishwasher - Any DHW</v>
      </c>
      <c r="B8" t="str">
        <f>Segmented!D6</f>
        <v>All Except Waste Water Energy</v>
      </c>
      <c r="C8" s="514">
        <f>Segmented!E6</f>
        <v>0.73441449581893048</v>
      </c>
      <c r="D8">
        <f>Segmented!F6</f>
        <v>15.4</v>
      </c>
      <c r="E8" s="517">
        <f>Segmented!G6</f>
        <v>5.2795660553372441</v>
      </c>
      <c r="F8">
        <f>Segmented!H6</f>
        <v>0</v>
      </c>
      <c r="G8" t="s">
        <v>1119</v>
      </c>
      <c r="H8">
        <f>Segmented!J6</f>
        <v>0.33177417068635534</v>
      </c>
      <c r="I8">
        <f>Segmented!K6</f>
        <v>0</v>
      </c>
      <c r="J8">
        <f>Segmented!L6</f>
        <v>0</v>
      </c>
      <c r="K8">
        <f>Segmented!M6</f>
        <v>0</v>
      </c>
      <c r="L8">
        <f>Segmented!N6</f>
        <v>0</v>
      </c>
      <c r="M8">
        <f>Segmented!O6</f>
        <v>0</v>
      </c>
      <c r="N8">
        <f>Segmented!P6</f>
        <v>0</v>
      </c>
      <c r="O8">
        <f>Segmented!Q6</f>
        <v>0.12302457103498743</v>
      </c>
      <c r="P8" t="s">
        <v>1119</v>
      </c>
      <c r="Q8" t="s">
        <v>89</v>
      </c>
    </row>
    <row r="9" spans="1:20">
      <c r="A9" t="str">
        <f>CONCATENATE(Segmented!A7," ",Segmented!C7)</f>
        <v>Single Family Energy Star Dishwasher - Any DHW</v>
      </c>
      <c r="B9" t="str">
        <f>Segmented!D7</f>
        <v>Waste Water Energy</v>
      </c>
      <c r="C9" s="514">
        <f>Segmented!E7</f>
        <v>0.19001627921082875</v>
      </c>
      <c r="D9">
        <f>Segmented!F7</f>
        <v>15.4</v>
      </c>
      <c r="E9" s="517">
        <f>Segmented!G7</f>
        <v>0</v>
      </c>
      <c r="F9">
        <f>Segmented!H7</f>
        <v>0</v>
      </c>
      <c r="G9" t="s">
        <v>1118</v>
      </c>
      <c r="H9">
        <f>Segmented!J7</f>
        <v>0</v>
      </c>
      <c r="I9">
        <f>Segmented!K7</f>
        <v>0</v>
      </c>
      <c r="J9">
        <f>Segmented!L7</f>
        <v>0</v>
      </c>
      <c r="K9">
        <f>Segmented!M7</f>
        <v>0</v>
      </c>
      <c r="L9">
        <f>Segmented!N7</f>
        <v>0</v>
      </c>
      <c r="M9">
        <f>Segmented!O7</f>
        <v>0</v>
      </c>
      <c r="N9">
        <f>Segmented!P7</f>
        <v>0</v>
      </c>
      <c r="O9">
        <f>Segmented!Q7</f>
        <v>0</v>
      </c>
      <c r="P9" t="str">
        <f>Segmented!R7</f>
        <v/>
      </c>
      <c r="Q9" t="s">
        <v>89</v>
      </c>
    </row>
    <row r="10" spans="1:20">
      <c r="A10" t="str">
        <f>CONCATENATE(Segmented!A8," ",Segmented!C8)</f>
        <v>Manufactured Energy Star Dishwasher - Any DHW</v>
      </c>
      <c r="B10" t="str">
        <f>Segmented!D8</f>
        <v>All Except Waste Water Energy</v>
      </c>
      <c r="C10" s="514">
        <f>Segmented!E8</f>
        <v>3.1180591628190424</v>
      </c>
      <c r="D10">
        <f>Segmented!F8</f>
        <v>15.4</v>
      </c>
      <c r="E10" s="517">
        <f>Segmented!G8</f>
        <v>5.2795660553372441</v>
      </c>
      <c r="F10">
        <f>Segmented!H8</f>
        <v>0</v>
      </c>
      <c r="G10" t="s">
        <v>1119</v>
      </c>
      <c r="H10">
        <f>Segmented!J8</f>
        <v>0.33177417068635534</v>
      </c>
      <c r="I10">
        <f>Segmented!K8</f>
        <v>0</v>
      </c>
      <c r="J10">
        <f>Segmented!L8</f>
        <v>0</v>
      </c>
      <c r="K10">
        <f>Segmented!M8</f>
        <v>0</v>
      </c>
      <c r="L10">
        <f>Segmented!N8</f>
        <v>0</v>
      </c>
      <c r="M10">
        <f>Segmented!O8</f>
        <v>0</v>
      </c>
      <c r="N10">
        <f>Segmented!P8</f>
        <v>0</v>
      </c>
      <c r="O10">
        <f>Segmented!Q8</f>
        <v>1.4554246126907009E-2</v>
      </c>
      <c r="P10" t="s">
        <v>1119</v>
      </c>
      <c r="Q10" t="s">
        <v>89</v>
      </c>
    </row>
    <row r="11" spans="1:20">
      <c r="A11" t="str">
        <f>CONCATENATE(Segmented!A9," ",Segmented!C9)</f>
        <v>Manufactured Energy Star Dishwasher - Any DHW</v>
      </c>
      <c r="B11" t="str">
        <f>Segmented!D9</f>
        <v>Waste Water Energy</v>
      </c>
      <c r="C11" s="514">
        <f>Segmented!E9</f>
        <v>0.19001627921082875</v>
      </c>
      <c r="D11">
        <f>Segmented!F9</f>
        <v>15.4</v>
      </c>
      <c r="E11" s="517">
        <f>Segmented!G9</f>
        <v>0</v>
      </c>
      <c r="F11">
        <f>Segmented!H9</f>
        <v>0</v>
      </c>
      <c r="G11" t="s">
        <v>1118</v>
      </c>
      <c r="H11">
        <f>Segmented!J9</f>
        <v>0</v>
      </c>
      <c r="I11">
        <f>Segmented!K9</f>
        <v>0</v>
      </c>
      <c r="J11">
        <f>Segmented!L9</f>
        <v>0</v>
      </c>
      <c r="K11">
        <f>Segmented!M9</f>
        <v>0</v>
      </c>
      <c r="L11">
        <f>Segmented!N9</f>
        <v>0</v>
      </c>
      <c r="M11">
        <f>Segmented!O9</f>
        <v>0</v>
      </c>
      <c r="N11">
        <f>Segmented!P9</f>
        <v>0</v>
      </c>
      <c r="O11">
        <f>Segmented!Q9</f>
        <v>0</v>
      </c>
      <c r="P11" t="str">
        <f>Segmented!R9</f>
        <v/>
      </c>
      <c r="Q11" t="s">
        <v>89</v>
      </c>
    </row>
    <row r="12" spans="1:20">
      <c r="A12" t="str">
        <f>CONCATENATE(Segmented!A10," ",Segmented!C10)</f>
        <v>Multifamily - Low Rise Energy Star Dishwasher - Any DHW</v>
      </c>
      <c r="B12" t="str">
        <f>Segmented!D10</f>
        <v>All Except Waste Water Energy</v>
      </c>
      <c r="C12" s="514">
        <f>Segmented!E10</f>
        <v>2.7680556420949758</v>
      </c>
      <c r="D12">
        <f>Segmented!F10</f>
        <v>15.4</v>
      </c>
      <c r="E12" s="517">
        <f>Segmented!G10</f>
        <v>5.2795660553372441</v>
      </c>
      <c r="F12">
        <f>Segmented!H10</f>
        <v>0</v>
      </c>
      <c r="G12" t="s">
        <v>1119</v>
      </c>
      <c r="H12">
        <f>Segmented!J10</f>
        <v>0.33177417068635534</v>
      </c>
      <c r="I12">
        <f>Segmented!K10</f>
        <v>0</v>
      </c>
      <c r="J12">
        <f>Segmented!L10</f>
        <v>0</v>
      </c>
      <c r="K12">
        <f>Segmented!M10</f>
        <v>0</v>
      </c>
      <c r="L12">
        <f>Segmented!N10</f>
        <v>0</v>
      </c>
      <c r="M12">
        <f>Segmented!O10</f>
        <v>0</v>
      </c>
      <c r="N12">
        <f>Segmented!P10</f>
        <v>0</v>
      </c>
      <c r="O12">
        <f>Segmented!Q10</f>
        <v>3.0481534341258047E-2</v>
      </c>
      <c r="P12" t="s">
        <v>1119</v>
      </c>
      <c r="Q12" t="s">
        <v>89</v>
      </c>
    </row>
    <row r="13" spans="1:20">
      <c r="A13" t="str">
        <f>CONCATENATE(Segmented!A11," ",Segmented!C11)</f>
        <v>Multifamily - Low Rise Energy Star Dishwasher - Any DHW</v>
      </c>
      <c r="B13" t="str">
        <f>Segmented!D11</f>
        <v>Waste Water Energy</v>
      </c>
      <c r="C13" s="514">
        <f>Segmented!E11</f>
        <v>0.19001627921082875</v>
      </c>
      <c r="D13">
        <f>Segmented!F11</f>
        <v>15.4</v>
      </c>
      <c r="E13" s="517">
        <f>Segmented!G11</f>
        <v>0</v>
      </c>
      <c r="F13">
        <f>Segmented!H11</f>
        <v>0</v>
      </c>
      <c r="G13" t="s">
        <v>1118</v>
      </c>
      <c r="H13">
        <f>Segmented!J11</f>
        <v>0</v>
      </c>
      <c r="I13">
        <f>Segmented!K11</f>
        <v>0</v>
      </c>
      <c r="J13">
        <f>Segmented!L11</f>
        <v>0</v>
      </c>
      <c r="K13">
        <f>Segmented!M11</f>
        <v>0</v>
      </c>
      <c r="L13">
        <f>Segmented!N11</f>
        <v>0</v>
      </c>
      <c r="M13">
        <f>Segmented!O11</f>
        <v>0</v>
      </c>
      <c r="N13">
        <f>Segmented!P11</f>
        <v>0</v>
      </c>
      <c r="O13">
        <f>Segmented!Q11</f>
        <v>0</v>
      </c>
      <c r="P13" t="str">
        <f>Segmented!R11</f>
        <v/>
      </c>
      <c r="Q13" t="s">
        <v>89</v>
      </c>
    </row>
    <row r="14" spans="1:20">
      <c r="A14" t="str">
        <f>CONCATENATE(Segmented!A12," ",Segmented!C12)</f>
        <v>Multifamily - High Rise Energy Star Dishwasher - Any DHW</v>
      </c>
      <c r="B14" t="str">
        <f>Segmented!D12</f>
        <v>All Except Waste Water Energy</v>
      </c>
      <c r="C14" s="514">
        <f>Segmented!E12</f>
        <v>2.7680556420949758</v>
      </c>
      <c r="D14">
        <f>Segmented!F12</f>
        <v>15.4</v>
      </c>
      <c r="E14" s="517">
        <f>Segmented!G12</f>
        <v>5.2795660553372441</v>
      </c>
      <c r="F14">
        <f>Segmented!H12</f>
        <v>0</v>
      </c>
      <c r="G14" t="s">
        <v>1119</v>
      </c>
      <c r="H14">
        <f>Segmented!J12</f>
        <v>0.33177417068635534</v>
      </c>
      <c r="I14">
        <f>Segmented!K12</f>
        <v>0</v>
      </c>
      <c r="J14">
        <f>Segmented!L12</f>
        <v>0</v>
      </c>
      <c r="K14">
        <f>Segmented!M12</f>
        <v>0</v>
      </c>
      <c r="L14">
        <f>Segmented!N12</f>
        <v>0</v>
      </c>
      <c r="M14">
        <f>Segmented!O12</f>
        <v>0</v>
      </c>
      <c r="N14">
        <f>Segmented!P12</f>
        <v>0</v>
      </c>
      <c r="O14">
        <f>Segmented!Q12</f>
        <v>3.0481534341258047E-2</v>
      </c>
      <c r="P14" t="s">
        <v>1119</v>
      </c>
      <c r="Q14" t="s">
        <v>89</v>
      </c>
    </row>
    <row r="15" spans="1:20">
      <c r="A15" t="str">
        <f>CONCATENATE(Segmented!A13," ",Segmented!C13)</f>
        <v>Multifamily - High Rise Energy Star Dishwasher - Any DHW</v>
      </c>
      <c r="B15" t="str">
        <f>Segmented!D13</f>
        <v>Waste Water Energy</v>
      </c>
      <c r="C15" s="514">
        <f>Segmented!E13</f>
        <v>0.19001627921082875</v>
      </c>
      <c r="D15">
        <f>Segmented!F13</f>
        <v>15.4</v>
      </c>
      <c r="E15" s="517">
        <f>Segmented!G13</f>
        <v>0</v>
      </c>
      <c r="F15">
        <f>Segmented!H13</f>
        <v>0</v>
      </c>
      <c r="G15" t="s">
        <v>1118</v>
      </c>
      <c r="H15">
        <f>Segmented!J13</f>
        <v>0</v>
      </c>
      <c r="I15">
        <f>Segmented!K13</f>
        <v>0</v>
      </c>
      <c r="J15">
        <f>Segmented!L13</f>
        <v>0</v>
      </c>
      <c r="K15">
        <f>Segmented!M13</f>
        <v>0</v>
      </c>
      <c r="L15">
        <f>Segmented!N13</f>
        <v>0</v>
      </c>
      <c r="M15">
        <f>Segmented!O13</f>
        <v>0</v>
      </c>
      <c r="N15">
        <f>Segmented!P13</f>
        <v>0</v>
      </c>
      <c r="O15">
        <f>Segmented!Q13</f>
        <v>0</v>
      </c>
      <c r="P15" t="str">
        <f>Segmented!R13</f>
        <v/>
      </c>
      <c r="Q15" t="s">
        <v>89</v>
      </c>
    </row>
    <row r="16" spans="1:20">
      <c r="A16" t="str">
        <f>CONCATENATE(Segmented!A14," ",Segmented!C14)</f>
        <v xml:space="preserve"> </v>
      </c>
      <c r="C16" s="514"/>
      <c r="E16" s="517"/>
    </row>
    <row r="17" spans="1:5">
      <c r="A17" t="str">
        <f>CONCATENATE(Segmented!A15," ",Segmented!C15)</f>
        <v xml:space="preserve"> </v>
      </c>
      <c r="C17" s="514"/>
      <c r="E17" s="517"/>
    </row>
    <row r="18" spans="1:5">
      <c r="A18" t="str">
        <f>CONCATENATE(Segmented!A16," ",Segmented!C16)</f>
        <v xml:space="preserve"> </v>
      </c>
      <c r="C18" s="514"/>
      <c r="E18" s="517"/>
    </row>
    <row r="19" spans="1:5">
      <c r="A19" t="str">
        <f>CONCATENATE(Segmented!A17," ",Segmented!C17)</f>
        <v xml:space="preserve"> </v>
      </c>
      <c r="C19" s="514"/>
      <c r="E19" s="517"/>
    </row>
    <row r="20" spans="1:5">
      <c r="A20" t="str">
        <f>CONCATENATE(Segmented!A18," ",Segmented!C18)</f>
        <v xml:space="preserve"> </v>
      </c>
      <c r="C20" s="514"/>
      <c r="E20" s="517"/>
    </row>
    <row r="21" spans="1:5">
      <c r="A21" t="str">
        <f>CONCATENATE(Segmented!A19," ",Segmented!C19)</f>
        <v xml:space="preserve"> </v>
      </c>
      <c r="C21" s="514"/>
      <c r="E21" s="517"/>
    </row>
    <row r="22" spans="1:5">
      <c r="A22" t="str">
        <f>CONCATENATE(Segmented!A20," ",Segmented!C20)</f>
        <v xml:space="preserve"> </v>
      </c>
      <c r="C22" s="514"/>
      <c r="E22" s="517"/>
    </row>
    <row r="23" spans="1:5">
      <c r="A23" t="str">
        <f>CONCATENATE(Segmented!A21," ",Segmented!C21)</f>
        <v xml:space="preserve"> </v>
      </c>
      <c r="C23" s="514"/>
      <c r="E23" s="517"/>
    </row>
    <row r="24" spans="1:5">
      <c r="A24" t="str">
        <f>CONCATENATE(Segmented!A22," ",Segmented!C22)</f>
        <v xml:space="preserve"> </v>
      </c>
      <c r="C24" s="514"/>
      <c r="E24" s="517"/>
    </row>
    <row r="25" spans="1:5">
      <c r="A25" t="str">
        <f>CONCATENATE(Segmented!A23," ",Segmented!C23)</f>
        <v xml:space="preserve"> </v>
      </c>
      <c r="C25" s="514"/>
      <c r="E25" s="517"/>
    </row>
    <row r="26" spans="1:5">
      <c r="A26" t="str">
        <f>CONCATENATE(Segmented!A24," ",Segmented!C24)</f>
        <v xml:space="preserve"> </v>
      </c>
      <c r="C26" s="514"/>
      <c r="E26" s="517"/>
    </row>
    <row r="27" spans="1:5">
      <c r="A27" t="str">
        <f>CONCATENATE(Segmented!A25," ",Segmented!C25)</f>
        <v xml:space="preserve"> </v>
      </c>
      <c r="C27" s="514"/>
      <c r="E27" s="517"/>
    </row>
    <row r="28" spans="1:5">
      <c r="A28" t="str">
        <f>CONCATENATE(Segmented!A26," ",Segmented!C26)</f>
        <v xml:space="preserve"> </v>
      </c>
      <c r="C28" s="514"/>
      <c r="E28" s="517"/>
    </row>
    <row r="29" spans="1:5">
      <c r="A29" t="str">
        <f>CONCATENATE(Segmented!A27," ",Segmented!C27)</f>
        <v xml:space="preserve"> </v>
      </c>
      <c r="C29" s="514"/>
      <c r="E29" s="517"/>
    </row>
    <row r="30" spans="1:5">
      <c r="A30" t="str">
        <f>CONCATENATE(Segmented!A28," ",Segmented!C28)</f>
        <v xml:space="preserve"> </v>
      </c>
      <c r="C30" s="514"/>
      <c r="E30" s="517"/>
    </row>
    <row r="31" spans="1:5">
      <c r="A31" t="str">
        <f>CONCATENATE(Segmented!A29," ",Segmented!C29)</f>
        <v xml:space="preserve"> </v>
      </c>
      <c r="C31" s="514"/>
      <c r="E31" s="517"/>
    </row>
    <row r="32" spans="1:5">
      <c r="A32" t="str">
        <f>CONCATENATE(Segmented!A30," ",Segmented!C30)</f>
        <v xml:space="preserve"> </v>
      </c>
      <c r="C32" s="514"/>
      <c r="E32" s="517"/>
    </row>
    <row r="33" spans="1:131">
      <c r="A33" t="str">
        <f>CONCATENATE(Segmented!A31," ",Segmented!C31)</f>
        <v xml:space="preserve"> </v>
      </c>
      <c r="C33" s="514"/>
      <c r="E33" s="517"/>
    </row>
    <row r="34" spans="1:131">
      <c r="A34" t="str">
        <f>CONCATENATE(Segmented!A32," ",Segmented!C32)</f>
        <v xml:space="preserve"> </v>
      </c>
      <c r="C34" s="514"/>
      <c r="E34" s="517"/>
    </row>
    <row r="35" spans="1:131">
      <c r="A35" t="str">
        <f>CONCATENATE(Segmented!A33," ",Segmented!C33)</f>
        <v xml:space="preserve"> </v>
      </c>
      <c r="C35" s="514"/>
      <c r="E35" s="517"/>
    </row>
    <row r="36" spans="1:131">
      <c r="A36" t="str">
        <f>CONCATENATE(Segmented!A34," ",Segmented!C34)</f>
        <v xml:space="preserve"> </v>
      </c>
    </row>
    <row r="39" spans="1:131">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row>
    <row r="40" spans="1:131">
      <c r="A40" s="583" t="s">
        <v>1120</v>
      </c>
      <c r="B40" s="58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row>
    <row r="41" spans="1:131">
      <c r="A41" s="34" t="s">
        <v>1121</v>
      </c>
      <c r="B41" s="34" t="s">
        <v>1122</v>
      </c>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row>
    <row r="42" spans="1:131">
      <c r="A42" s="34" t="s">
        <v>1123</v>
      </c>
      <c r="B42" s="34" t="s">
        <v>1353</v>
      </c>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row>
    <row r="43" spans="1:131">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row>
    <row r="44" spans="1:131" ht="13.5" thickBot="1">
      <c r="A44" s="518" t="s">
        <v>1124</v>
      </c>
      <c r="B44" s="585"/>
      <c r="C44" s="585"/>
      <c r="D44" s="585"/>
      <c r="E44" s="585"/>
      <c r="F44" s="585"/>
      <c r="G44" s="585"/>
      <c r="H44" s="585"/>
      <c r="I44" s="585"/>
      <c r="J44" s="585"/>
      <c r="K44" s="585"/>
      <c r="L44" s="585"/>
      <c r="M44" s="585"/>
      <c r="N44" s="585"/>
      <c r="O44" s="585"/>
      <c r="P44" s="585"/>
      <c r="Q44" s="585"/>
      <c r="R44" s="585"/>
      <c r="S44" s="585"/>
      <c r="T44" s="585"/>
      <c r="U44" s="585"/>
      <c r="V44" s="585"/>
      <c r="W44" s="585"/>
      <c r="X44" s="585"/>
      <c r="Y44" s="585"/>
      <c r="Z44" s="585"/>
      <c r="AA44" s="585"/>
      <c r="AB44" s="585"/>
      <c r="AC44" s="585"/>
      <c r="AD44" s="585"/>
      <c r="AE44" s="585"/>
      <c r="AF44" s="585"/>
      <c r="AG44" s="585"/>
      <c r="AH44" s="585"/>
      <c r="AI44" s="519"/>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row>
    <row r="45" spans="1:131">
      <c r="A45" s="34"/>
      <c r="B45" s="586" t="s">
        <v>1125</v>
      </c>
      <c r="C45" s="587"/>
      <c r="D45" s="587" t="s">
        <v>1125</v>
      </c>
      <c r="E45" s="588"/>
      <c r="F45" s="34"/>
      <c r="G45" s="586" t="s">
        <v>1126</v>
      </c>
      <c r="H45" s="587"/>
      <c r="I45" s="587"/>
      <c r="J45" s="587"/>
      <c r="K45" s="587"/>
      <c r="L45" s="587"/>
      <c r="M45" s="587"/>
      <c r="N45" s="587"/>
      <c r="O45" s="588"/>
      <c r="P45" s="34"/>
      <c r="Q45" s="586" t="s">
        <v>1127</v>
      </c>
      <c r="R45" s="587"/>
      <c r="S45" s="587"/>
      <c r="T45" s="587"/>
      <c r="U45" s="588"/>
      <c r="V45" s="34"/>
      <c r="W45" s="586" t="s">
        <v>1128</v>
      </c>
      <c r="X45" s="588"/>
      <c r="Y45" s="34"/>
      <c r="Z45" s="586" t="s">
        <v>1129</v>
      </c>
      <c r="AA45" s="587"/>
      <c r="AB45" s="588"/>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row>
    <row r="46" spans="1:131">
      <c r="A46" s="34"/>
      <c r="B46" s="589" t="s">
        <v>1130</v>
      </c>
      <c r="C46" s="590" t="s">
        <v>1131</v>
      </c>
      <c r="D46" s="590" t="s">
        <v>1130</v>
      </c>
      <c r="E46" s="591" t="s">
        <v>1131</v>
      </c>
      <c r="F46" s="34"/>
      <c r="G46" s="589" t="s">
        <v>1132</v>
      </c>
      <c r="H46" s="590" t="s">
        <v>1333</v>
      </c>
      <c r="I46" s="590"/>
      <c r="J46" s="590"/>
      <c r="K46" s="590" t="s">
        <v>1133</v>
      </c>
      <c r="L46" s="590"/>
      <c r="M46" s="590"/>
      <c r="N46" s="590"/>
      <c r="O46" s="591"/>
      <c r="P46" s="34"/>
      <c r="Q46" s="589"/>
      <c r="R46" s="590" t="s">
        <v>1134</v>
      </c>
      <c r="S46" s="590" t="s">
        <v>1135</v>
      </c>
      <c r="T46" s="590" t="s">
        <v>1136</v>
      </c>
      <c r="U46" s="591" t="s">
        <v>1137</v>
      </c>
      <c r="V46" s="34"/>
      <c r="W46" s="589" t="s">
        <v>1138</v>
      </c>
      <c r="X46" s="591">
        <v>20</v>
      </c>
      <c r="Y46" s="34"/>
      <c r="Z46" s="589"/>
      <c r="AA46" s="590" t="s">
        <v>1131</v>
      </c>
      <c r="AB46" s="591" t="s">
        <v>1139</v>
      </c>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row>
    <row r="47" spans="1:131">
      <c r="A47" s="34"/>
      <c r="B47" s="589" t="s">
        <v>1140</v>
      </c>
      <c r="C47" s="590" t="s">
        <v>1141</v>
      </c>
      <c r="D47" s="590" t="s">
        <v>1140</v>
      </c>
      <c r="E47" s="591" t="s">
        <v>1141</v>
      </c>
      <c r="F47" s="34"/>
      <c r="G47" s="589" t="s">
        <v>1142</v>
      </c>
      <c r="H47" s="590" t="s">
        <v>1143</v>
      </c>
      <c r="I47" s="590"/>
      <c r="J47" s="590"/>
      <c r="K47" s="590" t="s">
        <v>1144</v>
      </c>
      <c r="L47" s="590"/>
      <c r="M47" s="590"/>
      <c r="N47" s="590"/>
      <c r="O47" s="591"/>
      <c r="P47" s="34"/>
      <c r="Q47" s="589" t="s">
        <v>1145</v>
      </c>
      <c r="R47" s="590">
        <v>4.3096045197740109E-2</v>
      </c>
      <c r="S47" s="590">
        <v>4.387844424080023E-2</v>
      </c>
      <c r="T47" s="590">
        <v>5.3289007766645871E-2</v>
      </c>
      <c r="U47" s="591">
        <v>5.447903102274565E-2</v>
      </c>
      <c r="V47" s="34"/>
      <c r="W47" s="589" t="s">
        <v>1146</v>
      </c>
      <c r="X47" s="591">
        <v>2016</v>
      </c>
      <c r="Y47" s="34"/>
      <c r="Z47" s="589" t="s">
        <v>1147</v>
      </c>
      <c r="AA47" s="590">
        <v>4.03890184699085E-3</v>
      </c>
      <c r="AB47" s="591">
        <v>0.01</v>
      </c>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row>
    <row r="48" spans="1:131">
      <c r="A48" s="34"/>
      <c r="B48" s="589" t="s">
        <v>1148</v>
      </c>
      <c r="C48" s="590" t="s">
        <v>1149</v>
      </c>
      <c r="D48" s="590" t="s">
        <v>1148</v>
      </c>
      <c r="E48" s="591" t="s">
        <v>1149</v>
      </c>
      <c r="F48" s="34"/>
      <c r="G48" s="589" t="s">
        <v>1150</v>
      </c>
      <c r="H48" s="590" t="s">
        <v>1151</v>
      </c>
      <c r="I48" s="590"/>
      <c r="J48" s="590"/>
      <c r="K48" s="590" t="s">
        <v>1152</v>
      </c>
      <c r="L48" s="590"/>
      <c r="M48" s="590"/>
      <c r="N48" s="590"/>
      <c r="O48" s="591"/>
      <c r="P48" s="34"/>
      <c r="Q48" s="589" t="s">
        <v>1153</v>
      </c>
      <c r="R48" s="590">
        <v>12</v>
      </c>
      <c r="S48" s="590">
        <v>12</v>
      </c>
      <c r="T48" s="590">
        <v>1</v>
      </c>
      <c r="U48" s="591">
        <v>1</v>
      </c>
      <c r="V48" s="34"/>
      <c r="W48" s="589" t="s">
        <v>1154</v>
      </c>
      <c r="X48" s="591">
        <v>2016</v>
      </c>
      <c r="Y48" s="34"/>
      <c r="Z48" s="589" t="s">
        <v>1155</v>
      </c>
      <c r="AA48" s="590">
        <v>26</v>
      </c>
      <c r="AB48" s="591">
        <v>0</v>
      </c>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row>
    <row r="49" spans="1:131" ht="13.5" thickBot="1">
      <c r="A49" s="34"/>
      <c r="B49" s="592" t="s">
        <v>1156</v>
      </c>
      <c r="C49" s="593" t="s">
        <v>1149</v>
      </c>
      <c r="D49" s="593" t="s">
        <v>1156</v>
      </c>
      <c r="E49" s="594" t="s">
        <v>1149</v>
      </c>
      <c r="F49" s="34"/>
      <c r="G49" s="589" t="s">
        <v>1157</v>
      </c>
      <c r="H49" s="590" t="s">
        <v>1158</v>
      </c>
      <c r="I49" s="590"/>
      <c r="J49" s="590"/>
      <c r="K49" s="590" t="s">
        <v>1144</v>
      </c>
      <c r="L49" s="590"/>
      <c r="M49" s="590"/>
      <c r="N49" s="590"/>
      <c r="O49" s="591"/>
      <c r="P49" s="34"/>
      <c r="Q49" s="589"/>
      <c r="R49" s="590" t="s">
        <v>1134</v>
      </c>
      <c r="S49" s="590" t="s">
        <v>1135</v>
      </c>
      <c r="T49" s="590" t="s">
        <v>1136</v>
      </c>
      <c r="U49" s="591" t="s">
        <v>1137</v>
      </c>
      <c r="V49" s="34"/>
      <c r="W49" s="589" t="s">
        <v>1159</v>
      </c>
      <c r="X49" s="591">
        <v>2012</v>
      </c>
      <c r="Y49" s="34"/>
      <c r="Z49" s="589" t="s">
        <v>1160</v>
      </c>
      <c r="AA49" s="590">
        <v>0.9</v>
      </c>
      <c r="AB49" s="591" t="s">
        <v>797</v>
      </c>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row>
    <row r="50" spans="1:131">
      <c r="A50" s="34"/>
      <c r="B50" s="34"/>
      <c r="C50" s="34"/>
      <c r="D50" s="34"/>
      <c r="E50" s="34"/>
      <c r="F50" s="34"/>
      <c r="G50" s="589" t="s">
        <v>1161</v>
      </c>
      <c r="H50" s="590" t="s">
        <v>1151</v>
      </c>
      <c r="I50" s="590"/>
      <c r="J50" s="590"/>
      <c r="K50" s="590"/>
      <c r="L50" s="590"/>
      <c r="M50" s="590"/>
      <c r="N50" s="590"/>
      <c r="O50" s="591"/>
      <c r="P50" s="34"/>
      <c r="Q50" s="589" t="s">
        <v>1162</v>
      </c>
      <c r="R50" s="590">
        <v>0.35</v>
      </c>
      <c r="S50" s="590">
        <v>0.19500000000000001</v>
      </c>
      <c r="T50" s="590">
        <v>0.45499999999999996</v>
      </c>
      <c r="U50" s="591">
        <v>0</v>
      </c>
      <c r="V50" s="34"/>
      <c r="W50" s="589" t="s">
        <v>1163</v>
      </c>
      <c r="X50" s="591">
        <v>0.04</v>
      </c>
      <c r="Y50" s="34"/>
      <c r="Z50" s="589" t="s">
        <v>1164</v>
      </c>
      <c r="AA50" s="590">
        <v>4.7399348199455904E-2</v>
      </c>
      <c r="AB50" s="591">
        <v>0</v>
      </c>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row>
    <row r="51" spans="1:131">
      <c r="A51" s="34"/>
      <c r="B51" s="34" t="s">
        <v>1165</v>
      </c>
      <c r="C51" s="34" t="s">
        <v>1131</v>
      </c>
      <c r="D51" s="34"/>
      <c r="E51" s="34"/>
      <c r="F51" s="34"/>
      <c r="G51" s="589" t="s">
        <v>1166</v>
      </c>
      <c r="H51" s="590" t="s">
        <v>1167</v>
      </c>
      <c r="I51" s="590"/>
      <c r="J51" s="590"/>
      <c r="K51" s="590" t="s">
        <v>1168</v>
      </c>
      <c r="L51" s="590"/>
      <c r="M51" s="590"/>
      <c r="N51" s="590"/>
      <c r="O51" s="591"/>
      <c r="P51" s="34"/>
      <c r="Q51" s="589" t="s">
        <v>1169</v>
      </c>
      <c r="R51" s="590">
        <v>1</v>
      </c>
      <c r="S51" s="590">
        <v>0</v>
      </c>
      <c r="T51" s="590">
        <v>0</v>
      </c>
      <c r="U51" s="591">
        <v>0</v>
      </c>
      <c r="V51" s="34"/>
      <c r="W51" s="589" t="s">
        <v>1170</v>
      </c>
      <c r="X51" s="591">
        <v>0</v>
      </c>
      <c r="Y51" s="34"/>
      <c r="Z51" s="589" t="s">
        <v>1171</v>
      </c>
      <c r="AA51" s="590">
        <v>31</v>
      </c>
      <c r="AB51" s="591">
        <v>0</v>
      </c>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row>
    <row r="52" spans="1:131">
      <c r="A52" s="34"/>
      <c r="B52" s="34" t="s">
        <v>1172</v>
      </c>
      <c r="C52" s="34" t="s">
        <v>1173</v>
      </c>
      <c r="D52" s="34"/>
      <c r="E52" s="34"/>
      <c r="F52" s="34"/>
      <c r="G52" s="589" t="s">
        <v>1174</v>
      </c>
      <c r="H52" s="590" t="s">
        <v>1168</v>
      </c>
      <c r="I52" s="590"/>
      <c r="J52" s="590"/>
      <c r="K52" s="590" t="s">
        <v>1175</v>
      </c>
      <c r="L52" s="590"/>
      <c r="M52" s="590"/>
      <c r="N52" s="590"/>
      <c r="O52" s="591"/>
      <c r="P52" s="34"/>
      <c r="Q52" s="589" t="s">
        <v>1176</v>
      </c>
      <c r="R52" s="590">
        <v>1</v>
      </c>
      <c r="S52" s="590">
        <v>0</v>
      </c>
      <c r="T52" s="590">
        <v>0</v>
      </c>
      <c r="U52" s="591">
        <v>0</v>
      </c>
      <c r="V52" s="34"/>
      <c r="W52" s="589" t="s">
        <v>1177</v>
      </c>
      <c r="X52" s="591">
        <v>0.2</v>
      </c>
      <c r="Y52" s="34"/>
      <c r="Z52" s="589" t="s">
        <v>1178</v>
      </c>
      <c r="AA52" s="590">
        <v>0.7</v>
      </c>
      <c r="AB52" s="591" t="s">
        <v>797</v>
      </c>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row>
    <row r="53" spans="1:131">
      <c r="A53" s="34"/>
      <c r="B53" s="34" t="s">
        <v>1179</v>
      </c>
      <c r="C53" s="34" t="s">
        <v>1180</v>
      </c>
      <c r="D53" s="34"/>
      <c r="E53" s="34"/>
      <c r="F53" s="34"/>
      <c r="G53" s="589" t="s">
        <v>1181</v>
      </c>
      <c r="H53" s="590" t="s">
        <v>1175</v>
      </c>
      <c r="I53" s="590"/>
      <c r="J53" s="590"/>
      <c r="K53" s="590" t="s">
        <v>1182</v>
      </c>
      <c r="L53" s="590"/>
      <c r="M53" s="590"/>
      <c r="N53" s="590"/>
      <c r="O53" s="591"/>
      <c r="P53" s="34"/>
      <c r="Q53" s="589" t="s">
        <v>1183</v>
      </c>
      <c r="R53" s="590"/>
      <c r="S53" s="590">
        <v>0.3</v>
      </c>
      <c r="T53" s="590">
        <v>0.7</v>
      </c>
      <c r="U53" s="591">
        <v>0</v>
      </c>
      <c r="V53" s="34"/>
      <c r="W53" s="589" t="s">
        <v>1184</v>
      </c>
      <c r="X53" s="591">
        <v>0</v>
      </c>
      <c r="Y53" s="34"/>
      <c r="Z53" s="589" t="s">
        <v>1185</v>
      </c>
      <c r="AA53" s="590">
        <v>0</v>
      </c>
      <c r="AB53" s="591">
        <v>0</v>
      </c>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row>
    <row r="54" spans="1:131" ht="13.5" thickBot="1">
      <c r="A54" s="34"/>
      <c r="B54" s="34" t="s">
        <v>1186</v>
      </c>
      <c r="C54" s="34" t="s">
        <v>1187</v>
      </c>
      <c r="D54" s="34"/>
      <c r="E54" s="34"/>
      <c r="F54" s="34"/>
      <c r="G54" s="592" t="s">
        <v>1188</v>
      </c>
      <c r="H54" s="593" t="s">
        <v>1182</v>
      </c>
      <c r="I54" s="593"/>
      <c r="J54" s="593"/>
      <c r="K54" s="593"/>
      <c r="L54" s="593"/>
      <c r="M54" s="593"/>
      <c r="N54" s="593"/>
      <c r="O54" s="594"/>
      <c r="P54" s="34"/>
      <c r="Q54" s="592" t="s">
        <v>1189</v>
      </c>
      <c r="R54" s="593"/>
      <c r="S54" s="593">
        <v>20</v>
      </c>
      <c r="T54" s="593"/>
      <c r="U54" s="594"/>
      <c r="V54" s="34"/>
      <c r="W54" s="592" t="s">
        <v>1190</v>
      </c>
      <c r="X54" s="594">
        <v>2018</v>
      </c>
      <c r="Y54" s="34"/>
      <c r="Z54" s="592" t="s">
        <v>1191</v>
      </c>
      <c r="AA54" s="593">
        <v>0</v>
      </c>
      <c r="AB54" s="594">
        <v>0</v>
      </c>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row>
    <row r="55" spans="1:131">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row>
    <row r="56" spans="1:131">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row>
    <row r="57" spans="1:131">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row>
    <row r="58" spans="1:131">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row>
    <row r="59" spans="1:131">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row>
    <row r="60" spans="1:131">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row>
    <row r="61" spans="1:131">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row>
    <row r="62" spans="1:131" ht="13.5" thickBot="1">
      <c r="A62" s="518" t="s">
        <v>1192</v>
      </c>
      <c r="B62" s="519"/>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c r="CN62" s="143"/>
      <c r="CO62" s="143"/>
      <c r="CP62" s="143"/>
      <c r="CQ62" s="143"/>
      <c r="CR62" s="143"/>
      <c r="CS62" s="143"/>
      <c r="CT62" s="143"/>
      <c r="CU62" s="143"/>
      <c r="CV62" s="143"/>
      <c r="CW62" s="143"/>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row>
    <row r="63" spans="1:131" ht="26.25" thickBot="1">
      <c r="A63" s="595" t="s">
        <v>1193</v>
      </c>
      <c r="B63" s="596"/>
      <c r="C63" s="597" t="s">
        <v>1194</v>
      </c>
      <c r="D63" s="598"/>
      <c r="E63" s="598"/>
      <c r="F63" s="598"/>
      <c r="G63" s="598"/>
      <c r="H63" s="598"/>
      <c r="I63" s="598"/>
      <c r="J63" s="598"/>
      <c r="K63" s="599"/>
      <c r="L63" s="597" t="s">
        <v>218</v>
      </c>
      <c r="M63" s="598"/>
      <c r="N63" s="598"/>
      <c r="O63" s="598"/>
      <c r="P63" s="598"/>
      <c r="Q63" s="599"/>
      <c r="R63" s="597" t="s">
        <v>1195</v>
      </c>
      <c r="S63" s="598"/>
      <c r="T63" s="598"/>
      <c r="U63" s="599"/>
      <c r="V63" s="597" t="s">
        <v>1196</v>
      </c>
      <c r="W63" s="598"/>
      <c r="X63" s="598"/>
      <c r="Y63" s="599"/>
      <c r="Z63" s="597" t="s">
        <v>1197</v>
      </c>
      <c r="AA63" s="598"/>
      <c r="AB63" s="598"/>
      <c r="AC63" s="599"/>
      <c r="AD63" s="597" t="s">
        <v>1198</v>
      </c>
      <c r="AE63" s="598"/>
      <c r="AF63" s="598"/>
      <c r="AG63" s="599"/>
      <c r="AH63" s="597" t="s">
        <v>1199</v>
      </c>
      <c r="AI63" s="598"/>
      <c r="AJ63" s="598"/>
      <c r="AK63" s="598"/>
      <c r="AL63" s="599"/>
      <c r="AM63" s="597" t="s">
        <v>1200</v>
      </c>
      <c r="AN63" s="598"/>
      <c r="AO63" s="598"/>
      <c r="AP63" s="598"/>
      <c r="AQ63" s="598"/>
      <c r="AR63" s="598"/>
      <c r="AS63" s="599"/>
      <c r="AT63" s="597" t="s">
        <v>1201</v>
      </c>
      <c r="AU63" s="598"/>
      <c r="AV63" s="598"/>
      <c r="AW63" s="598"/>
      <c r="AX63" s="598"/>
      <c r="AY63" s="598"/>
      <c r="AZ63" s="599"/>
      <c r="BA63" s="597" t="s">
        <v>1202</v>
      </c>
      <c r="BB63" s="598"/>
      <c r="BC63" s="598"/>
      <c r="BD63" s="598"/>
      <c r="BE63" s="598"/>
      <c r="BF63" s="599"/>
      <c r="BG63" s="597" t="s">
        <v>1203</v>
      </c>
      <c r="BH63" s="599"/>
      <c r="BI63" s="597" t="s">
        <v>1204</v>
      </c>
      <c r="BJ63" s="598"/>
      <c r="BK63" s="598"/>
      <c r="BL63" s="598"/>
      <c r="BM63" s="599"/>
      <c r="BN63" s="597" t="s">
        <v>1205</v>
      </c>
      <c r="BO63" s="598"/>
      <c r="BP63" s="598"/>
      <c r="BQ63" s="598"/>
      <c r="BR63" s="598"/>
      <c r="BS63" s="598"/>
      <c r="BT63" s="598"/>
      <c r="BU63" s="598"/>
      <c r="BV63" s="598"/>
      <c r="BW63" s="598"/>
      <c r="BX63" s="598"/>
      <c r="BY63" s="598"/>
      <c r="BZ63" s="598"/>
      <c r="CA63" s="598"/>
      <c r="CB63" s="598"/>
      <c r="CC63" s="599"/>
      <c r="CD63" s="597" t="s">
        <v>1206</v>
      </c>
      <c r="CE63" s="599"/>
      <c r="CF63" s="597" t="s">
        <v>1207</v>
      </c>
      <c r="CG63" s="598"/>
      <c r="CH63" s="598"/>
      <c r="CI63" s="598"/>
      <c r="CJ63" s="598"/>
      <c r="CK63" s="599"/>
      <c r="CL63" s="600"/>
      <c r="CM63" s="597" t="s">
        <v>202</v>
      </c>
      <c r="CN63" s="598"/>
      <c r="CO63" s="598"/>
      <c r="CP63" s="599"/>
      <c r="CQ63" s="597" t="s">
        <v>1208</v>
      </c>
      <c r="CR63" s="598"/>
      <c r="CS63" s="598"/>
      <c r="CT63" s="598"/>
      <c r="CU63" s="599"/>
      <c r="CV63" s="597" t="s">
        <v>1209</v>
      </c>
      <c r="CW63" s="599"/>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row>
    <row r="64" spans="1:131" ht="216.75">
      <c r="A64" s="526" t="s">
        <v>945</v>
      </c>
      <c r="B64" s="527" t="s">
        <v>219</v>
      </c>
      <c r="C64" s="528" t="s">
        <v>1091</v>
      </c>
      <c r="D64" s="528" t="s">
        <v>1210</v>
      </c>
      <c r="E64" s="528" t="s">
        <v>1211</v>
      </c>
      <c r="F64" s="528" t="s">
        <v>1212</v>
      </c>
      <c r="G64" s="528" t="s">
        <v>1213</v>
      </c>
      <c r="H64" s="528" t="s">
        <v>1214</v>
      </c>
      <c r="I64" s="528" t="s">
        <v>1215</v>
      </c>
      <c r="J64" s="528" t="s">
        <v>1216</v>
      </c>
      <c r="K64" s="528" t="s">
        <v>1217</v>
      </c>
      <c r="L64" s="528" t="s">
        <v>1218</v>
      </c>
      <c r="M64" s="528" t="s">
        <v>1219</v>
      </c>
      <c r="N64" s="528" t="s">
        <v>1220</v>
      </c>
      <c r="O64" s="528" t="s">
        <v>1221</v>
      </c>
      <c r="P64" s="528" t="s">
        <v>1222</v>
      </c>
      <c r="Q64" s="528" t="s">
        <v>1223</v>
      </c>
      <c r="R64" s="528" t="s">
        <v>1224</v>
      </c>
      <c r="S64" s="528" t="s">
        <v>1225</v>
      </c>
      <c r="T64" s="528" t="s">
        <v>1226</v>
      </c>
      <c r="U64" s="528" t="s">
        <v>1134</v>
      </c>
      <c r="V64" s="528" t="s">
        <v>1224</v>
      </c>
      <c r="W64" s="528" t="s">
        <v>1225</v>
      </c>
      <c r="X64" s="528" t="s">
        <v>1226</v>
      </c>
      <c r="Y64" s="528" t="s">
        <v>1134</v>
      </c>
      <c r="Z64" s="528" t="s">
        <v>1224</v>
      </c>
      <c r="AA64" s="528" t="s">
        <v>1225</v>
      </c>
      <c r="AB64" s="528" t="s">
        <v>1226</v>
      </c>
      <c r="AC64" s="528" t="s">
        <v>1134</v>
      </c>
      <c r="AD64" s="528" t="s">
        <v>1224</v>
      </c>
      <c r="AE64" s="528" t="s">
        <v>1225</v>
      </c>
      <c r="AF64" s="528" t="s">
        <v>1226</v>
      </c>
      <c r="AG64" s="528" t="s">
        <v>1134</v>
      </c>
      <c r="AH64" s="528" t="s">
        <v>1224</v>
      </c>
      <c r="AI64" s="528" t="s">
        <v>1225</v>
      </c>
      <c r="AJ64" s="528" t="s">
        <v>1226</v>
      </c>
      <c r="AK64" s="528" t="s">
        <v>1134</v>
      </c>
      <c r="AL64" s="528" t="s">
        <v>1227</v>
      </c>
      <c r="AM64" s="528" t="s">
        <v>1228</v>
      </c>
      <c r="AN64" s="528" t="s">
        <v>1229</v>
      </c>
      <c r="AO64" s="528" t="s">
        <v>1230</v>
      </c>
      <c r="AP64" s="528" t="s">
        <v>1231</v>
      </c>
      <c r="AQ64" s="528" t="s">
        <v>1232</v>
      </c>
      <c r="AR64" s="528" t="s">
        <v>1233</v>
      </c>
      <c r="AS64" s="528" t="s">
        <v>1234</v>
      </c>
      <c r="AT64" s="528" t="s">
        <v>1235</v>
      </c>
      <c r="AU64" s="528" t="s">
        <v>1236</v>
      </c>
      <c r="AV64" s="528" t="s">
        <v>1237</v>
      </c>
      <c r="AW64" s="528" t="s">
        <v>1238</v>
      </c>
      <c r="AX64" s="528" t="s">
        <v>1239</v>
      </c>
      <c r="AY64" s="528" t="s">
        <v>1240</v>
      </c>
      <c r="AZ64" s="528" t="s">
        <v>1241</v>
      </c>
      <c r="BA64" s="528" t="s">
        <v>1242</v>
      </c>
      <c r="BB64" s="528" t="s">
        <v>1243</v>
      </c>
      <c r="BC64" s="528" t="s">
        <v>1244</v>
      </c>
      <c r="BD64" s="528" t="s">
        <v>1245</v>
      </c>
      <c r="BE64" s="528" t="s">
        <v>1246</v>
      </c>
      <c r="BF64" s="528" t="s">
        <v>1247</v>
      </c>
      <c r="BG64" s="528" t="s">
        <v>1248</v>
      </c>
      <c r="BH64" s="528" t="s">
        <v>1249</v>
      </c>
      <c r="BI64" s="528" t="s">
        <v>1250</v>
      </c>
      <c r="BJ64" s="528" t="s">
        <v>1251</v>
      </c>
      <c r="BK64" s="528" t="s">
        <v>1252</v>
      </c>
      <c r="BL64" s="528" t="s">
        <v>1253</v>
      </c>
      <c r="BM64" s="528" t="s">
        <v>1254</v>
      </c>
      <c r="BN64" s="528" t="s">
        <v>1255</v>
      </c>
      <c r="BO64" s="528" t="s">
        <v>1256</v>
      </c>
      <c r="BP64" s="528" t="s">
        <v>1257</v>
      </c>
      <c r="BQ64" s="528" t="s">
        <v>1258</v>
      </c>
      <c r="BR64" s="528" t="s">
        <v>1259</v>
      </c>
      <c r="BS64" s="528" t="s">
        <v>1260</v>
      </c>
      <c r="BT64" s="528" t="s">
        <v>1261</v>
      </c>
      <c r="BU64" s="528" t="s">
        <v>1262</v>
      </c>
      <c r="BV64" s="528" t="s">
        <v>1263</v>
      </c>
      <c r="BW64" s="528" t="s">
        <v>1264</v>
      </c>
      <c r="BX64" s="528" t="s">
        <v>1265</v>
      </c>
      <c r="BY64" s="528" t="s">
        <v>1266</v>
      </c>
      <c r="BZ64" s="528" t="s">
        <v>1267</v>
      </c>
      <c r="CA64" s="528" t="s">
        <v>1268</v>
      </c>
      <c r="CB64" s="528" t="s">
        <v>1269</v>
      </c>
      <c r="CC64" s="528" t="s">
        <v>1270</v>
      </c>
      <c r="CD64" s="528" t="s">
        <v>955</v>
      </c>
      <c r="CE64" s="528" t="s">
        <v>954</v>
      </c>
      <c r="CF64" s="528" t="s">
        <v>1271</v>
      </c>
      <c r="CG64" s="528" t="s">
        <v>1272</v>
      </c>
      <c r="CH64" s="528" t="s">
        <v>1273</v>
      </c>
      <c r="CI64" s="528" t="s">
        <v>1274</v>
      </c>
      <c r="CJ64" s="528" t="s">
        <v>1275</v>
      </c>
      <c r="CK64" s="528" t="s">
        <v>1276</v>
      </c>
      <c r="CL64" s="528"/>
      <c r="CM64" s="528" t="s">
        <v>1277</v>
      </c>
      <c r="CN64" s="528" t="s">
        <v>1278</v>
      </c>
      <c r="CO64" s="528" t="s">
        <v>1279</v>
      </c>
      <c r="CP64" s="528" t="s">
        <v>1280</v>
      </c>
      <c r="CQ64" s="528" t="s">
        <v>1281</v>
      </c>
      <c r="CR64" s="528" t="s">
        <v>1282</v>
      </c>
      <c r="CS64" s="528" t="s">
        <v>1283</v>
      </c>
      <c r="CT64" s="528" t="s">
        <v>1284</v>
      </c>
      <c r="CU64" s="528" t="s">
        <v>1285</v>
      </c>
      <c r="CV64" s="528" t="s">
        <v>1286</v>
      </c>
      <c r="CW64" s="601" t="s">
        <v>1287</v>
      </c>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row>
    <row r="65" spans="1:131">
      <c r="A65" s="34" t="s">
        <v>969</v>
      </c>
      <c r="B65" s="34" t="s">
        <v>220</v>
      </c>
      <c r="C65" s="143">
        <v>15.4</v>
      </c>
      <c r="D65" s="143">
        <v>0.73441449581893048</v>
      </c>
      <c r="E65" s="143">
        <v>0.12302457103498743</v>
      </c>
      <c r="F65" s="143">
        <v>5.2795660553372441</v>
      </c>
      <c r="G65" s="143">
        <v>0</v>
      </c>
      <c r="H65" s="143">
        <v>0</v>
      </c>
      <c r="I65" s="143" t="s">
        <v>1119</v>
      </c>
      <c r="J65" s="143"/>
      <c r="K65" s="143"/>
      <c r="L65" s="143">
        <v>0.78941940290145685</v>
      </c>
      <c r="M65" s="143">
        <v>1.5277131117762905E-4</v>
      </c>
      <c r="N65" s="143">
        <v>1.5166867636286232E-4</v>
      </c>
      <c r="O65" s="143">
        <v>0.12425481674533731</v>
      </c>
      <c r="P65" s="143">
        <v>0</v>
      </c>
      <c r="Q65" s="143">
        <v>0</v>
      </c>
      <c r="R65" s="143">
        <v>1.052815998528865</v>
      </c>
      <c r="S65" s="143">
        <v>2.432897640190776</v>
      </c>
      <c r="T65" s="143">
        <v>0</v>
      </c>
      <c r="U65" s="143">
        <v>2.9509310378835352</v>
      </c>
      <c r="V65" s="143" t="s">
        <v>1288</v>
      </c>
      <c r="W65" s="143" t="s">
        <v>1288</v>
      </c>
      <c r="X65" s="143" t="s">
        <v>1288</v>
      </c>
      <c r="Y65" s="143" t="s">
        <v>1288</v>
      </c>
      <c r="Z65" s="143">
        <v>0</v>
      </c>
      <c r="AA65" s="143">
        <v>0</v>
      </c>
      <c r="AB65" s="143">
        <v>0</v>
      </c>
      <c r="AC65" s="143">
        <v>0</v>
      </c>
      <c r="AD65" s="143">
        <v>0</v>
      </c>
      <c r="AE65" s="143">
        <v>0</v>
      </c>
      <c r="AF65" s="143">
        <v>0</v>
      </c>
      <c r="AG65" s="143">
        <v>0</v>
      </c>
      <c r="AH65" s="143">
        <v>1.052815998528865</v>
      </c>
      <c r="AI65" s="143">
        <v>2.432897640190776</v>
      </c>
      <c r="AJ65" s="143">
        <v>0</v>
      </c>
      <c r="AK65" s="143">
        <v>2.9509310378835352</v>
      </c>
      <c r="AL65" s="143">
        <v>6.4366446766031764</v>
      </c>
      <c r="AM65" s="143">
        <v>0.40760089947373412</v>
      </c>
      <c r="AN65" s="143">
        <v>5.3981511351367299E-2</v>
      </c>
      <c r="AO65" s="143">
        <v>0</v>
      </c>
      <c r="AP65" s="143">
        <v>0</v>
      </c>
      <c r="AQ65" s="143">
        <v>0.46158241082510143</v>
      </c>
      <c r="AR65" s="143">
        <v>1.052815998528865</v>
      </c>
      <c r="AS65" s="602">
        <v>0.43842647857753492</v>
      </c>
      <c r="AT65" s="143">
        <v>0.40760089947373412</v>
      </c>
      <c r="AU65" s="143">
        <v>6.3898031050498141E-2</v>
      </c>
      <c r="AV65" s="143">
        <v>0</v>
      </c>
      <c r="AW65" s="143">
        <v>0</v>
      </c>
      <c r="AX65" s="143">
        <v>0.47149893052423225</v>
      </c>
      <c r="AY65" s="143">
        <v>2.432897640190776</v>
      </c>
      <c r="AZ65" s="602">
        <v>0.19380138429796809</v>
      </c>
      <c r="BA65" s="143">
        <v>0.40760089947373412</v>
      </c>
      <c r="BB65" s="143">
        <v>0.11787954240186543</v>
      </c>
      <c r="BC65" s="143">
        <v>0</v>
      </c>
      <c r="BD65" s="143">
        <v>0</v>
      </c>
      <c r="BE65" s="143">
        <v>0.5254804418755995</v>
      </c>
      <c r="BF65" s="143">
        <v>3.4857136387196412</v>
      </c>
      <c r="BG65" s="143">
        <v>313.91567867813376</v>
      </c>
      <c r="BH65" s="602">
        <v>0.15075261376566118</v>
      </c>
      <c r="BI65" s="143">
        <v>98.132936257974592</v>
      </c>
      <c r="BJ65" s="143">
        <v>226.77028975683115</v>
      </c>
      <c r="BK65" s="143">
        <v>0</v>
      </c>
      <c r="BL65" s="143">
        <v>275.05616161508613</v>
      </c>
      <c r="BM65" s="143">
        <v>599.95938762989181</v>
      </c>
      <c r="BN65" s="143">
        <v>0.40760089947373412</v>
      </c>
      <c r="BO65" s="143">
        <v>0.90507786322928263</v>
      </c>
      <c r="BP65" s="143">
        <v>0.11787954240186543</v>
      </c>
      <c r="BQ65" s="143">
        <v>0</v>
      </c>
      <c r="BR65" s="143">
        <v>0</v>
      </c>
      <c r="BS65" s="143">
        <v>0</v>
      </c>
      <c r="BT65" s="143">
        <v>0</v>
      </c>
      <c r="BU65" s="143">
        <v>0</v>
      </c>
      <c r="BV65" s="143">
        <v>4.5089192524585817</v>
      </c>
      <c r="BW65" s="143">
        <v>0</v>
      </c>
      <c r="BX65" s="143">
        <v>6.4366446766031764</v>
      </c>
      <c r="BY65" s="143"/>
      <c r="BZ65" s="143">
        <v>0</v>
      </c>
      <c r="CA65" s="143">
        <v>0</v>
      </c>
      <c r="CB65" s="143">
        <v>5.939477557563464</v>
      </c>
      <c r="CC65" s="143">
        <v>6.4366446766031764</v>
      </c>
      <c r="CD65" s="602">
        <v>0.92275989369944789</v>
      </c>
      <c r="CE65" s="143">
        <v>84.333390082502376</v>
      </c>
      <c r="CF65" s="143">
        <v>7.4995545950574047E-3</v>
      </c>
      <c r="CG65" s="143">
        <v>1.4537813559204478E-2</v>
      </c>
      <c r="CH65" s="143">
        <v>2.2037368154261883E-2</v>
      </c>
      <c r="CI65" s="143">
        <v>3.7497421637819198E-4</v>
      </c>
      <c r="CJ65" s="143">
        <v>7.2689067796022301E-4</v>
      </c>
      <c r="CK65" s="143">
        <v>1.1018648943384151E-3</v>
      </c>
      <c r="CL65" s="143"/>
      <c r="CM65" s="143">
        <v>0.12302457103498743</v>
      </c>
      <c r="CN65" s="143" t="s">
        <v>1119</v>
      </c>
      <c r="CO65" s="143">
        <v>0</v>
      </c>
      <c r="CP65" s="143">
        <v>0</v>
      </c>
      <c r="CQ65" s="143">
        <v>0.90507786322928263</v>
      </c>
      <c r="CR65" s="143">
        <v>0</v>
      </c>
      <c r="CS65" s="143">
        <v>0</v>
      </c>
      <c r="CT65" s="143">
        <v>0.90507786322928263</v>
      </c>
      <c r="CU65" s="143">
        <v>0</v>
      </c>
      <c r="CV65" s="143">
        <v>0</v>
      </c>
      <c r="CW65" s="142">
        <v>9999</v>
      </c>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row>
    <row r="66" spans="1:131">
      <c r="A66" s="34" t="s">
        <v>969</v>
      </c>
      <c r="B66" s="34" t="s">
        <v>222</v>
      </c>
      <c r="C66" s="143">
        <v>15.4</v>
      </c>
      <c r="D66" s="143">
        <v>0.19001627921082875</v>
      </c>
      <c r="E66" s="143">
        <v>0</v>
      </c>
      <c r="F66" s="143">
        <v>0</v>
      </c>
      <c r="G66" s="143">
        <v>0</v>
      </c>
      <c r="H66" s="143">
        <v>0</v>
      </c>
      <c r="I66" s="143" t="s">
        <v>1118</v>
      </c>
      <c r="J66" s="143"/>
      <c r="K66" s="143"/>
      <c r="L66" s="143">
        <v>0.20411582773462791</v>
      </c>
      <c r="M66" s="143">
        <v>3.2097100609015965E-5</v>
      </c>
      <c r="N66" s="143">
        <v>3.186543813055873E-5</v>
      </c>
      <c r="O66" s="143">
        <v>0</v>
      </c>
      <c r="P66" s="143">
        <v>0</v>
      </c>
      <c r="Q66" s="143">
        <v>0</v>
      </c>
      <c r="R66" s="143">
        <v>0</v>
      </c>
      <c r="S66" s="143">
        <v>0</v>
      </c>
      <c r="T66" s="143">
        <v>0</v>
      </c>
      <c r="U66" s="143">
        <v>0</v>
      </c>
      <c r="V66" s="143" t="s">
        <v>1288</v>
      </c>
      <c r="W66" s="143" t="s">
        <v>1288</v>
      </c>
      <c r="X66" s="143" t="s">
        <v>1288</v>
      </c>
      <c r="Y66" s="143" t="s">
        <v>1288</v>
      </c>
      <c r="Z66" s="143">
        <v>0</v>
      </c>
      <c r="AA66" s="143">
        <v>0</v>
      </c>
      <c r="AB66" s="143">
        <v>0</v>
      </c>
      <c r="AC66" s="143">
        <v>0</v>
      </c>
      <c r="AD66" s="143">
        <v>0</v>
      </c>
      <c r="AE66" s="143">
        <v>0</v>
      </c>
      <c r="AF66" s="143">
        <v>0</v>
      </c>
      <c r="AG66" s="143">
        <v>0</v>
      </c>
      <c r="AH66" s="143">
        <v>0</v>
      </c>
      <c r="AI66" s="143">
        <v>0</v>
      </c>
      <c r="AJ66" s="143">
        <v>0</v>
      </c>
      <c r="AK66" s="143">
        <v>0</v>
      </c>
      <c r="AL66" s="143">
        <v>0</v>
      </c>
      <c r="AM66" s="143">
        <v>0.10389299764832896</v>
      </c>
      <c r="AN66" s="143">
        <v>1.1341461872098484E-2</v>
      </c>
      <c r="AO66" s="143">
        <v>0</v>
      </c>
      <c r="AP66" s="143">
        <v>0</v>
      </c>
      <c r="AQ66" s="143">
        <v>0.11523445952042745</v>
      </c>
      <c r="AR66" s="143">
        <v>0</v>
      </c>
      <c r="AS66" s="142">
        <v>9999</v>
      </c>
      <c r="AT66" s="143">
        <v>0.10389299764832896</v>
      </c>
      <c r="AU66" s="143">
        <v>1.3424912802909772E-2</v>
      </c>
      <c r="AV66" s="143">
        <v>0</v>
      </c>
      <c r="AW66" s="143">
        <v>0</v>
      </c>
      <c r="AX66" s="143">
        <v>0.11731791045123874</v>
      </c>
      <c r="AY66" s="143">
        <v>0</v>
      </c>
      <c r="AZ66" s="142">
        <v>9999</v>
      </c>
      <c r="BA66" s="143">
        <v>0.10389299764832896</v>
      </c>
      <c r="BB66" s="143">
        <v>2.4766374675008258E-2</v>
      </c>
      <c r="BC66" s="143">
        <v>0</v>
      </c>
      <c r="BD66" s="143">
        <v>0</v>
      </c>
      <c r="BE66" s="143">
        <v>0.12865937232333721</v>
      </c>
      <c r="BF66" s="143">
        <v>0</v>
      </c>
      <c r="BG66" s="143">
        <v>-8.9280347247298462</v>
      </c>
      <c r="BH66" s="142">
        <v>9999</v>
      </c>
      <c r="BI66" s="143">
        <v>0</v>
      </c>
      <c r="BJ66" s="143">
        <v>0</v>
      </c>
      <c r="BK66" s="143">
        <v>0</v>
      </c>
      <c r="BL66" s="143">
        <v>0</v>
      </c>
      <c r="BM66" s="143">
        <v>0</v>
      </c>
      <c r="BN66" s="143">
        <v>0.10389299764832896</v>
      </c>
      <c r="BO66" s="143">
        <v>0</v>
      </c>
      <c r="BP66" s="143">
        <v>2.4766374675008258E-2</v>
      </c>
      <c r="BQ66" s="143">
        <v>0</v>
      </c>
      <c r="BR66" s="143">
        <v>0</v>
      </c>
      <c r="BS66" s="143">
        <v>0</v>
      </c>
      <c r="BT66" s="143">
        <v>0</v>
      </c>
      <c r="BU66" s="143">
        <v>0</v>
      </c>
      <c r="BV66" s="143">
        <v>0</v>
      </c>
      <c r="BW66" s="143">
        <v>0</v>
      </c>
      <c r="BX66" s="143">
        <v>0</v>
      </c>
      <c r="BY66" s="143"/>
      <c r="BZ66" s="143">
        <v>0</v>
      </c>
      <c r="CA66" s="143">
        <v>0</v>
      </c>
      <c r="CB66" s="143">
        <v>0.12865937232333721</v>
      </c>
      <c r="CC66" s="143">
        <v>0</v>
      </c>
      <c r="CD66" s="142">
        <v>9999</v>
      </c>
      <c r="CE66" s="143">
        <v>-8.9280347247298462</v>
      </c>
      <c r="CF66" s="143">
        <v>1.9391173647741497E-3</v>
      </c>
      <c r="CG66" s="143">
        <v>0</v>
      </c>
      <c r="CH66" s="143">
        <v>1.9391173647741497E-3</v>
      </c>
      <c r="CI66" s="143">
        <v>9.6955018173948277E-5</v>
      </c>
      <c r="CJ66" s="143">
        <v>0</v>
      </c>
      <c r="CK66" s="143">
        <v>9.6955018173948277E-5</v>
      </c>
      <c r="CL66" s="143"/>
      <c r="CM66" s="143">
        <v>0</v>
      </c>
      <c r="CN66" s="143"/>
      <c r="CO66" s="143">
        <v>0</v>
      </c>
      <c r="CP66" s="143">
        <v>0</v>
      </c>
      <c r="CQ66" s="143">
        <v>0</v>
      </c>
      <c r="CR66" s="143">
        <v>0</v>
      </c>
      <c r="CS66" s="143">
        <v>0</v>
      </c>
      <c r="CT66" s="143">
        <v>0</v>
      </c>
      <c r="CU66" s="143">
        <v>0</v>
      </c>
      <c r="CV66" s="143">
        <v>9999</v>
      </c>
      <c r="CW66" s="142">
        <v>9999</v>
      </c>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row>
    <row r="67" spans="1:131">
      <c r="A67" s="34" t="s">
        <v>970</v>
      </c>
      <c r="B67" s="34" t="s">
        <v>220</v>
      </c>
      <c r="C67" s="143">
        <v>15.4</v>
      </c>
      <c r="D67" s="143">
        <v>3.1180591628190424</v>
      </c>
      <c r="E67" s="143">
        <v>1.4554246126907009E-2</v>
      </c>
      <c r="F67" s="143">
        <v>5.2795660553372441</v>
      </c>
      <c r="G67" s="143">
        <v>0</v>
      </c>
      <c r="H67" s="143">
        <v>0</v>
      </c>
      <c r="I67" s="143" t="s">
        <v>1119</v>
      </c>
      <c r="J67" s="143"/>
      <c r="K67" s="143"/>
      <c r="L67" s="143">
        <v>3.3515901667753787</v>
      </c>
      <c r="M67" s="143">
        <v>6.4861190696150048E-4</v>
      </c>
      <c r="N67" s="143">
        <v>6.4393051708289671E-4</v>
      </c>
      <c r="O67" s="143">
        <v>1.4699788588176079E-2</v>
      </c>
      <c r="P67" s="143">
        <v>0</v>
      </c>
      <c r="Q67" s="143">
        <v>0</v>
      </c>
      <c r="R67" s="143">
        <v>1.052815998528865</v>
      </c>
      <c r="S67" s="143">
        <v>2.432897640190776</v>
      </c>
      <c r="T67" s="143">
        <v>0</v>
      </c>
      <c r="U67" s="143">
        <v>2.9509310378835352</v>
      </c>
      <c r="V67" s="143" t="s">
        <v>1288</v>
      </c>
      <c r="W67" s="143" t="s">
        <v>1288</v>
      </c>
      <c r="X67" s="143" t="s">
        <v>1288</v>
      </c>
      <c r="Y67" s="143" t="s">
        <v>1288</v>
      </c>
      <c r="Z67" s="143">
        <v>0</v>
      </c>
      <c r="AA67" s="143">
        <v>0</v>
      </c>
      <c r="AB67" s="143">
        <v>0</v>
      </c>
      <c r="AC67" s="143">
        <v>0</v>
      </c>
      <c r="AD67" s="143">
        <v>0</v>
      </c>
      <c r="AE67" s="143">
        <v>0</v>
      </c>
      <c r="AF67" s="143">
        <v>0</v>
      </c>
      <c r="AG67" s="143">
        <v>0</v>
      </c>
      <c r="AH67" s="143">
        <v>1.052815998528865</v>
      </c>
      <c r="AI67" s="143">
        <v>2.432897640190776</v>
      </c>
      <c r="AJ67" s="143">
        <v>0</v>
      </c>
      <c r="AK67" s="143">
        <v>2.9509310378835352</v>
      </c>
      <c r="AL67" s="143">
        <v>6.4366446766031764</v>
      </c>
      <c r="AM67" s="143">
        <v>1.730526462389852</v>
      </c>
      <c r="AN67" s="143">
        <v>0.22918603465780382</v>
      </c>
      <c r="AO67" s="143">
        <v>0</v>
      </c>
      <c r="AP67" s="143">
        <v>0</v>
      </c>
      <c r="AQ67" s="143">
        <v>1.9597124970476558</v>
      </c>
      <c r="AR67" s="143">
        <v>1.052815998528865</v>
      </c>
      <c r="AS67" s="142">
        <v>1.8614007573840325</v>
      </c>
      <c r="AT67" s="143">
        <v>1.730526462389852</v>
      </c>
      <c r="AU67" s="143">
        <v>0.27128800198985104</v>
      </c>
      <c r="AV67" s="143">
        <v>0</v>
      </c>
      <c r="AW67" s="143">
        <v>0</v>
      </c>
      <c r="AX67" s="143">
        <v>2.0018144643797031</v>
      </c>
      <c r="AY67" s="143">
        <v>2.432897640190776</v>
      </c>
      <c r="AZ67" s="602">
        <v>0.82281080441293475</v>
      </c>
      <c r="BA67" s="143">
        <v>1.730526462389852</v>
      </c>
      <c r="BB67" s="143">
        <v>0.50047403664765489</v>
      </c>
      <c r="BC67" s="143">
        <v>0</v>
      </c>
      <c r="BD67" s="143">
        <v>0</v>
      </c>
      <c r="BE67" s="143">
        <v>2.2310004990375067</v>
      </c>
      <c r="BF67" s="143">
        <v>3.4857136387196412</v>
      </c>
      <c r="BG67" s="143">
        <v>65.538787304097511</v>
      </c>
      <c r="BH67" s="602">
        <v>0.64004124557317021</v>
      </c>
      <c r="BI67" s="143">
        <v>23.113817648018202</v>
      </c>
      <c r="BJ67" s="143">
        <v>53.412516992751272</v>
      </c>
      <c r="BK67" s="143">
        <v>0</v>
      </c>
      <c r="BL67" s="143">
        <v>64.785567465564199</v>
      </c>
      <c r="BM67" s="143">
        <v>141.31190210633369</v>
      </c>
      <c r="BN67" s="143">
        <v>1.730526462389852</v>
      </c>
      <c r="BO67" s="143">
        <v>0.10707394364096438</v>
      </c>
      <c r="BP67" s="143">
        <v>0.50047403664765489</v>
      </c>
      <c r="BQ67" s="143">
        <v>0</v>
      </c>
      <c r="BR67" s="143">
        <v>0</v>
      </c>
      <c r="BS67" s="143">
        <v>0</v>
      </c>
      <c r="BT67" s="143">
        <v>0</v>
      </c>
      <c r="BU67" s="143">
        <v>0</v>
      </c>
      <c r="BV67" s="143">
        <v>4.5089192524585817</v>
      </c>
      <c r="BW67" s="143">
        <v>0</v>
      </c>
      <c r="BX67" s="143">
        <v>6.4366446766031764</v>
      </c>
      <c r="BY67" s="143"/>
      <c r="BZ67" s="143">
        <v>0</v>
      </c>
      <c r="CA67" s="143">
        <v>0</v>
      </c>
      <c r="CB67" s="143">
        <v>6.8469936951370531</v>
      </c>
      <c r="CC67" s="143">
        <v>6.4366446766031764</v>
      </c>
      <c r="CD67" s="142">
        <v>1.0637520073191971</v>
      </c>
      <c r="CE67" s="143">
        <v>28.983545788582724</v>
      </c>
      <c r="CF67" s="143">
        <v>3.1840404914809467E-2</v>
      </c>
      <c r="CG67" s="143">
        <v>1.7198752648166021E-3</v>
      </c>
      <c r="CH67" s="143">
        <v>3.3560280179626069E-2</v>
      </c>
      <c r="CI67" s="143">
        <v>1.5920053292183046E-3</v>
      </c>
      <c r="CJ67" s="143">
        <v>8.5993763240830049E-5</v>
      </c>
      <c r="CK67" s="143">
        <v>1.6779990924591346E-3</v>
      </c>
      <c r="CL67" s="143"/>
      <c r="CM67" s="143">
        <v>1.4554246126907009E-2</v>
      </c>
      <c r="CN67" s="143" t="s">
        <v>1119</v>
      </c>
      <c r="CO67" s="143">
        <v>0</v>
      </c>
      <c r="CP67" s="143">
        <v>0</v>
      </c>
      <c r="CQ67" s="143">
        <v>0.10707394364096438</v>
      </c>
      <c r="CR67" s="143">
        <v>0</v>
      </c>
      <c r="CS67" s="143">
        <v>0</v>
      </c>
      <c r="CT67" s="143">
        <v>0.10707394364096438</v>
      </c>
      <c r="CU67" s="143">
        <v>0</v>
      </c>
      <c r="CV67" s="143">
        <v>0</v>
      </c>
      <c r="CW67" s="142">
        <v>9999</v>
      </c>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row>
    <row r="68" spans="1:131">
      <c r="A68" s="34" t="s">
        <v>970</v>
      </c>
      <c r="B68" s="34" t="s">
        <v>222</v>
      </c>
      <c r="C68" s="143">
        <v>15.4</v>
      </c>
      <c r="D68" s="143">
        <v>0.19001627921082875</v>
      </c>
      <c r="E68" s="143">
        <v>0</v>
      </c>
      <c r="F68" s="143">
        <v>0</v>
      </c>
      <c r="G68" s="143">
        <v>0</v>
      </c>
      <c r="H68" s="143">
        <v>0</v>
      </c>
      <c r="I68" s="143" t="s">
        <v>1118</v>
      </c>
      <c r="J68" s="143"/>
      <c r="K68" s="143"/>
      <c r="L68" s="143">
        <v>0.20411582773462791</v>
      </c>
      <c r="M68" s="143">
        <v>3.2097100609015965E-5</v>
      </c>
      <c r="N68" s="143">
        <v>3.186543813055873E-5</v>
      </c>
      <c r="O68" s="143">
        <v>0</v>
      </c>
      <c r="P68" s="143">
        <v>0</v>
      </c>
      <c r="Q68" s="143">
        <v>0</v>
      </c>
      <c r="R68" s="143">
        <v>0</v>
      </c>
      <c r="S68" s="143">
        <v>0</v>
      </c>
      <c r="T68" s="143">
        <v>0</v>
      </c>
      <c r="U68" s="143">
        <v>0</v>
      </c>
      <c r="V68" s="143" t="s">
        <v>1288</v>
      </c>
      <c r="W68" s="143" t="s">
        <v>1288</v>
      </c>
      <c r="X68" s="143" t="s">
        <v>1288</v>
      </c>
      <c r="Y68" s="143" t="s">
        <v>1288</v>
      </c>
      <c r="Z68" s="143">
        <v>0</v>
      </c>
      <c r="AA68" s="143">
        <v>0</v>
      </c>
      <c r="AB68" s="143">
        <v>0</v>
      </c>
      <c r="AC68" s="143">
        <v>0</v>
      </c>
      <c r="AD68" s="143">
        <v>0</v>
      </c>
      <c r="AE68" s="143">
        <v>0</v>
      </c>
      <c r="AF68" s="143">
        <v>0</v>
      </c>
      <c r="AG68" s="143">
        <v>0</v>
      </c>
      <c r="AH68" s="143">
        <v>0</v>
      </c>
      <c r="AI68" s="143">
        <v>0</v>
      </c>
      <c r="AJ68" s="143">
        <v>0</v>
      </c>
      <c r="AK68" s="143">
        <v>0</v>
      </c>
      <c r="AL68" s="143">
        <v>0</v>
      </c>
      <c r="AM68" s="143">
        <v>0.10389299764832896</v>
      </c>
      <c r="AN68" s="143">
        <v>1.1341461872098484E-2</v>
      </c>
      <c r="AO68" s="143">
        <v>0</v>
      </c>
      <c r="AP68" s="143">
        <v>0</v>
      </c>
      <c r="AQ68" s="143">
        <v>0.11523445952042745</v>
      </c>
      <c r="AR68" s="143">
        <v>0</v>
      </c>
      <c r="AS68" s="142">
        <v>9999</v>
      </c>
      <c r="AT68" s="143">
        <v>0.10389299764832896</v>
      </c>
      <c r="AU68" s="143">
        <v>1.3424912802909772E-2</v>
      </c>
      <c r="AV68" s="143">
        <v>0</v>
      </c>
      <c r="AW68" s="143">
        <v>0</v>
      </c>
      <c r="AX68" s="143">
        <v>0.11731791045123874</v>
      </c>
      <c r="AY68" s="143">
        <v>0</v>
      </c>
      <c r="AZ68" s="142">
        <v>9999</v>
      </c>
      <c r="BA68" s="143">
        <v>0.10389299764832896</v>
      </c>
      <c r="BB68" s="143">
        <v>2.4766374675008258E-2</v>
      </c>
      <c r="BC68" s="143">
        <v>0</v>
      </c>
      <c r="BD68" s="143">
        <v>0</v>
      </c>
      <c r="BE68" s="143">
        <v>0.12865937232333721</v>
      </c>
      <c r="BF68" s="143">
        <v>0</v>
      </c>
      <c r="BG68" s="143">
        <v>-8.9280347247298462</v>
      </c>
      <c r="BH68" s="142">
        <v>9999</v>
      </c>
      <c r="BI68" s="143">
        <v>0</v>
      </c>
      <c r="BJ68" s="143">
        <v>0</v>
      </c>
      <c r="BK68" s="143">
        <v>0</v>
      </c>
      <c r="BL68" s="143">
        <v>0</v>
      </c>
      <c r="BM68" s="143">
        <v>0</v>
      </c>
      <c r="BN68" s="143">
        <v>0.10389299764832896</v>
      </c>
      <c r="BO68" s="143">
        <v>0</v>
      </c>
      <c r="BP68" s="143">
        <v>2.4766374675008258E-2</v>
      </c>
      <c r="BQ68" s="143">
        <v>0</v>
      </c>
      <c r="BR68" s="143">
        <v>0</v>
      </c>
      <c r="BS68" s="143">
        <v>0</v>
      </c>
      <c r="BT68" s="143">
        <v>0</v>
      </c>
      <c r="BU68" s="143">
        <v>0</v>
      </c>
      <c r="BV68" s="143">
        <v>0</v>
      </c>
      <c r="BW68" s="143">
        <v>0</v>
      </c>
      <c r="BX68" s="143">
        <v>0</v>
      </c>
      <c r="BY68" s="143"/>
      <c r="BZ68" s="143">
        <v>0</v>
      </c>
      <c r="CA68" s="143">
        <v>0</v>
      </c>
      <c r="CB68" s="143">
        <v>0.12865937232333721</v>
      </c>
      <c r="CC68" s="143">
        <v>0</v>
      </c>
      <c r="CD68" s="142">
        <v>9999</v>
      </c>
      <c r="CE68" s="143">
        <v>-8.9280347247298462</v>
      </c>
      <c r="CF68" s="143">
        <v>1.9391173647741497E-3</v>
      </c>
      <c r="CG68" s="143">
        <v>0</v>
      </c>
      <c r="CH68" s="143">
        <v>1.9391173647741497E-3</v>
      </c>
      <c r="CI68" s="143">
        <v>9.6955018173948277E-5</v>
      </c>
      <c r="CJ68" s="143">
        <v>0</v>
      </c>
      <c r="CK68" s="143">
        <v>9.6955018173948277E-5</v>
      </c>
      <c r="CL68" s="143"/>
      <c r="CM68" s="143">
        <v>0</v>
      </c>
      <c r="CN68" s="143"/>
      <c r="CO68" s="143">
        <v>0</v>
      </c>
      <c r="CP68" s="143">
        <v>0</v>
      </c>
      <c r="CQ68" s="143">
        <v>0</v>
      </c>
      <c r="CR68" s="143">
        <v>0</v>
      </c>
      <c r="CS68" s="143">
        <v>0</v>
      </c>
      <c r="CT68" s="143">
        <v>0</v>
      </c>
      <c r="CU68" s="143">
        <v>0</v>
      </c>
      <c r="CV68" s="143">
        <v>9999</v>
      </c>
      <c r="CW68" s="142">
        <v>9999</v>
      </c>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row>
    <row r="69" spans="1:131">
      <c r="A69" s="34" t="s">
        <v>971</v>
      </c>
      <c r="B69" s="34" t="s">
        <v>220</v>
      </c>
      <c r="C69" s="143">
        <v>15.4</v>
      </c>
      <c r="D69" s="143">
        <v>2.7680556420949758</v>
      </c>
      <c r="E69" s="143">
        <v>3.0481534341258047E-2</v>
      </c>
      <c r="F69" s="143">
        <v>5.2795660553372441</v>
      </c>
      <c r="G69" s="143">
        <v>0</v>
      </c>
      <c r="H69" s="143">
        <v>0</v>
      </c>
      <c r="I69" s="143" t="s">
        <v>1119</v>
      </c>
      <c r="J69" s="143"/>
      <c r="K69" s="143"/>
      <c r="L69" s="143">
        <v>2.9753726875230058</v>
      </c>
      <c r="M69" s="143">
        <v>5.7580493340336249E-4</v>
      </c>
      <c r="N69" s="143">
        <v>5.7164903161008166E-4</v>
      </c>
      <c r="O69" s="143">
        <v>3.0786349684670627E-2</v>
      </c>
      <c r="P69" s="143">
        <v>0</v>
      </c>
      <c r="Q69" s="143">
        <v>0</v>
      </c>
      <c r="R69" s="143">
        <v>1.052815998528865</v>
      </c>
      <c r="S69" s="143">
        <v>2.432897640190776</v>
      </c>
      <c r="T69" s="143">
        <v>0</v>
      </c>
      <c r="U69" s="143">
        <v>2.9509310378835352</v>
      </c>
      <c r="V69" s="143" t="s">
        <v>1288</v>
      </c>
      <c r="W69" s="143" t="s">
        <v>1288</v>
      </c>
      <c r="X69" s="143" t="s">
        <v>1288</v>
      </c>
      <c r="Y69" s="143" t="s">
        <v>1288</v>
      </c>
      <c r="Z69" s="143">
        <v>0</v>
      </c>
      <c r="AA69" s="143">
        <v>0</v>
      </c>
      <c r="AB69" s="143">
        <v>0</v>
      </c>
      <c r="AC69" s="143">
        <v>0</v>
      </c>
      <c r="AD69" s="143">
        <v>0</v>
      </c>
      <c r="AE69" s="143">
        <v>0</v>
      </c>
      <c r="AF69" s="143">
        <v>0</v>
      </c>
      <c r="AG69" s="143">
        <v>0</v>
      </c>
      <c r="AH69" s="143">
        <v>1.052815998528865</v>
      </c>
      <c r="AI69" s="143">
        <v>2.432897640190776</v>
      </c>
      <c r="AJ69" s="143">
        <v>0</v>
      </c>
      <c r="AK69" s="143">
        <v>2.9509310378835352</v>
      </c>
      <c r="AL69" s="143">
        <v>6.4366446766031764</v>
      </c>
      <c r="AM69" s="143">
        <v>1.5362741012528016</v>
      </c>
      <c r="AN69" s="143">
        <v>0.20345980085584611</v>
      </c>
      <c r="AO69" s="143">
        <v>0</v>
      </c>
      <c r="AP69" s="143">
        <v>0</v>
      </c>
      <c r="AQ69" s="143">
        <v>1.7397339021086478</v>
      </c>
      <c r="AR69" s="143">
        <v>1.052815998528865</v>
      </c>
      <c r="AS69" s="142">
        <v>1.652457698723838</v>
      </c>
      <c r="AT69" s="143">
        <v>1.5362741012528016</v>
      </c>
      <c r="AU69" s="143">
        <v>0.24083580372533844</v>
      </c>
      <c r="AV69" s="143">
        <v>0</v>
      </c>
      <c r="AW69" s="143">
        <v>0</v>
      </c>
      <c r="AX69" s="143">
        <v>1.77710990497814</v>
      </c>
      <c r="AY69" s="143">
        <v>2.432897640190776</v>
      </c>
      <c r="AZ69" s="602">
        <v>0.73044992753529392</v>
      </c>
      <c r="BA69" s="143">
        <v>1.5362741012528016</v>
      </c>
      <c r="BB69" s="143">
        <v>0.44429560458118456</v>
      </c>
      <c r="BC69" s="143">
        <v>0</v>
      </c>
      <c r="BD69" s="143">
        <v>0</v>
      </c>
      <c r="BE69" s="143">
        <v>1.9805697058339862</v>
      </c>
      <c r="BF69" s="143">
        <v>3.4857136387196412</v>
      </c>
      <c r="BG69" s="143">
        <v>75.215069147950118</v>
      </c>
      <c r="BH69" s="602">
        <v>0.56819633254827018</v>
      </c>
      <c r="BI69" s="143">
        <v>26.036416974113273</v>
      </c>
      <c r="BJ69" s="143">
        <v>60.166199510508818</v>
      </c>
      <c r="BK69" s="143">
        <v>0</v>
      </c>
      <c r="BL69" s="143">
        <v>72.977301894678689</v>
      </c>
      <c r="BM69" s="143">
        <v>159.17991837930077</v>
      </c>
      <c r="BN69" s="143">
        <v>1.5362741012528016</v>
      </c>
      <c r="BO69" s="143">
        <v>0.22424920271975507</v>
      </c>
      <c r="BP69" s="143">
        <v>0.44429560458118456</v>
      </c>
      <c r="BQ69" s="143">
        <v>0</v>
      </c>
      <c r="BR69" s="143">
        <v>0</v>
      </c>
      <c r="BS69" s="143">
        <v>0</v>
      </c>
      <c r="BT69" s="143">
        <v>0</v>
      </c>
      <c r="BU69" s="143">
        <v>0</v>
      </c>
      <c r="BV69" s="143">
        <v>4.5089192524585817</v>
      </c>
      <c r="BW69" s="143">
        <v>0</v>
      </c>
      <c r="BX69" s="143">
        <v>6.4366446766031764</v>
      </c>
      <c r="BY69" s="143"/>
      <c r="BZ69" s="143">
        <v>0</v>
      </c>
      <c r="CA69" s="143">
        <v>0</v>
      </c>
      <c r="CB69" s="143">
        <v>6.7137381610123228</v>
      </c>
      <c r="CC69" s="143">
        <v>6.4366446766031764</v>
      </c>
      <c r="CD69" s="142">
        <v>1.0430493678509807</v>
      </c>
      <c r="CE69" s="143">
        <v>31.139868345155772</v>
      </c>
      <c r="CF69" s="143">
        <v>2.8266305374187617E-2</v>
      </c>
      <c r="CG69" s="143">
        <v>3.6020029131064659E-3</v>
      </c>
      <c r="CH69" s="143">
        <v>3.1868308287294082E-2</v>
      </c>
      <c r="CI69" s="143">
        <v>1.4133020265734279E-3</v>
      </c>
      <c r="CJ69" s="143">
        <v>1.8010014565532313E-4</v>
      </c>
      <c r="CK69" s="143">
        <v>1.5934021722287511E-3</v>
      </c>
      <c r="CL69" s="143"/>
      <c r="CM69" s="143">
        <v>3.0481534341258047E-2</v>
      </c>
      <c r="CN69" s="143" t="s">
        <v>1119</v>
      </c>
      <c r="CO69" s="143">
        <v>0</v>
      </c>
      <c r="CP69" s="143">
        <v>0</v>
      </c>
      <c r="CQ69" s="143">
        <v>0.22424920271975507</v>
      </c>
      <c r="CR69" s="143">
        <v>0</v>
      </c>
      <c r="CS69" s="143">
        <v>0</v>
      </c>
      <c r="CT69" s="143">
        <v>0.22424920271975507</v>
      </c>
      <c r="CU69" s="143">
        <v>0</v>
      </c>
      <c r="CV69" s="143">
        <v>0</v>
      </c>
      <c r="CW69" s="142">
        <v>9999</v>
      </c>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row>
    <row r="70" spans="1:131">
      <c r="A70" s="34" t="s">
        <v>971</v>
      </c>
      <c r="B70" s="34" t="s">
        <v>222</v>
      </c>
      <c r="C70" s="143">
        <v>15.4</v>
      </c>
      <c r="D70" s="143">
        <v>0.19001627921082875</v>
      </c>
      <c r="E70" s="143">
        <v>0</v>
      </c>
      <c r="F70" s="143">
        <v>0</v>
      </c>
      <c r="G70" s="143">
        <v>0</v>
      </c>
      <c r="H70" s="143">
        <v>0</v>
      </c>
      <c r="I70" s="143" t="s">
        <v>1118</v>
      </c>
      <c r="J70" s="143"/>
      <c r="K70" s="143"/>
      <c r="L70" s="143">
        <v>0.20411582773462791</v>
      </c>
      <c r="M70" s="143">
        <v>3.2097100609015965E-5</v>
      </c>
      <c r="N70" s="143">
        <v>3.186543813055873E-5</v>
      </c>
      <c r="O70" s="143">
        <v>0</v>
      </c>
      <c r="P70" s="143">
        <v>0</v>
      </c>
      <c r="Q70" s="143">
        <v>0</v>
      </c>
      <c r="R70" s="143">
        <v>0</v>
      </c>
      <c r="S70" s="143">
        <v>0</v>
      </c>
      <c r="T70" s="143">
        <v>0</v>
      </c>
      <c r="U70" s="143">
        <v>0</v>
      </c>
      <c r="V70" s="143" t="s">
        <v>1288</v>
      </c>
      <c r="W70" s="143" t="s">
        <v>1288</v>
      </c>
      <c r="X70" s="143" t="s">
        <v>1288</v>
      </c>
      <c r="Y70" s="143" t="s">
        <v>1288</v>
      </c>
      <c r="Z70" s="143">
        <v>0</v>
      </c>
      <c r="AA70" s="143">
        <v>0</v>
      </c>
      <c r="AB70" s="143">
        <v>0</v>
      </c>
      <c r="AC70" s="143">
        <v>0</v>
      </c>
      <c r="AD70" s="143">
        <v>0</v>
      </c>
      <c r="AE70" s="143">
        <v>0</v>
      </c>
      <c r="AF70" s="143">
        <v>0</v>
      </c>
      <c r="AG70" s="143">
        <v>0</v>
      </c>
      <c r="AH70" s="143">
        <v>0</v>
      </c>
      <c r="AI70" s="143">
        <v>0</v>
      </c>
      <c r="AJ70" s="143">
        <v>0</v>
      </c>
      <c r="AK70" s="143">
        <v>0</v>
      </c>
      <c r="AL70" s="143">
        <v>0</v>
      </c>
      <c r="AM70" s="143">
        <v>0.10389299764832896</v>
      </c>
      <c r="AN70" s="143">
        <v>1.1341461872098484E-2</v>
      </c>
      <c r="AO70" s="143">
        <v>0</v>
      </c>
      <c r="AP70" s="143">
        <v>0</v>
      </c>
      <c r="AQ70" s="143">
        <v>0.11523445952042745</v>
      </c>
      <c r="AR70" s="143">
        <v>0</v>
      </c>
      <c r="AS70" s="142">
        <v>9999</v>
      </c>
      <c r="AT70" s="143">
        <v>0.10389299764832896</v>
      </c>
      <c r="AU70" s="143">
        <v>1.3424912802909772E-2</v>
      </c>
      <c r="AV70" s="143">
        <v>0</v>
      </c>
      <c r="AW70" s="143">
        <v>0</v>
      </c>
      <c r="AX70" s="143">
        <v>0.11731791045123874</v>
      </c>
      <c r="AY70" s="143">
        <v>0</v>
      </c>
      <c r="AZ70" s="142">
        <v>9999</v>
      </c>
      <c r="BA70" s="143">
        <v>0.10389299764832896</v>
      </c>
      <c r="BB70" s="143">
        <v>2.4766374675008258E-2</v>
      </c>
      <c r="BC70" s="143">
        <v>0</v>
      </c>
      <c r="BD70" s="143">
        <v>0</v>
      </c>
      <c r="BE70" s="143">
        <v>0.12865937232333721</v>
      </c>
      <c r="BF70" s="143">
        <v>0</v>
      </c>
      <c r="BG70" s="143">
        <v>-8.9280347247298462</v>
      </c>
      <c r="BH70" s="142">
        <v>9999</v>
      </c>
      <c r="BI70" s="143">
        <v>0</v>
      </c>
      <c r="BJ70" s="143">
        <v>0</v>
      </c>
      <c r="BK70" s="143">
        <v>0</v>
      </c>
      <c r="BL70" s="143">
        <v>0</v>
      </c>
      <c r="BM70" s="143">
        <v>0</v>
      </c>
      <c r="BN70" s="143">
        <v>0.10389299764832896</v>
      </c>
      <c r="BO70" s="143">
        <v>0</v>
      </c>
      <c r="BP70" s="143">
        <v>2.4766374675008258E-2</v>
      </c>
      <c r="BQ70" s="143">
        <v>0</v>
      </c>
      <c r="BR70" s="143">
        <v>0</v>
      </c>
      <c r="BS70" s="143">
        <v>0</v>
      </c>
      <c r="BT70" s="143">
        <v>0</v>
      </c>
      <c r="BU70" s="143">
        <v>0</v>
      </c>
      <c r="BV70" s="143">
        <v>0</v>
      </c>
      <c r="BW70" s="143">
        <v>0</v>
      </c>
      <c r="BX70" s="143">
        <v>0</v>
      </c>
      <c r="BY70" s="143"/>
      <c r="BZ70" s="143">
        <v>0</v>
      </c>
      <c r="CA70" s="143">
        <v>0</v>
      </c>
      <c r="CB70" s="143">
        <v>0.12865937232333721</v>
      </c>
      <c r="CC70" s="143">
        <v>0</v>
      </c>
      <c r="CD70" s="142">
        <v>9999</v>
      </c>
      <c r="CE70" s="143">
        <v>-8.9280347247298462</v>
      </c>
      <c r="CF70" s="143">
        <v>1.9391173647741497E-3</v>
      </c>
      <c r="CG70" s="143">
        <v>0</v>
      </c>
      <c r="CH70" s="143">
        <v>1.9391173647741497E-3</v>
      </c>
      <c r="CI70" s="143">
        <v>9.6955018173948277E-5</v>
      </c>
      <c r="CJ70" s="143">
        <v>0</v>
      </c>
      <c r="CK70" s="143">
        <v>9.6955018173948277E-5</v>
      </c>
      <c r="CL70" s="143"/>
      <c r="CM70" s="143">
        <v>0</v>
      </c>
      <c r="CN70" s="143"/>
      <c r="CO70" s="143">
        <v>0</v>
      </c>
      <c r="CP70" s="143">
        <v>0</v>
      </c>
      <c r="CQ70" s="143">
        <v>0</v>
      </c>
      <c r="CR70" s="143">
        <v>0</v>
      </c>
      <c r="CS70" s="143">
        <v>0</v>
      </c>
      <c r="CT70" s="143">
        <v>0</v>
      </c>
      <c r="CU70" s="143">
        <v>0</v>
      </c>
      <c r="CV70" s="143">
        <v>9999</v>
      </c>
      <c r="CW70" s="142">
        <v>9999</v>
      </c>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row>
    <row r="71" spans="1:131">
      <c r="A71" s="34" t="s">
        <v>972</v>
      </c>
      <c r="B71" s="34" t="s">
        <v>220</v>
      </c>
      <c r="C71" s="143">
        <v>15.4</v>
      </c>
      <c r="D71" s="143">
        <v>2.7680556420949758</v>
      </c>
      <c r="E71" s="143">
        <v>3.0481534341258047E-2</v>
      </c>
      <c r="F71" s="143">
        <v>5.2795660553372441</v>
      </c>
      <c r="G71" s="143">
        <v>0</v>
      </c>
      <c r="H71" s="143">
        <v>0</v>
      </c>
      <c r="I71" s="143" t="s">
        <v>1119</v>
      </c>
      <c r="J71" s="143"/>
      <c r="K71" s="143"/>
      <c r="L71" s="143">
        <v>2.9753726875230058</v>
      </c>
      <c r="M71" s="143">
        <v>5.7580493340336249E-4</v>
      </c>
      <c r="N71" s="143">
        <v>5.7164903161008166E-4</v>
      </c>
      <c r="O71" s="143">
        <v>3.0786349684670627E-2</v>
      </c>
      <c r="P71" s="143">
        <v>0</v>
      </c>
      <c r="Q71" s="143">
        <v>0</v>
      </c>
      <c r="R71" s="143">
        <v>1.052815998528865</v>
      </c>
      <c r="S71" s="143">
        <v>2.432897640190776</v>
      </c>
      <c r="T71" s="143">
        <v>0</v>
      </c>
      <c r="U71" s="143">
        <v>2.9509310378835352</v>
      </c>
      <c r="V71" s="143" t="s">
        <v>1288</v>
      </c>
      <c r="W71" s="143" t="s">
        <v>1288</v>
      </c>
      <c r="X71" s="143" t="s">
        <v>1288</v>
      </c>
      <c r="Y71" s="143" t="s">
        <v>1288</v>
      </c>
      <c r="Z71" s="143">
        <v>0</v>
      </c>
      <c r="AA71" s="143">
        <v>0</v>
      </c>
      <c r="AB71" s="143">
        <v>0</v>
      </c>
      <c r="AC71" s="143">
        <v>0</v>
      </c>
      <c r="AD71" s="143">
        <v>0</v>
      </c>
      <c r="AE71" s="143">
        <v>0</v>
      </c>
      <c r="AF71" s="143">
        <v>0</v>
      </c>
      <c r="AG71" s="143">
        <v>0</v>
      </c>
      <c r="AH71" s="143">
        <v>1.052815998528865</v>
      </c>
      <c r="AI71" s="143">
        <v>2.432897640190776</v>
      </c>
      <c r="AJ71" s="143">
        <v>0</v>
      </c>
      <c r="AK71" s="143">
        <v>2.9509310378835352</v>
      </c>
      <c r="AL71" s="143">
        <v>6.4366446766031764</v>
      </c>
      <c r="AM71" s="143">
        <v>1.5362741012528016</v>
      </c>
      <c r="AN71" s="143">
        <v>0.20345980085584611</v>
      </c>
      <c r="AO71" s="143">
        <v>0</v>
      </c>
      <c r="AP71" s="143">
        <v>0</v>
      </c>
      <c r="AQ71" s="143">
        <v>1.7397339021086478</v>
      </c>
      <c r="AR71" s="143">
        <v>1.052815998528865</v>
      </c>
      <c r="AS71" s="142">
        <v>1.652457698723838</v>
      </c>
      <c r="AT71" s="143">
        <v>1.5362741012528016</v>
      </c>
      <c r="AU71" s="143">
        <v>0.24083580372533844</v>
      </c>
      <c r="AV71" s="143">
        <v>0</v>
      </c>
      <c r="AW71" s="143">
        <v>0</v>
      </c>
      <c r="AX71" s="143">
        <v>1.77710990497814</v>
      </c>
      <c r="AY71" s="143">
        <v>2.432897640190776</v>
      </c>
      <c r="AZ71" s="602">
        <v>0.73044992753529392</v>
      </c>
      <c r="BA71" s="143">
        <v>1.5362741012528016</v>
      </c>
      <c r="BB71" s="143">
        <v>0.44429560458118456</v>
      </c>
      <c r="BC71" s="143">
        <v>0</v>
      </c>
      <c r="BD71" s="143">
        <v>0</v>
      </c>
      <c r="BE71" s="143">
        <v>1.9805697058339862</v>
      </c>
      <c r="BF71" s="143">
        <v>3.4857136387196412</v>
      </c>
      <c r="BG71" s="143">
        <v>75.215069147950118</v>
      </c>
      <c r="BH71" s="602">
        <v>0.56819633254827018</v>
      </c>
      <c r="BI71" s="143">
        <v>26.036416974113273</v>
      </c>
      <c r="BJ71" s="143">
        <v>60.166199510508818</v>
      </c>
      <c r="BK71" s="143">
        <v>0</v>
      </c>
      <c r="BL71" s="143">
        <v>72.977301894678689</v>
      </c>
      <c r="BM71" s="143">
        <v>159.17991837930077</v>
      </c>
      <c r="BN71" s="143">
        <v>1.5362741012528016</v>
      </c>
      <c r="BO71" s="143">
        <v>0.22424920271975507</v>
      </c>
      <c r="BP71" s="143">
        <v>0.44429560458118456</v>
      </c>
      <c r="BQ71" s="143">
        <v>0</v>
      </c>
      <c r="BR71" s="143">
        <v>0</v>
      </c>
      <c r="BS71" s="143">
        <v>0</v>
      </c>
      <c r="BT71" s="143">
        <v>0</v>
      </c>
      <c r="BU71" s="143">
        <v>0</v>
      </c>
      <c r="BV71" s="143">
        <v>4.5089192524585817</v>
      </c>
      <c r="BW71" s="143">
        <v>0</v>
      </c>
      <c r="BX71" s="143">
        <v>6.4366446766031764</v>
      </c>
      <c r="BY71" s="143"/>
      <c r="BZ71" s="143">
        <v>0</v>
      </c>
      <c r="CA71" s="143">
        <v>0</v>
      </c>
      <c r="CB71" s="143">
        <v>6.7137381610123228</v>
      </c>
      <c r="CC71" s="143">
        <v>6.4366446766031764</v>
      </c>
      <c r="CD71" s="142">
        <v>1.0430493678509807</v>
      </c>
      <c r="CE71" s="143">
        <v>31.139868345155772</v>
      </c>
      <c r="CF71" s="143">
        <v>2.8266305374187617E-2</v>
      </c>
      <c r="CG71" s="143">
        <v>3.6020029131064659E-3</v>
      </c>
      <c r="CH71" s="143">
        <v>3.1868308287294082E-2</v>
      </c>
      <c r="CI71" s="143">
        <v>1.4133020265734279E-3</v>
      </c>
      <c r="CJ71" s="143">
        <v>1.8010014565532313E-4</v>
      </c>
      <c r="CK71" s="143">
        <v>1.5934021722287511E-3</v>
      </c>
      <c r="CL71" s="143"/>
      <c r="CM71" s="143">
        <v>3.0481534341258047E-2</v>
      </c>
      <c r="CN71" s="143" t="s">
        <v>1119</v>
      </c>
      <c r="CO71" s="143">
        <v>0</v>
      </c>
      <c r="CP71" s="143">
        <v>0</v>
      </c>
      <c r="CQ71" s="143">
        <v>0.22424920271975507</v>
      </c>
      <c r="CR71" s="143">
        <v>0</v>
      </c>
      <c r="CS71" s="143">
        <v>0</v>
      </c>
      <c r="CT71" s="143">
        <v>0.22424920271975507</v>
      </c>
      <c r="CU71" s="143">
        <v>0</v>
      </c>
      <c r="CV71" s="143">
        <v>0</v>
      </c>
      <c r="CW71" s="142">
        <v>9999</v>
      </c>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row>
    <row r="72" spans="1:131">
      <c r="A72" s="34" t="s">
        <v>972</v>
      </c>
      <c r="B72" s="34" t="s">
        <v>222</v>
      </c>
      <c r="C72" s="143">
        <v>15.4</v>
      </c>
      <c r="D72" s="143">
        <v>0.19001627921082875</v>
      </c>
      <c r="E72" s="143">
        <v>0</v>
      </c>
      <c r="F72" s="143">
        <v>0</v>
      </c>
      <c r="G72" s="143">
        <v>0</v>
      </c>
      <c r="H72" s="143">
        <v>0</v>
      </c>
      <c r="I72" s="143" t="s">
        <v>1118</v>
      </c>
      <c r="J72" s="143"/>
      <c r="K72" s="143"/>
      <c r="L72" s="143">
        <v>0.20411582773462791</v>
      </c>
      <c r="M72" s="143">
        <v>3.2097100609015965E-5</v>
      </c>
      <c r="N72" s="143">
        <v>3.186543813055873E-5</v>
      </c>
      <c r="O72" s="143">
        <v>0</v>
      </c>
      <c r="P72" s="143">
        <v>0</v>
      </c>
      <c r="Q72" s="143">
        <v>0</v>
      </c>
      <c r="R72" s="143">
        <v>0</v>
      </c>
      <c r="S72" s="143">
        <v>0</v>
      </c>
      <c r="T72" s="143">
        <v>0</v>
      </c>
      <c r="U72" s="143">
        <v>0</v>
      </c>
      <c r="V72" s="143" t="s">
        <v>1288</v>
      </c>
      <c r="W72" s="143" t="s">
        <v>1288</v>
      </c>
      <c r="X72" s="143" t="s">
        <v>1288</v>
      </c>
      <c r="Y72" s="143" t="s">
        <v>1288</v>
      </c>
      <c r="Z72" s="143">
        <v>0</v>
      </c>
      <c r="AA72" s="143">
        <v>0</v>
      </c>
      <c r="AB72" s="143">
        <v>0</v>
      </c>
      <c r="AC72" s="143">
        <v>0</v>
      </c>
      <c r="AD72" s="143">
        <v>0</v>
      </c>
      <c r="AE72" s="143">
        <v>0</v>
      </c>
      <c r="AF72" s="143">
        <v>0</v>
      </c>
      <c r="AG72" s="143">
        <v>0</v>
      </c>
      <c r="AH72" s="143">
        <v>0</v>
      </c>
      <c r="AI72" s="143">
        <v>0</v>
      </c>
      <c r="AJ72" s="143">
        <v>0</v>
      </c>
      <c r="AK72" s="143">
        <v>0</v>
      </c>
      <c r="AL72" s="143">
        <v>0</v>
      </c>
      <c r="AM72" s="143">
        <v>0.10389299764832896</v>
      </c>
      <c r="AN72" s="143">
        <v>1.1341461872098484E-2</v>
      </c>
      <c r="AO72" s="143">
        <v>0</v>
      </c>
      <c r="AP72" s="143">
        <v>0</v>
      </c>
      <c r="AQ72" s="143">
        <v>0.11523445952042745</v>
      </c>
      <c r="AR72" s="143">
        <v>0</v>
      </c>
      <c r="AS72" s="142">
        <v>9999</v>
      </c>
      <c r="AT72" s="143">
        <v>0.10389299764832896</v>
      </c>
      <c r="AU72" s="143">
        <v>1.3424912802909772E-2</v>
      </c>
      <c r="AV72" s="143">
        <v>0</v>
      </c>
      <c r="AW72" s="143">
        <v>0</v>
      </c>
      <c r="AX72" s="143">
        <v>0.11731791045123874</v>
      </c>
      <c r="AY72" s="143">
        <v>0</v>
      </c>
      <c r="AZ72" s="142">
        <v>9999</v>
      </c>
      <c r="BA72" s="143">
        <v>0.10389299764832896</v>
      </c>
      <c r="BB72" s="143">
        <v>2.4766374675008258E-2</v>
      </c>
      <c r="BC72" s="143">
        <v>0</v>
      </c>
      <c r="BD72" s="143">
        <v>0</v>
      </c>
      <c r="BE72" s="143">
        <v>0.12865937232333721</v>
      </c>
      <c r="BF72" s="143">
        <v>0</v>
      </c>
      <c r="BG72" s="143">
        <v>-8.9280347247298462</v>
      </c>
      <c r="BH72" s="142">
        <v>9999</v>
      </c>
      <c r="BI72" s="143">
        <v>0</v>
      </c>
      <c r="BJ72" s="143">
        <v>0</v>
      </c>
      <c r="BK72" s="143">
        <v>0</v>
      </c>
      <c r="BL72" s="143">
        <v>0</v>
      </c>
      <c r="BM72" s="143">
        <v>0</v>
      </c>
      <c r="BN72" s="143">
        <v>0.10389299764832896</v>
      </c>
      <c r="BO72" s="143">
        <v>0</v>
      </c>
      <c r="BP72" s="143">
        <v>2.4766374675008258E-2</v>
      </c>
      <c r="BQ72" s="143">
        <v>0</v>
      </c>
      <c r="BR72" s="143">
        <v>0</v>
      </c>
      <c r="BS72" s="143">
        <v>0</v>
      </c>
      <c r="BT72" s="143">
        <v>0</v>
      </c>
      <c r="BU72" s="143">
        <v>0</v>
      </c>
      <c r="BV72" s="143">
        <v>0</v>
      </c>
      <c r="BW72" s="143">
        <v>0</v>
      </c>
      <c r="BX72" s="143">
        <v>0</v>
      </c>
      <c r="BY72" s="143"/>
      <c r="BZ72" s="143">
        <v>0</v>
      </c>
      <c r="CA72" s="143">
        <v>0</v>
      </c>
      <c r="CB72" s="143">
        <v>0.12865937232333721</v>
      </c>
      <c r="CC72" s="143">
        <v>0</v>
      </c>
      <c r="CD72" s="142">
        <v>9999</v>
      </c>
      <c r="CE72" s="143">
        <v>-8.9280347247298462</v>
      </c>
      <c r="CF72" s="143">
        <v>1.9391173647741497E-3</v>
      </c>
      <c r="CG72" s="143">
        <v>0</v>
      </c>
      <c r="CH72" s="143">
        <v>1.9391173647741497E-3</v>
      </c>
      <c r="CI72" s="143">
        <v>9.6955018173948277E-5</v>
      </c>
      <c r="CJ72" s="143">
        <v>0</v>
      </c>
      <c r="CK72" s="143">
        <v>9.6955018173948277E-5</v>
      </c>
      <c r="CL72" s="143"/>
      <c r="CM72" s="143">
        <v>0</v>
      </c>
      <c r="CN72" s="143"/>
      <c r="CO72" s="143">
        <v>0</v>
      </c>
      <c r="CP72" s="143">
        <v>0</v>
      </c>
      <c r="CQ72" s="143">
        <v>0</v>
      </c>
      <c r="CR72" s="143">
        <v>0</v>
      </c>
      <c r="CS72" s="143">
        <v>0</v>
      </c>
      <c r="CT72" s="143">
        <v>0</v>
      </c>
      <c r="CU72" s="143">
        <v>0</v>
      </c>
      <c r="CV72" s="143">
        <v>9999</v>
      </c>
      <c r="CW72" s="142">
        <v>9999</v>
      </c>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row>
    <row r="73" spans="1:131">
      <c r="A73" s="34"/>
      <c r="B73" s="34"/>
      <c r="C73" s="143"/>
      <c r="D73" s="143"/>
      <c r="E73" s="143"/>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c r="CN73" s="143"/>
      <c r="CO73" s="143"/>
      <c r="CP73" s="143"/>
      <c r="CQ73" s="143"/>
      <c r="CR73" s="143"/>
      <c r="CS73" s="143"/>
      <c r="CT73" s="143"/>
      <c r="CU73" s="143"/>
      <c r="CV73" s="143"/>
      <c r="CW73" s="143"/>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row>
    <row r="74" spans="1:131">
      <c r="A74" s="34"/>
      <c r="B74" s="34"/>
      <c r="C74" s="143"/>
      <c r="D74" s="143"/>
      <c r="E74" s="143"/>
      <c r="F74" s="143"/>
      <c r="G74" s="143"/>
      <c r="H74" s="143"/>
      <c r="I74" s="143"/>
      <c r="J74" s="143"/>
      <c r="K74" s="143"/>
      <c r="L74" s="143"/>
      <c r="M74" s="143"/>
      <c r="N74" s="143"/>
      <c r="O74" s="143"/>
      <c r="P74" s="143"/>
      <c r="Q74" s="143"/>
      <c r="R74" s="143"/>
      <c r="S74" s="143"/>
      <c r="T74" s="143"/>
      <c r="U74" s="143"/>
      <c r="V74" s="143"/>
      <c r="W74" s="143"/>
      <c r="X74" s="143"/>
      <c r="Y74" s="143"/>
      <c r="Z74" s="143"/>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c r="CN74" s="143"/>
      <c r="CO74" s="143"/>
      <c r="CP74" s="143"/>
      <c r="CQ74" s="143"/>
      <c r="CR74" s="143"/>
      <c r="CS74" s="143"/>
      <c r="CT74" s="143"/>
      <c r="CU74" s="143"/>
      <c r="CV74" s="143"/>
      <c r="CW74" s="143"/>
      <c r="CX74" s="34"/>
      <c r="CY74" s="34"/>
      <c r="CZ74" s="34"/>
      <c r="DA74" s="34"/>
      <c r="DB74" s="34"/>
      <c r="DC74" s="34"/>
      <c r="DD74" s="34"/>
      <c r="DE74" s="34"/>
      <c r="DF74" s="34"/>
      <c r="DG74" s="34"/>
      <c r="DH74" s="34"/>
      <c r="DI74" s="34"/>
      <c r="DJ74" s="34"/>
      <c r="DK74" s="34"/>
      <c r="DL74" s="34"/>
      <c r="DM74" s="34"/>
      <c r="DN74" s="34"/>
      <c r="DO74" s="34"/>
      <c r="DP74" s="34"/>
      <c r="DQ74" s="34"/>
      <c r="DR74" s="34"/>
      <c r="DS74" s="34"/>
      <c r="DT74" s="34"/>
      <c r="DU74" s="34"/>
      <c r="DV74" s="34"/>
      <c r="DW74" s="34"/>
      <c r="DX74" s="34"/>
      <c r="DY74" s="34"/>
      <c r="DZ74" s="34"/>
      <c r="EA74" s="34"/>
    </row>
    <row r="75" spans="1:131" ht="13.5" thickBot="1">
      <c r="A75" s="518" t="s">
        <v>1289</v>
      </c>
      <c r="B75" s="519"/>
      <c r="C75" s="143"/>
      <c r="D75" s="143"/>
      <c r="E75" s="143"/>
      <c r="F75" s="143"/>
      <c r="G75" s="143"/>
      <c r="H75" s="143"/>
      <c r="I75" s="143"/>
      <c r="J75" s="143"/>
      <c r="K75" s="143"/>
      <c r="L75" s="143"/>
      <c r="M75" s="143"/>
      <c r="N75" s="143"/>
      <c r="O75" s="143"/>
      <c r="P75" s="143"/>
      <c r="Q75" s="143"/>
      <c r="R75" s="143"/>
      <c r="S75" s="143"/>
      <c r="T75" s="143"/>
      <c r="U75" s="143"/>
      <c r="V75" s="143"/>
      <c r="W75" s="143"/>
      <c r="X75" s="143"/>
      <c r="Y75" s="143"/>
      <c r="Z75" s="143"/>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c r="CN75" s="143"/>
      <c r="CO75" s="143"/>
      <c r="CP75" s="143"/>
      <c r="CQ75" s="143"/>
      <c r="CR75" s="143"/>
      <c r="CS75" s="143"/>
      <c r="CT75" s="143"/>
      <c r="CU75" s="143"/>
      <c r="CV75" s="143"/>
      <c r="CW75" s="143"/>
      <c r="CX75" s="34"/>
      <c r="CY75" s="34"/>
      <c r="CZ75" s="34"/>
      <c r="DA75" s="34"/>
      <c r="DB75" s="34"/>
      <c r="DC75" s="34"/>
      <c r="DD75" s="34"/>
      <c r="DE75" s="34"/>
      <c r="DF75" s="34"/>
      <c r="DG75" s="34"/>
      <c r="DH75" s="34"/>
      <c r="DI75" s="34"/>
      <c r="DJ75" s="34"/>
      <c r="DK75" s="34"/>
      <c r="DL75" s="34"/>
      <c r="DM75" s="34"/>
      <c r="DN75" s="34"/>
      <c r="DO75" s="34"/>
      <c r="DP75" s="34"/>
      <c r="DQ75" s="34"/>
      <c r="DR75" s="34"/>
      <c r="DS75" s="34"/>
      <c r="DT75" s="34"/>
      <c r="DU75" s="34"/>
      <c r="DV75" s="34"/>
      <c r="DW75" s="34"/>
      <c r="DX75" s="34"/>
      <c r="DY75" s="34"/>
      <c r="DZ75" s="34"/>
      <c r="EA75" s="34"/>
    </row>
    <row r="76" spans="1:131" ht="26.25" thickBot="1">
      <c r="A76" s="595" t="s">
        <v>1193</v>
      </c>
      <c r="B76" s="596"/>
      <c r="C76" s="597" t="s">
        <v>1194</v>
      </c>
      <c r="D76" s="598"/>
      <c r="E76" s="598"/>
      <c r="F76" s="598"/>
      <c r="G76" s="598"/>
      <c r="H76" s="598"/>
      <c r="I76" s="598"/>
      <c r="J76" s="598"/>
      <c r="K76" s="599"/>
      <c r="L76" s="597" t="s">
        <v>218</v>
      </c>
      <c r="M76" s="598"/>
      <c r="N76" s="598"/>
      <c r="O76" s="598"/>
      <c r="P76" s="598"/>
      <c r="Q76" s="599"/>
      <c r="R76" s="597" t="s">
        <v>1195</v>
      </c>
      <c r="S76" s="598"/>
      <c r="T76" s="598"/>
      <c r="U76" s="599"/>
      <c r="V76" s="597" t="s">
        <v>1196</v>
      </c>
      <c r="W76" s="598"/>
      <c r="X76" s="598"/>
      <c r="Y76" s="599"/>
      <c r="Z76" s="597" t="s">
        <v>1197</v>
      </c>
      <c r="AA76" s="598"/>
      <c r="AB76" s="598"/>
      <c r="AC76" s="599"/>
      <c r="AD76" s="597" t="s">
        <v>1198</v>
      </c>
      <c r="AE76" s="598"/>
      <c r="AF76" s="598"/>
      <c r="AG76" s="599"/>
      <c r="AH76" s="597" t="s">
        <v>1199</v>
      </c>
      <c r="AI76" s="598"/>
      <c r="AJ76" s="598"/>
      <c r="AK76" s="598"/>
      <c r="AL76" s="599"/>
      <c r="AM76" s="597" t="s">
        <v>1200</v>
      </c>
      <c r="AN76" s="598"/>
      <c r="AO76" s="598"/>
      <c r="AP76" s="598"/>
      <c r="AQ76" s="598"/>
      <c r="AR76" s="598"/>
      <c r="AS76" s="599"/>
      <c r="AT76" s="597" t="s">
        <v>1201</v>
      </c>
      <c r="AU76" s="598"/>
      <c r="AV76" s="598"/>
      <c r="AW76" s="598"/>
      <c r="AX76" s="598"/>
      <c r="AY76" s="598"/>
      <c r="AZ76" s="599"/>
      <c r="BA76" s="597" t="s">
        <v>1202</v>
      </c>
      <c r="BB76" s="598"/>
      <c r="BC76" s="598"/>
      <c r="BD76" s="598"/>
      <c r="BE76" s="598"/>
      <c r="BF76" s="599"/>
      <c r="BG76" s="597" t="s">
        <v>1203</v>
      </c>
      <c r="BH76" s="599"/>
      <c r="BI76" s="597" t="s">
        <v>1204</v>
      </c>
      <c r="BJ76" s="598"/>
      <c r="BK76" s="598"/>
      <c r="BL76" s="598"/>
      <c r="BM76" s="599"/>
      <c r="BN76" s="597" t="s">
        <v>1205</v>
      </c>
      <c r="BO76" s="598"/>
      <c r="BP76" s="598"/>
      <c r="BQ76" s="598"/>
      <c r="BR76" s="598"/>
      <c r="BS76" s="598"/>
      <c r="BT76" s="598"/>
      <c r="BU76" s="598"/>
      <c r="BV76" s="598"/>
      <c r="BW76" s="598"/>
      <c r="BX76" s="598"/>
      <c r="BY76" s="598"/>
      <c r="BZ76" s="598"/>
      <c r="CA76" s="598"/>
      <c r="CB76" s="598"/>
      <c r="CC76" s="599"/>
      <c r="CD76" s="597" t="s">
        <v>1206</v>
      </c>
      <c r="CE76" s="599"/>
      <c r="CF76" s="597" t="s">
        <v>1207</v>
      </c>
      <c r="CG76" s="598"/>
      <c r="CH76" s="598"/>
      <c r="CI76" s="598"/>
      <c r="CJ76" s="598"/>
      <c r="CK76" s="599"/>
      <c r="CL76" s="600"/>
      <c r="CM76" s="597" t="s">
        <v>202</v>
      </c>
      <c r="CN76" s="598"/>
      <c r="CO76" s="598"/>
      <c r="CP76" s="599"/>
      <c r="CQ76" s="597" t="s">
        <v>1208</v>
      </c>
      <c r="CR76" s="598"/>
      <c r="CS76" s="598"/>
      <c r="CT76" s="598"/>
      <c r="CU76" s="599"/>
      <c r="CV76" s="597" t="s">
        <v>1209</v>
      </c>
      <c r="CW76" s="599"/>
      <c r="CX76" s="34"/>
      <c r="CY76" s="34"/>
      <c r="CZ76" s="34"/>
      <c r="DA76" s="34"/>
      <c r="DB76" s="34"/>
      <c r="DC76" s="34"/>
      <c r="DD76" s="34"/>
      <c r="DE76" s="34"/>
      <c r="DF76" s="34"/>
      <c r="DG76" s="34"/>
      <c r="DH76" s="34"/>
      <c r="DI76" s="34"/>
      <c r="DJ76" s="34"/>
      <c r="DK76" s="34"/>
      <c r="DL76" s="34"/>
      <c r="DM76" s="34"/>
      <c r="DN76" s="34"/>
      <c r="DO76" s="34"/>
      <c r="DP76" s="34"/>
      <c r="DQ76" s="34"/>
      <c r="DR76" s="34"/>
      <c r="DS76" s="34"/>
      <c r="DT76" s="34"/>
      <c r="DU76" s="34"/>
      <c r="DV76" s="34"/>
      <c r="DW76" s="34"/>
      <c r="DX76" s="34"/>
      <c r="DY76" s="34"/>
      <c r="DZ76" s="34"/>
      <c r="EA76" s="34"/>
    </row>
    <row r="77" spans="1:131" ht="216.75">
      <c r="A77" s="526" t="s">
        <v>945</v>
      </c>
      <c r="B77" s="527" t="s">
        <v>219</v>
      </c>
      <c r="C77" s="528" t="s">
        <v>1091</v>
      </c>
      <c r="D77" s="528" t="s">
        <v>1210</v>
      </c>
      <c r="E77" s="528" t="s">
        <v>1211</v>
      </c>
      <c r="F77" s="528" t="s">
        <v>1212</v>
      </c>
      <c r="G77" s="528" t="s">
        <v>1213</v>
      </c>
      <c r="H77" s="528" t="s">
        <v>1214</v>
      </c>
      <c r="I77" s="528" t="s">
        <v>1215</v>
      </c>
      <c r="J77" s="528" t="s">
        <v>1216</v>
      </c>
      <c r="K77" s="528" t="s">
        <v>1217</v>
      </c>
      <c r="L77" s="528" t="s">
        <v>1218</v>
      </c>
      <c r="M77" s="528" t="s">
        <v>1219</v>
      </c>
      <c r="N77" s="528" t="s">
        <v>1220</v>
      </c>
      <c r="O77" s="528" t="s">
        <v>1221</v>
      </c>
      <c r="P77" s="528" t="s">
        <v>1222</v>
      </c>
      <c r="Q77" s="528" t="s">
        <v>1223</v>
      </c>
      <c r="R77" s="528" t="s">
        <v>1224</v>
      </c>
      <c r="S77" s="528" t="s">
        <v>1225</v>
      </c>
      <c r="T77" s="528" t="s">
        <v>1226</v>
      </c>
      <c r="U77" s="528" t="s">
        <v>1134</v>
      </c>
      <c r="V77" s="528" t="s">
        <v>1224</v>
      </c>
      <c r="W77" s="528" t="s">
        <v>1225</v>
      </c>
      <c r="X77" s="528" t="s">
        <v>1226</v>
      </c>
      <c r="Y77" s="528" t="s">
        <v>1134</v>
      </c>
      <c r="Z77" s="528" t="s">
        <v>1224</v>
      </c>
      <c r="AA77" s="528" t="s">
        <v>1225</v>
      </c>
      <c r="AB77" s="528" t="s">
        <v>1226</v>
      </c>
      <c r="AC77" s="528" t="s">
        <v>1134</v>
      </c>
      <c r="AD77" s="528" t="s">
        <v>1224</v>
      </c>
      <c r="AE77" s="528" t="s">
        <v>1225</v>
      </c>
      <c r="AF77" s="528" t="s">
        <v>1226</v>
      </c>
      <c r="AG77" s="528" t="s">
        <v>1134</v>
      </c>
      <c r="AH77" s="528" t="s">
        <v>1224</v>
      </c>
      <c r="AI77" s="528" t="s">
        <v>1225</v>
      </c>
      <c r="AJ77" s="528" t="s">
        <v>1226</v>
      </c>
      <c r="AK77" s="528" t="s">
        <v>1134</v>
      </c>
      <c r="AL77" s="528" t="s">
        <v>1227</v>
      </c>
      <c r="AM77" s="528" t="s">
        <v>1228</v>
      </c>
      <c r="AN77" s="528" t="s">
        <v>1229</v>
      </c>
      <c r="AO77" s="528" t="s">
        <v>1230</v>
      </c>
      <c r="AP77" s="528" t="s">
        <v>1231</v>
      </c>
      <c r="AQ77" s="528" t="s">
        <v>1232</v>
      </c>
      <c r="AR77" s="528" t="s">
        <v>1233</v>
      </c>
      <c r="AS77" s="528" t="s">
        <v>1234</v>
      </c>
      <c r="AT77" s="528" t="s">
        <v>1235</v>
      </c>
      <c r="AU77" s="528" t="s">
        <v>1236</v>
      </c>
      <c r="AV77" s="528" t="s">
        <v>1237</v>
      </c>
      <c r="AW77" s="528" t="s">
        <v>1238</v>
      </c>
      <c r="AX77" s="528" t="s">
        <v>1239</v>
      </c>
      <c r="AY77" s="528" t="s">
        <v>1240</v>
      </c>
      <c r="AZ77" s="528" t="s">
        <v>1241</v>
      </c>
      <c r="BA77" s="528" t="s">
        <v>1242</v>
      </c>
      <c r="BB77" s="528" t="s">
        <v>1243</v>
      </c>
      <c r="BC77" s="528" t="s">
        <v>1244</v>
      </c>
      <c r="BD77" s="528" t="s">
        <v>1245</v>
      </c>
      <c r="BE77" s="528" t="s">
        <v>1246</v>
      </c>
      <c r="BF77" s="528" t="s">
        <v>1247</v>
      </c>
      <c r="BG77" s="528" t="s">
        <v>1248</v>
      </c>
      <c r="BH77" s="528" t="s">
        <v>1249</v>
      </c>
      <c r="BI77" s="528" t="s">
        <v>1250</v>
      </c>
      <c r="BJ77" s="528" t="s">
        <v>1251</v>
      </c>
      <c r="BK77" s="528" t="s">
        <v>1252</v>
      </c>
      <c r="BL77" s="528" t="s">
        <v>1253</v>
      </c>
      <c r="BM77" s="528" t="s">
        <v>1254</v>
      </c>
      <c r="BN77" s="528" t="s">
        <v>1255</v>
      </c>
      <c r="BO77" s="528" t="s">
        <v>1256</v>
      </c>
      <c r="BP77" s="528" t="s">
        <v>1257</v>
      </c>
      <c r="BQ77" s="528" t="s">
        <v>1258</v>
      </c>
      <c r="BR77" s="528" t="s">
        <v>1259</v>
      </c>
      <c r="BS77" s="528" t="s">
        <v>1260</v>
      </c>
      <c r="BT77" s="528" t="s">
        <v>1261</v>
      </c>
      <c r="BU77" s="528" t="s">
        <v>1262</v>
      </c>
      <c r="BV77" s="528" t="s">
        <v>1263</v>
      </c>
      <c r="BW77" s="528" t="s">
        <v>1264</v>
      </c>
      <c r="BX77" s="528" t="s">
        <v>1265</v>
      </c>
      <c r="BY77" s="528" t="s">
        <v>1266</v>
      </c>
      <c r="BZ77" s="528" t="s">
        <v>1267</v>
      </c>
      <c r="CA77" s="528" t="s">
        <v>1268</v>
      </c>
      <c r="CB77" s="528" t="s">
        <v>1269</v>
      </c>
      <c r="CC77" s="528" t="s">
        <v>1270</v>
      </c>
      <c r="CD77" s="528" t="s">
        <v>955</v>
      </c>
      <c r="CE77" s="528" t="s">
        <v>954</v>
      </c>
      <c r="CF77" s="528" t="s">
        <v>1271</v>
      </c>
      <c r="CG77" s="528" t="s">
        <v>1272</v>
      </c>
      <c r="CH77" s="528" t="s">
        <v>1273</v>
      </c>
      <c r="CI77" s="528" t="s">
        <v>1274</v>
      </c>
      <c r="CJ77" s="528" t="s">
        <v>1275</v>
      </c>
      <c r="CK77" s="528" t="s">
        <v>1276</v>
      </c>
      <c r="CL77" s="528"/>
      <c r="CM77" s="528" t="s">
        <v>1277</v>
      </c>
      <c r="CN77" s="528" t="s">
        <v>1278</v>
      </c>
      <c r="CO77" s="528" t="s">
        <v>1279</v>
      </c>
      <c r="CP77" s="528" t="s">
        <v>1280</v>
      </c>
      <c r="CQ77" s="528" t="s">
        <v>1281</v>
      </c>
      <c r="CR77" s="528" t="s">
        <v>1282</v>
      </c>
      <c r="CS77" s="528" t="s">
        <v>1283</v>
      </c>
      <c r="CT77" s="528" t="s">
        <v>1284</v>
      </c>
      <c r="CU77" s="528" t="s">
        <v>1285</v>
      </c>
      <c r="CV77" s="528" t="s">
        <v>1286</v>
      </c>
      <c r="CW77" s="528" t="s">
        <v>1287</v>
      </c>
      <c r="CX77" s="34"/>
      <c r="CY77" s="34"/>
      <c r="CZ77" s="34"/>
      <c r="DA77" s="34"/>
      <c r="DB77" s="34"/>
      <c r="DC77" s="34"/>
      <c r="DD77" s="34"/>
      <c r="DE77" s="34"/>
      <c r="DF77" s="34"/>
      <c r="DG77" s="34"/>
      <c r="DH77" s="34"/>
      <c r="DI77" s="34"/>
      <c r="DJ77" s="34"/>
      <c r="DK77" s="34"/>
      <c r="DL77" s="34"/>
      <c r="DM77" s="34"/>
      <c r="DN77" s="34"/>
      <c r="DO77" s="34"/>
      <c r="DP77" s="34"/>
      <c r="DQ77" s="34"/>
      <c r="DR77" s="34"/>
      <c r="DS77" s="34"/>
      <c r="DT77" s="34"/>
      <c r="DU77" s="34"/>
      <c r="DV77" s="34"/>
      <c r="DW77" s="34"/>
      <c r="DX77" s="34"/>
      <c r="DY77" s="34"/>
      <c r="DZ77" s="34"/>
      <c r="EA77" s="34"/>
    </row>
    <row r="78" spans="1:131">
      <c r="A78" s="34" t="s">
        <v>970</v>
      </c>
      <c r="B78" s="34"/>
      <c r="C78" s="143">
        <v>15.4</v>
      </c>
      <c r="D78" s="143">
        <v>3.308075442029871</v>
      </c>
      <c r="E78" s="143">
        <v>1.4554246126907009E-2</v>
      </c>
      <c r="F78" s="143">
        <v>5.2795660553372441</v>
      </c>
      <c r="G78" s="143">
        <v>0</v>
      </c>
      <c r="H78" s="143">
        <v>0</v>
      </c>
      <c r="I78" s="143"/>
      <c r="J78" s="143"/>
      <c r="K78" s="143"/>
      <c r="L78" s="143">
        <v>3.5557059945100065</v>
      </c>
      <c r="M78" s="143">
        <v>6.8070900757051642E-4</v>
      </c>
      <c r="N78" s="143">
        <v>6.757959552134554E-4</v>
      </c>
      <c r="O78" s="143">
        <v>1.4699788588176079E-2</v>
      </c>
      <c r="P78" s="143">
        <v>0</v>
      </c>
      <c r="Q78" s="143">
        <v>0</v>
      </c>
      <c r="R78" s="143">
        <v>1.052815998528865</v>
      </c>
      <c r="S78" s="143">
        <v>2.432897640190776</v>
      </c>
      <c r="T78" s="143">
        <v>0</v>
      </c>
      <c r="U78" s="143">
        <v>2.9509310378835352</v>
      </c>
      <c r="V78" s="143">
        <v>0.31677396332023466</v>
      </c>
      <c r="W78" s="143">
        <v>0.73913924774721418</v>
      </c>
      <c r="X78" s="143">
        <v>0</v>
      </c>
      <c r="Y78" s="143">
        <v>0</v>
      </c>
      <c r="Z78" s="143">
        <v>0</v>
      </c>
      <c r="AA78" s="143">
        <v>0</v>
      </c>
      <c r="AB78" s="143">
        <v>0</v>
      </c>
      <c r="AC78" s="143">
        <v>0</v>
      </c>
      <c r="AD78" s="143">
        <v>0</v>
      </c>
      <c r="AE78" s="143">
        <v>0</v>
      </c>
      <c r="AF78" s="143">
        <v>0</v>
      </c>
      <c r="AG78" s="143">
        <v>0</v>
      </c>
      <c r="AH78" s="143">
        <v>1.3695899618490996</v>
      </c>
      <c r="AI78" s="143">
        <v>3.1720368879379901</v>
      </c>
      <c r="AJ78" s="143">
        <v>0</v>
      </c>
      <c r="AK78" s="143">
        <v>2.9509310378835352</v>
      </c>
      <c r="AL78" s="143">
        <v>7.4925578876706256</v>
      </c>
      <c r="AM78" s="143">
        <v>1.8344194600381809</v>
      </c>
      <c r="AN78" s="143">
        <v>0.2405274965299023</v>
      </c>
      <c r="AO78" s="143">
        <v>0</v>
      </c>
      <c r="AP78" s="143">
        <v>0</v>
      </c>
      <c r="AQ78" s="143">
        <v>2.0749469565680831</v>
      </c>
      <c r="AR78" s="143">
        <v>1.3695899618490996</v>
      </c>
      <c r="AS78" s="142">
        <v>1.5150132626313007</v>
      </c>
      <c r="AT78" s="143">
        <v>1.8344194600381809</v>
      </c>
      <c r="AU78" s="143">
        <v>0.28471291479276079</v>
      </c>
      <c r="AV78" s="143">
        <v>0</v>
      </c>
      <c r="AW78" s="143">
        <v>0</v>
      </c>
      <c r="AX78" s="143">
        <v>2.1191323748309419</v>
      </c>
      <c r="AY78" s="143">
        <v>3.1720368879379901</v>
      </c>
      <c r="AZ78" s="602">
        <v>0.66806675007127747</v>
      </c>
      <c r="BA78" s="143">
        <v>1.8344194600381809</v>
      </c>
      <c r="BB78" s="143">
        <v>0.52524041132266319</v>
      </c>
      <c r="BC78" s="143">
        <v>0</v>
      </c>
      <c r="BD78" s="143">
        <v>0</v>
      </c>
      <c r="BE78" s="143">
        <v>2.3596598713608441</v>
      </c>
      <c r="BF78" s="143">
        <v>4.5416268497870895</v>
      </c>
      <c r="BG78" s="143">
        <v>83.115067610955847</v>
      </c>
      <c r="BH78" s="602">
        <v>0.51956269182957304</v>
      </c>
      <c r="BI78" s="143">
        <v>28.342283299287313</v>
      </c>
      <c r="BJ78" s="143">
        <v>65.64210502269556</v>
      </c>
      <c r="BK78" s="143">
        <v>0</v>
      </c>
      <c r="BL78" s="143">
        <v>61.066542397431846</v>
      </c>
      <c r="BM78" s="143">
        <v>155.05093071941474</v>
      </c>
      <c r="BN78" s="143">
        <v>1.8344194600381809</v>
      </c>
      <c r="BO78" s="143">
        <v>0.10707394364096438</v>
      </c>
      <c r="BP78" s="143">
        <v>0.52524041132266319</v>
      </c>
      <c r="BQ78" s="143">
        <v>0</v>
      </c>
      <c r="BR78" s="143">
        <v>0</v>
      </c>
      <c r="BS78" s="143">
        <v>0</v>
      </c>
      <c r="BT78" s="143">
        <v>0</v>
      </c>
      <c r="BU78" s="143">
        <v>0</v>
      </c>
      <c r="BV78" s="143">
        <v>4.5089192524585817</v>
      </c>
      <c r="BW78" s="143">
        <v>0</v>
      </c>
      <c r="BX78" s="143">
        <v>6.4366446766031764</v>
      </c>
      <c r="BY78" s="143">
        <v>1.055913211067449</v>
      </c>
      <c r="BZ78" s="143">
        <v>0</v>
      </c>
      <c r="CA78" s="143">
        <v>0</v>
      </c>
      <c r="CB78" s="143">
        <v>6.9756530674603905</v>
      </c>
      <c r="CC78" s="143">
        <v>7.4925578876706256</v>
      </c>
      <c r="CD78" s="602">
        <v>0.93101090068842474</v>
      </c>
      <c r="CE78" s="143">
        <v>48.658285133252164</v>
      </c>
      <c r="CF78" s="143">
        <v>3.3779522279583619E-2</v>
      </c>
      <c r="CG78" s="143">
        <v>1.7198752648166021E-3</v>
      </c>
      <c r="CH78" s="143">
        <v>3.5499397544400221E-2</v>
      </c>
      <c r="CI78" s="143">
        <v>1.688960347392253E-3</v>
      </c>
      <c r="CJ78" s="143">
        <v>8.5993763240830049E-5</v>
      </c>
      <c r="CK78" s="143">
        <v>1.774954110633083E-3</v>
      </c>
      <c r="CL78" s="143"/>
      <c r="CM78" s="143">
        <v>1.4699788588176079E-2</v>
      </c>
      <c r="CN78" s="143"/>
      <c r="CO78" s="143">
        <v>0</v>
      </c>
      <c r="CP78" s="143">
        <v>0</v>
      </c>
      <c r="CQ78" s="143">
        <v>0.10707394364096438</v>
      </c>
      <c r="CR78" s="143">
        <v>0</v>
      </c>
      <c r="CS78" s="143">
        <v>0</v>
      </c>
      <c r="CT78" s="143">
        <v>0.10707394364096438</v>
      </c>
      <c r="CU78" s="143">
        <v>0</v>
      </c>
      <c r="CV78" s="143">
        <v>0</v>
      </c>
      <c r="CW78" s="142">
        <v>9999</v>
      </c>
      <c r="CX78" s="34"/>
      <c r="CY78" s="34"/>
      <c r="CZ78" s="34"/>
      <c r="DA78" s="34"/>
      <c r="DB78" s="34"/>
      <c r="DC78" s="34"/>
      <c r="DD78" s="34"/>
      <c r="DE78" s="34"/>
      <c r="DF78" s="34"/>
      <c r="DG78" s="34"/>
      <c r="DH78" s="34"/>
      <c r="DI78" s="34"/>
      <c r="DJ78" s="34"/>
      <c r="DK78" s="34"/>
      <c r="DL78" s="34"/>
      <c r="DM78" s="34"/>
      <c r="DN78" s="34"/>
      <c r="DO78" s="34"/>
      <c r="DP78" s="34"/>
      <c r="DQ78" s="34"/>
      <c r="DR78" s="34"/>
      <c r="DS78" s="34"/>
      <c r="DT78" s="34"/>
      <c r="DU78" s="34"/>
      <c r="DV78" s="34"/>
      <c r="DW78" s="34"/>
      <c r="DX78" s="34"/>
      <c r="DY78" s="34"/>
      <c r="DZ78" s="34"/>
      <c r="EA78" s="34"/>
    </row>
    <row r="79" spans="1:131">
      <c r="A79" s="34" t="s">
        <v>971</v>
      </c>
      <c r="B79" s="34"/>
      <c r="C79" s="143">
        <v>15.4</v>
      </c>
      <c r="D79" s="143">
        <v>2.9580719213058044</v>
      </c>
      <c r="E79" s="143">
        <v>3.0481534341258047E-2</v>
      </c>
      <c r="F79" s="143">
        <v>5.2795660553372441</v>
      </c>
      <c r="G79" s="143">
        <v>0</v>
      </c>
      <c r="H79" s="143">
        <v>0</v>
      </c>
      <c r="I79" s="143"/>
      <c r="J79" s="143"/>
      <c r="K79" s="143"/>
      <c r="L79" s="143">
        <v>3.1794885152576335</v>
      </c>
      <c r="M79" s="143">
        <v>6.0790203401237843E-4</v>
      </c>
      <c r="N79" s="143">
        <v>6.0351446974064036E-4</v>
      </c>
      <c r="O79" s="143">
        <v>3.0786349684670627E-2</v>
      </c>
      <c r="P79" s="143">
        <v>0</v>
      </c>
      <c r="Q79" s="143">
        <v>0</v>
      </c>
      <c r="R79" s="143">
        <v>1.052815998528865</v>
      </c>
      <c r="S79" s="143">
        <v>2.432897640190776</v>
      </c>
      <c r="T79" s="143">
        <v>0</v>
      </c>
      <c r="U79" s="143">
        <v>2.9509310378835352</v>
      </c>
      <c r="V79" s="143">
        <v>0.31677396332023466</v>
      </c>
      <c r="W79" s="143">
        <v>0.73913924774721418</v>
      </c>
      <c r="X79" s="143">
        <v>0</v>
      </c>
      <c r="Y79" s="143">
        <v>0</v>
      </c>
      <c r="Z79" s="143">
        <v>0</v>
      </c>
      <c r="AA79" s="143">
        <v>0</v>
      </c>
      <c r="AB79" s="143">
        <v>0</v>
      </c>
      <c r="AC79" s="143">
        <v>0</v>
      </c>
      <c r="AD79" s="143">
        <v>0</v>
      </c>
      <c r="AE79" s="143">
        <v>0</v>
      </c>
      <c r="AF79" s="143">
        <v>0</v>
      </c>
      <c r="AG79" s="143">
        <v>0</v>
      </c>
      <c r="AH79" s="143">
        <v>1.3695899618490996</v>
      </c>
      <c r="AI79" s="143">
        <v>3.1720368879379901</v>
      </c>
      <c r="AJ79" s="143">
        <v>0</v>
      </c>
      <c r="AK79" s="143">
        <v>2.9509310378835352</v>
      </c>
      <c r="AL79" s="143">
        <v>7.4925578876706256</v>
      </c>
      <c r="AM79" s="143">
        <v>1.6401670989011305</v>
      </c>
      <c r="AN79" s="143">
        <v>0.21480126272794459</v>
      </c>
      <c r="AO79" s="143">
        <v>0</v>
      </c>
      <c r="AP79" s="143">
        <v>0</v>
      </c>
      <c r="AQ79" s="143">
        <v>1.8549683616290751</v>
      </c>
      <c r="AR79" s="143">
        <v>1.3695899618490996</v>
      </c>
      <c r="AS79" s="142">
        <v>1.3543968730061808</v>
      </c>
      <c r="AT79" s="143">
        <v>1.6401670989011305</v>
      </c>
      <c r="AU79" s="143">
        <v>0.25426071652824822</v>
      </c>
      <c r="AV79" s="143">
        <v>0</v>
      </c>
      <c r="AW79" s="143">
        <v>0</v>
      </c>
      <c r="AX79" s="143">
        <v>1.8944278154293788</v>
      </c>
      <c r="AY79" s="143">
        <v>3.1720368879379901</v>
      </c>
      <c r="AZ79" s="602">
        <v>0.59722754884507911</v>
      </c>
      <c r="BA79" s="143">
        <v>1.6401670989011305</v>
      </c>
      <c r="BB79" s="143">
        <v>0.46906197925619281</v>
      </c>
      <c r="BC79" s="143">
        <v>0</v>
      </c>
      <c r="BD79" s="143">
        <v>0</v>
      </c>
      <c r="BE79" s="143">
        <v>2.1092290781573233</v>
      </c>
      <c r="BF79" s="143">
        <v>4.5416268497870895</v>
      </c>
      <c r="BG79" s="143">
        <v>94.249892730393199</v>
      </c>
      <c r="BH79" s="602">
        <v>0.46442148329649835</v>
      </c>
      <c r="BI79" s="143">
        <v>31.695924090233994</v>
      </c>
      <c r="BJ79" s="143">
        <v>73.409300018352582</v>
      </c>
      <c r="BK79" s="143">
        <v>0</v>
      </c>
      <c r="BL79" s="143">
        <v>68.292327468575081</v>
      </c>
      <c r="BM79" s="143">
        <v>173.39755157716166</v>
      </c>
      <c r="BN79" s="143">
        <v>1.6401670989011305</v>
      </c>
      <c r="BO79" s="143">
        <v>0.22424920271975507</v>
      </c>
      <c r="BP79" s="143">
        <v>0.46906197925619281</v>
      </c>
      <c r="BQ79" s="143">
        <v>0</v>
      </c>
      <c r="BR79" s="143">
        <v>0</v>
      </c>
      <c r="BS79" s="143">
        <v>0</v>
      </c>
      <c r="BT79" s="143">
        <v>0</v>
      </c>
      <c r="BU79" s="143">
        <v>0</v>
      </c>
      <c r="BV79" s="143">
        <v>4.5089192524585817</v>
      </c>
      <c r="BW79" s="143">
        <v>0</v>
      </c>
      <c r="BX79" s="143">
        <v>6.4366446766031764</v>
      </c>
      <c r="BY79" s="143">
        <v>1.055913211067449</v>
      </c>
      <c r="BZ79" s="143">
        <v>0</v>
      </c>
      <c r="CA79" s="143">
        <v>0</v>
      </c>
      <c r="CB79" s="143">
        <v>6.8423975333356601</v>
      </c>
      <c r="CC79" s="143">
        <v>7.4925578876706256</v>
      </c>
      <c r="CD79" s="602">
        <v>0.91322584835749665</v>
      </c>
      <c r="CE79" s="143">
        <v>53.004218139522706</v>
      </c>
      <c r="CF79" s="143">
        <v>3.0205422738961766E-2</v>
      </c>
      <c r="CG79" s="143">
        <v>3.6020029131064659E-3</v>
      </c>
      <c r="CH79" s="143">
        <v>3.3807425652068235E-2</v>
      </c>
      <c r="CI79" s="143">
        <v>1.5102570447473763E-3</v>
      </c>
      <c r="CJ79" s="143">
        <v>1.8010014565532313E-4</v>
      </c>
      <c r="CK79" s="143">
        <v>1.6903571904026994E-3</v>
      </c>
      <c r="CL79" s="143"/>
      <c r="CM79" s="143">
        <v>3.0786349684670627E-2</v>
      </c>
      <c r="CN79" s="143"/>
      <c r="CO79" s="143">
        <v>0</v>
      </c>
      <c r="CP79" s="143">
        <v>0</v>
      </c>
      <c r="CQ79" s="143">
        <v>0.22424920271975507</v>
      </c>
      <c r="CR79" s="143">
        <v>0</v>
      </c>
      <c r="CS79" s="143">
        <v>0</v>
      </c>
      <c r="CT79" s="143">
        <v>0.22424920271975507</v>
      </c>
      <c r="CU79" s="143">
        <v>0</v>
      </c>
      <c r="CV79" s="143">
        <v>0</v>
      </c>
      <c r="CW79" s="142">
        <v>9999</v>
      </c>
      <c r="CX79" s="34"/>
      <c r="CY79" s="34"/>
      <c r="CZ79" s="34"/>
      <c r="DA79" s="34"/>
      <c r="DB79" s="34"/>
      <c r="DC79" s="34"/>
      <c r="DD79" s="34"/>
      <c r="DE79" s="34"/>
      <c r="DF79" s="34"/>
      <c r="DG79" s="34"/>
      <c r="DH79" s="34"/>
      <c r="DI79" s="34"/>
      <c r="DJ79" s="34"/>
      <c r="DK79" s="34"/>
      <c r="DL79" s="34"/>
      <c r="DM79" s="34"/>
      <c r="DN79" s="34"/>
      <c r="DO79" s="34"/>
      <c r="DP79" s="34"/>
      <c r="DQ79" s="34"/>
      <c r="DR79" s="34"/>
      <c r="DS79" s="34"/>
      <c r="DT79" s="34"/>
      <c r="DU79" s="34"/>
      <c r="DV79" s="34"/>
      <c r="DW79" s="34"/>
      <c r="DX79" s="34"/>
      <c r="DY79" s="34"/>
      <c r="DZ79" s="34"/>
      <c r="EA79" s="34"/>
    </row>
    <row r="80" spans="1:131">
      <c r="A80" s="34" t="s">
        <v>972</v>
      </c>
      <c r="B80" s="34"/>
      <c r="C80" s="143">
        <v>15.4</v>
      </c>
      <c r="D80" s="143">
        <v>2.9580719213058044</v>
      </c>
      <c r="E80" s="143">
        <v>3.0481534341258047E-2</v>
      </c>
      <c r="F80" s="143">
        <v>5.2795660553372441</v>
      </c>
      <c r="G80" s="143">
        <v>0</v>
      </c>
      <c r="H80" s="143">
        <v>0</v>
      </c>
      <c r="I80" s="143"/>
      <c r="J80" s="143"/>
      <c r="K80" s="143"/>
      <c r="L80" s="143">
        <v>3.1794885152576335</v>
      </c>
      <c r="M80" s="143">
        <v>6.0790203401237843E-4</v>
      </c>
      <c r="N80" s="143">
        <v>6.0351446974064036E-4</v>
      </c>
      <c r="O80" s="143">
        <v>3.0786349684670627E-2</v>
      </c>
      <c r="P80" s="143">
        <v>0</v>
      </c>
      <c r="Q80" s="143">
        <v>0</v>
      </c>
      <c r="R80" s="143">
        <v>1.052815998528865</v>
      </c>
      <c r="S80" s="143">
        <v>2.432897640190776</v>
      </c>
      <c r="T80" s="143">
        <v>0</v>
      </c>
      <c r="U80" s="143">
        <v>2.9509310378835352</v>
      </c>
      <c r="V80" s="143">
        <v>0.31677396332023466</v>
      </c>
      <c r="W80" s="143">
        <v>0.73913924774721418</v>
      </c>
      <c r="X80" s="143">
        <v>0</v>
      </c>
      <c r="Y80" s="143">
        <v>0</v>
      </c>
      <c r="Z80" s="143">
        <v>0</v>
      </c>
      <c r="AA80" s="143">
        <v>0</v>
      </c>
      <c r="AB80" s="143">
        <v>0</v>
      </c>
      <c r="AC80" s="143">
        <v>0</v>
      </c>
      <c r="AD80" s="143">
        <v>0</v>
      </c>
      <c r="AE80" s="143">
        <v>0</v>
      </c>
      <c r="AF80" s="143">
        <v>0</v>
      </c>
      <c r="AG80" s="143">
        <v>0</v>
      </c>
      <c r="AH80" s="143">
        <v>1.3695899618490996</v>
      </c>
      <c r="AI80" s="143">
        <v>3.1720368879379901</v>
      </c>
      <c r="AJ80" s="143">
        <v>0</v>
      </c>
      <c r="AK80" s="143">
        <v>2.9509310378835352</v>
      </c>
      <c r="AL80" s="143">
        <v>7.4925578876706256</v>
      </c>
      <c r="AM80" s="143">
        <v>1.6401670989011305</v>
      </c>
      <c r="AN80" s="143">
        <v>0.21480126272794459</v>
      </c>
      <c r="AO80" s="143">
        <v>0</v>
      </c>
      <c r="AP80" s="143">
        <v>0</v>
      </c>
      <c r="AQ80" s="143">
        <v>1.8549683616290751</v>
      </c>
      <c r="AR80" s="143">
        <v>1.3695899618490996</v>
      </c>
      <c r="AS80" s="142">
        <v>1.3543968730061808</v>
      </c>
      <c r="AT80" s="143">
        <v>1.6401670989011305</v>
      </c>
      <c r="AU80" s="143">
        <v>0.25426071652824822</v>
      </c>
      <c r="AV80" s="143">
        <v>0</v>
      </c>
      <c r="AW80" s="143">
        <v>0</v>
      </c>
      <c r="AX80" s="143">
        <v>1.8944278154293788</v>
      </c>
      <c r="AY80" s="143">
        <v>3.1720368879379901</v>
      </c>
      <c r="AZ80" s="602">
        <v>0.59722754884507911</v>
      </c>
      <c r="BA80" s="143">
        <v>1.6401670989011305</v>
      </c>
      <c r="BB80" s="143">
        <v>0.46906197925619281</v>
      </c>
      <c r="BC80" s="143">
        <v>0</v>
      </c>
      <c r="BD80" s="143">
        <v>0</v>
      </c>
      <c r="BE80" s="143">
        <v>2.1092290781573233</v>
      </c>
      <c r="BF80" s="143">
        <v>4.5416268497870895</v>
      </c>
      <c r="BG80" s="143">
        <v>94.249892730393199</v>
      </c>
      <c r="BH80" s="602">
        <v>0.46442148329649835</v>
      </c>
      <c r="BI80" s="143">
        <v>31.695924090233994</v>
      </c>
      <c r="BJ80" s="143">
        <v>73.409300018352582</v>
      </c>
      <c r="BK80" s="143">
        <v>0</v>
      </c>
      <c r="BL80" s="143">
        <v>68.292327468575081</v>
      </c>
      <c r="BM80" s="143">
        <v>173.39755157716166</v>
      </c>
      <c r="BN80" s="143">
        <v>1.6401670989011305</v>
      </c>
      <c r="BO80" s="143">
        <v>0.22424920271975507</v>
      </c>
      <c r="BP80" s="143">
        <v>0.46906197925619281</v>
      </c>
      <c r="BQ80" s="143">
        <v>0</v>
      </c>
      <c r="BR80" s="143">
        <v>0</v>
      </c>
      <c r="BS80" s="143">
        <v>0</v>
      </c>
      <c r="BT80" s="143">
        <v>0</v>
      </c>
      <c r="BU80" s="143">
        <v>0</v>
      </c>
      <c r="BV80" s="143">
        <v>4.5089192524585817</v>
      </c>
      <c r="BW80" s="143">
        <v>0</v>
      </c>
      <c r="BX80" s="143">
        <v>6.4366446766031764</v>
      </c>
      <c r="BY80" s="143">
        <v>1.055913211067449</v>
      </c>
      <c r="BZ80" s="143">
        <v>0</v>
      </c>
      <c r="CA80" s="143">
        <v>0</v>
      </c>
      <c r="CB80" s="143">
        <v>6.8423975333356601</v>
      </c>
      <c r="CC80" s="143">
        <v>7.4925578876706256</v>
      </c>
      <c r="CD80" s="602">
        <v>0.91322584835749665</v>
      </c>
      <c r="CE80" s="143">
        <v>53.004218139522706</v>
      </c>
      <c r="CF80" s="143">
        <v>3.0205422738961766E-2</v>
      </c>
      <c r="CG80" s="143">
        <v>3.6020029131064659E-3</v>
      </c>
      <c r="CH80" s="143">
        <v>3.3807425652068235E-2</v>
      </c>
      <c r="CI80" s="143">
        <v>1.5102570447473763E-3</v>
      </c>
      <c r="CJ80" s="143">
        <v>1.8010014565532313E-4</v>
      </c>
      <c r="CK80" s="143">
        <v>1.6903571904026994E-3</v>
      </c>
      <c r="CL80" s="143"/>
      <c r="CM80" s="143">
        <v>3.0786349684670627E-2</v>
      </c>
      <c r="CN80" s="143"/>
      <c r="CO80" s="143">
        <v>0</v>
      </c>
      <c r="CP80" s="143">
        <v>0</v>
      </c>
      <c r="CQ80" s="143">
        <v>0.22424920271975507</v>
      </c>
      <c r="CR80" s="143">
        <v>0</v>
      </c>
      <c r="CS80" s="143">
        <v>0</v>
      </c>
      <c r="CT80" s="143">
        <v>0.22424920271975507</v>
      </c>
      <c r="CU80" s="143">
        <v>0</v>
      </c>
      <c r="CV80" s="143">
        <v>0</v>
      </c>
      <c r="CW80" s="142">
        <v>9999</v>
      </c>
      <c r="CX80" s="34"/>
      <c r="CY80" s="34"/>
      <c r="CZ80" s="34"/>
      <c r="DA80" s="34"/>
      <c r="DB80" s="34"/>
      <c r="DC80" s="34"/>
      <c r="DD80" s="34"/>
      <c r="DE80" s="34"/>
      <c r="DF80" s="34"/>
      <c r="DG80" s="34"/>
      <c r="DH80" s="34"/>
      <c r="DI80" s="34"/>
      <c r="DJ80" s="34"/>
      <c r="DK80" s="34"/>
      <c r="DL80" s="34"/>
      <c r="DM80" s="34"/>
      <c r="DN80" s="34"/>
      <c r="DO80" s="34"/>
      <c r="DP80" s="34"/>
      <c r="DQ80" s="34"/>
      <c r="DR80" s="34"/>
      <c r="DS80" s="34"/>
      <c r="DT80" s="34"/>
      <c r="DU80" s="34"/>
      <c r="DV80" s="34"/>
      <c r="DW80" s="34"/>
      <c r="DX80" s="34"/>
      <c r="DY80" s="34"/>
      <c r="DZ80" s="34"/>
      <c r="EA80" s="34"/>
    </row>
    <row r="81" spans="1:131">
      <c r="A81" s="34" t="s">
        <v>969</v>
      </c>
      <c r="B81" s="34"/>
      <c r="C81" s="143">
        <v>15.4</v>
      </c>
      <c r="D81" s="143">
        <v>0.92443077502975923</v>
      </c>
      <c r="E81" s="143">
        <v>0.12302457103498743</v>
      </c>
      <c r="F81" s="143">
        <v>5.2795660553372441</v>
      </c>
      <c r="G81" s="143">
        <v>0</v>
      </c>
      <c r="H81" s="143">
        <v>0</v>
      </c>
      <c r="I81" s="143"/>
      <c r="J81" s="143"/>
      <c r="K81" s="143"/>
      <c r="L81" s="143">
        <v>0.99353523063608473</v>
      </c>
      <c r="M81" s="143">
        <v>1.8486841178664502E-4</v>
      </c>
      <c r="N81" s="143">
        <v>1.8353411449342105E-4</v>
      </c>
      <c r="O81" s="143">
        <v>0.12425481674533731</v>
      </c>
      <c r="P81" s="143">
        <v>0</v>
      </c>
      <c r="Q81" s="143">
        <v>0</v>
      </c>
      <c r="R81" s="143">
        <v>1.052815998528865</v>
      </c>
      <c r="S81" s="143">
        <v>2.432897640190776</v>
      </c>
      <c r="T81" s="143">
        <v>0</v>
      </c>
      <c r="U81" s="143">
        <v>2.9509310378835352</v>
      </c>
      <c r="V81" s="143">
        <v>0.31677396332023466</v>
      </c>
      <c r="W81" s="143">
        <v>0.73913924774721418</v>
      </c>
      <c r="X81" s="143">
        <v>0</v>
      </c>
      <c r="Y81" s="143">
        <v>0</v>
      </c>
      <c r="Z81" s="143">
        <v>0</v>
      </c>
      <c r="AA81" s="143">
        <v>0</v>
      </c>
      <c r="AB81" s="143">
        <v>0</v>
      </c>
      <c r="AC81" s="143">
        <v>0</v>
      </c>
      <c r="AD81" s="143">
        <v>0</v>
      </c>
      <c r="AE81" s="143">
        <v>0</v>
      </c>
      <c r="AF81" s="143">
        <v>0</v>
      </c>
      <c r="AG81" s="143">
        <v>0</v>
      </c>
      <c r="AH81" s="143">
        <v>1.3695899618490996</v>
      </c>
      <c r="AI81" s="143">
        <v>3.1720368879379901</v>
      </c>
      <c r="AJ81" s="143">
        <v>0</v>
      </c>
      <c r="AK81" s="143">
        <v>2.9509310378835352</v>
      </c>
      <c r="AL81" s="143">
        <v>7.4925578876706256</v>
      </c>
      <c r="AM81" s="143">
        <v>0.51149389712206306</v>
      </c>
      <c r="AN81" s="143">
        <v>6.532297322346578E-2</v>
      </c>
      <c r="AO81" s="143">
        <v>0</v>
      </c>
      <c r="AP81" s="143">
        <v>0</v>
      </c>
      <c r="AQ81" s="143">
        <v>0.57681687034552886</v>
      </c>
      <c r="AR81" s="143">
        <v>1.3695899618490996</v>
      </c>
      <c r="AS81" s="602">
        <v>0.42116026432229509</v>
      </c>
      <c r="AT81" s="143">
        <v>0.51149389712206306</v>
      </c>
      <c r="AU81" s="143">
        <v>7.7322943853407919E-2</v>
      </c>
      <c r="AV81" s="143">
        <v>0</v>
      </c>
      <c r="AW81" s="143">
        <v>0</v>
      </c>
      <c r="AX81" s="143">
        <v>0.58881684097547093</v>
      </c>
      <c r="AY81" s="143">
        <v>3.1720368879379901</v>
      </c>
      <c r="AZ81" s="602">
        <v>0.18562736241009997</v>
      </c>
      <c r="BA81" s="143">
        <v>0.51149389712206306</v>
      </c>
      <c r="BB81" s="143">
        <v>0.14264591707687369</v>
      </c>
      <c r="BC81" s="143">
        <v>0</v>
      </c>
      <c r="BD81" s="143">
        <v>0</v>
      </c>
      <c r="BE81" s="143">
        <v>0.65413981419893674</v>
      </c>
      <c r="BF81" s="143">
        <v>4.5416268497870895</v>
      </c>
      <c r="BG81" s="143">
        <v>325.79087958848862</v>
      </c>
      <c r="BH81" s="602">
        <v>0.144032047509496</v>
      </c>
      <c r="BI81" s="143">
        <v>101.43256476255708</v>
      </c>
      <c r="BJ81" s="143">
        <v>234.92274770369565</v>
      </c>
      <c r="BK81" s="143">
        <v>0</v>
      </c>
      <c r="BL81" s="143">
        <v>218.5475302446327</v>
      </c>
      <c r="BM81" s="143">
        <v>554.90284271088547</v>
      </c>
      <c r="BN81" s="143">
        <v>0.51149389712206306</v>
      </c>
      <c r="BO81" s="143">
        <v>0.90507786322928263</v>
      </c>
      <c r="BP81" s="143">
        <v>0.14264591707687369</v>
      </c>
      <c r="BQ81" s="143">
        <v>0</v>
      </c>
      <c r="BR81" s="143">
        <v>0</v>
      </c>
      <c r="BS81" s="143">
        <v>0</v>
      </c>
      <c r="BT81" s="143">
        <v>0</v>
      </c>
      <c r="BU81" s="143">
        <v>0</v>
      </c>
      <c r="BV81" s="143">
        <v>4.5089192524585817</v>
      </c>
      <c r="BW81" s="143">
        <v>0</v>
      </c>
      <c r="BX81" s="143">
        <v>6.4366446766031764</v>
      </c>
      <c r="BY81" s="143">
        <v>1.055913211067449</v>
      </c>
      <c r="BZ81" s="143">
        <v>0</v>
      </c>
      <c r="CA81" s="143">
        <v>0</v>
      </c>
      <c r="CB81" s="143">
        <v>6.0681369298868013</v>
      </c>
      <c r="CC81" s="143">
        <v>7.4925578876706256</v>
      </c>
      <c r="CD81" s="602">
        <v>0.80988856153813915</v>
      </c>
      <c r="CE81" s="143">
        <v>143.37488910178871</v>
      </c>
      <c r="CF81" s="143">
        <v>9.4386719598315537E-3</v>
      </c>
      <c r="CG81" s="143">
        <v>1.4537813559204478E-2</v>
      </c>
      <c r="CH81" s="143">
        <v>2.3976485519036032E-2</v>
      </c>
      <c r="CI81" s="143">
        <v>4.7192923455214024E-4</v>
      </c>
      <c r="CJ81" s="143">
        <v>7.2689067796022301E-4</v>
      </c>
      <c r="CK81" s="143">
        <v>1.1988199125123633E-3</v>
      </c>
      <c r="CL81" s="143"/>
      <c r="CM81" s="143">
        <v>0.12425481674533731</v>
      </c>
      <c r="CN81" s="143"/>
      <c r="CO81" s="143">
        <v>0</v>
      </c>
      <c r="CP81" s="143">
        <v>0</v>
      </c>
      <c r="CQ81" s="143">
        <v>0.90507786322928263</v>
      </c>
      <c r="CR81" s="143">
        <v>0</v>
      </c>
      <c r="CS81" s="143">
        <v>0</v>
      </c>
      <c r="CT81" s="143">
        <v>0.90507786322928263</v>
      </c>
      <c r="CU81" s="143">
        <v>0</v>
      </c>
      <c r="CV81" s="143">
        <v>0</v>
      </c>
      <c r="CW81" s="142">
        <v>9999</v>
      </c>
      <c r="CX81" s="34"/>
      <c r="CY81" s="34"/>
      <c r="CZ81" s="34"/>
      <c r="DA81" s="34"/>
      <c r="DB81" s="34"/>
      <c r="DC81" s="34"/>
      <c r="DD81" s="34"/>
      <c r="DE81" s="34"/>
      <c r="DF81" s="34"/>
      <c r="DG81" s="34"/>
      <c r="DH81" s="34"/>
      <c r="DI81" s="34"/>
      <c r="DJ81" s="34"/>
      <c r="DK81" s="34"/>
      <c r="DL81" s="34"/>
      <c r="DM81" s="34"/>
      <c r="DN81" s="34"/>
      <c r="DO81" s="34"/>
      <c r="DP81" s="34"/>
      <c r="DQ81" s="34"/>
      <c r="DR81" s="34"/>
      <c r="DS81" s="34"/>
      <c r="DT81" s="34"/>
      <c r="DU81" s="34"/>
      <c r="DV81" s="34"/>
      <c r="DW81" s="34"/>
      <c r="DX81" s="34"/>
      <c r="DY81" s="34"/>
      <c r="DZ81" s="34"/>
      <c r="EA81" s="34"/>
    </row>
    <row r="82" spans="1:131">
      <c r="A82" s="34"/>
      <c r="B82" s="34"/>
      <c r="C82" s="143"/>
      <c r="D82" s="143"/>
      <c r="E82" s="143"/>
      <c r="F82" s="143"/>
      <c r="G82" s="143"/>
      <c r="H82" s="143"/>
      <c r="I82" s="143"/>
      <c r="J82" s="143"/>
      <c r="K82" s="143"/>
      <c r="L82" s="143"/>
      <c r="M82" s="143"/>
      <c r="N82" s="143"/>
      <c r="O82" s="143"/>
      <c r="P82" s="143"/>
      <c r="Q82" s="143"/>
      <c r="R82" s="143"/>
      <c r="S82" s="143"/>
      <c r="T82" s="143"/>
      <c r="U82" s="143"/>
      <c r="V82" s="143"/>
      <c r="W82" s="143"/>
      <c r="X82" s="143"/>
      <c r="Y82" s="143"/>
      <c r="Z82" s="143"/>
      <c r="AA82" s="143"/>
      <c r="AB82" s="143"/>
      <c r="AC82" s="143"/>
      <c r="AD82" s="143"/>
      <c r="AE82" s="143"/>
      <c r="AF82" s="143"/>
      <c r="AG82" s="143"/>
      <c r="AH82" s="143"/>
      <c r="AI82" s="143"/>
      <c r="AJ82" s="143"/>
      <c r="AK82" s="143"/>
      <c r="AL82" s="143"/>
      <c r="AM82" s="143"/>
      <c r="AN82" s="143"/>
      <c r="AO82" s="143"/>
      <c r="AP82" s="143"/>
      <c r="AQ82" s="143"/>
      <c r="AR82" s="143"/>
      <c r="AS82" s="602"/>
      <c r="AT82" s="143"/>
      <c r="AU82" s="143"/>
      <c r="AV82" s="143"/>
      <c r="AW82" s="143"/>
      <c r="AX82" s="143"/>
      <c r="AY82" s="143"/>
      <c r="AZ82" s="602"/>
      <c r="BA82" s="143"/>
      <c r="BB82" s="143"/>
      <c r="BC82" s="143"/>
      <c r="BD82" s="143"/>
      <c r="BE82" s="143"/>
      <c r="BF82" s="143"/>
      <c r="BG82" s="143"/>
      <c r="BH82" s="602"/>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602"/>
      <c r="CE82" s="143"/>
      <c r="CF82" s="143"/>
      <c r="CG82" s="143"/>
      <c r="CH82" s="143"/>
      <c r="CI82" s="143"/>
      <c r="CJ82" s="143"/>
      <c r="CK82" s="143"/>
      <c r="CL82" s="143"/>
      <c r="CM82" s="143"/>
      <c r="CN82" s="143"/>
      <c r="CO82" s="143"/>
      <c r="CP82" s="143"/>
      <c r="CQ82" s="143"/>
      <c r="CR82" s="143"/>
      <c r="CS82" s="143"/>
      <c r="CT82" s="143"/>
      <c r="CU82" s="143"/>
      <c r="CV82" s="143"/>
      <c r="CW82" s="602"/>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U82" s="34"/>
      <c r="DV82" s="34"/>
      <c r="DW82" s="34"/>
      <c r="DX82" s="34"/>
      <c r="DY82" s="34"/>
      <c r="DZ82" s="34"/>
      <c r="EA82" s="34"/>
    </row>
    <row r="83" spans="1:131">
      <c r="A83" s="34"/>
      <c r="B83" s="34"/>
      <c r="C83" s="143"/>
      <c r="D83" s="143"/>
      <c r="E83" s="143"/>
      <c r="F83" s="143"/>
      <c r="G83" s="143"/>
      <c r="H83" s="143"/>
      <c r="I83" s="143"/>
      <c r="J83" s="143"/>
      <c r="K83" s="143"/>
      <c r="L83" s="143"/>
      <c r="M83" s="143"/>
      <c r="N83" s="143"/>
      <c r="O83" s="143"/>
      <c r="P83" s="143"/>
      <c r="Q83" s="143"/>
      <c r="R83" s="143"/>
      <c r="S83" s="143"/>
      <c r="T83" s="143"/>
      <c r="U83" s="143"/>
      <c r="V83" s="143"/>
      <c r="W83" s="143"/>
      <c r="X83" s="143"/>
      <c r="Y83" s="143"/>
      <c r="Z83" s="143"/>
      <c r="AA83" s="143"/>
      <c r="AB83" s="143"/>
      <c r="AC83" s="143"/>
      <c r="AD83" s="143"/>
      <c r="AE83" s="143"/>
      <c r="AF83" s="143"/>
      <c r="AG83" s="143"/>
      <c r="AH83" s="143"/>
      <c r="AI83" s="143"/>
      <c r="AJ83" s="143"/>
      <c r="AK83" s="143"/>
      <c r="AL83" s="143"/>
      <c r="AM83" s="143"/>
      <c r="AN83" s="143"/>
      <c r="AO83" s="143"/>
      <c r="AP83" s="143"/>
      <c r="AQ83" s="143"/>
      <c r="AR83" s="143"/>
      <c r="AS83" s="602"/>
      <c r="AT83" s="143"/>
      <c r="AU83" s="143"/>
      <c r="AV83" s="143"/>
      <c r="AW83" s="143"/>
      <c r="AX83" s="143"/>
      <c r="AY83" s="143"/>
      <c r="AZ83" s="602"/>
      <c r="BA83" s="143"/>
      <c r="BB83" s="143"/>
      <c r="BC83" s="143"/>
      <c r="BD83" s="143"/>
      <c r="BE83" s="143"/>
      <c r="BF83" s="143"/>
      <c r="BG83" s="143"/>
      <c r="BH83" s="602"/>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602"/>
      <c r="CE83" s="143"/>
      <c r="CF83" s="143"/>
      <c r="CG83" s="143"/>
      <c r="CH83" s="143"/>
      <c r="CI83" s="143"/>
      <c r="CJ83" s="143"/>
      <c r="CK83" s="143"/>
      <c r="CL83" s="143"/>
      <c r="CM83" s="143"/>
      <c r="CN83" s="143"/>
      <c r="CO83" s="143"/>
      <c r="CP83" s="143"/>
      <c r="CQ83" s="143"/>
      <c r="CR83" s="143"/>
      <c r="CS83" s="143"/>
      <c r="CT83" s="143"/>
      <c r="CU83" s="143"/>
      <c r="CV83" s="143"/>
      <c r="CW83" s="602"/>
      <c r="CX83" s="34"/>
      <c r="CY83" s="34"/>
      <c r="CZ83" s="34"/>
      <c r="DA83" s="34"/>
      <c r="DB83" s="34"/>
      <c r="DC83" s="34"/>
      <c r="DD83" s="34"/>
      <c r="DE83" s="34"/>
      <c r="DF83" s="34"/>
      <c r="DG83" s="34"/>
      <c r="DH83" s="34"/>
      <c r="DI83" s="34"/>
      <c r="DJ83" s="34"/>
      <c r="DK83" s="34"/>
      <c r="DL83" s="34"/>
      <c r="DM83" s="34"/>
      <c r="DN83" s="34"/>
      <c r="DO83" s="34"/>
      <c r="DP83" s="34"/>
      <c r="DQ83" s="34"/>
      <c r="DR83" s="34"/>
      <c r="DS83" s="34"/>
      <c r="DT83" s="34"/>
      <c r="DU83" s="34"/>
      <c r="DV83" s="34"/>
      <c r="DW83" s="34"/>
      <c r="DX83" s="34"/>
      <c r="DY83" s="34"/>
      <c r="DZ83" s="34"/>
      <c r="EA83" s="34"/>
    </row>
    <row r="84" spans="1:131" ht="13.5" thickBot="1">
      <c r="A84" s="518" t="s">
        <v>1290</v>
      </c>
      <c r="B84" s="519"/>
      <c r="C84" s="143"/>
      <c r="D84" s="143"/>
      <c r="E84" s="143"/>
      <c r="F84" s="143"/>
      <c r="G84" s="143"/>
      <c r="H84" s="143"/>
      <c r="I84" s="143"/>
      <c r="J84" s="143"/>
      <c r="K84" s="143"/>
      <c r="L84" s="143"/>
      <c r="M84" s="143"/>
      <c r="N84" s="143"/>
      <c r="O84" s="143"/>
      <c r="P84" s="143"/>
      <c r="Q84" s="143"/>
      <c r="R84" s="143"/>
      <c r="S84" s="143"/>
      <c r="T84" s="143"/>
      <c r="U84" s="143"/>
      <c r="V84" s="143"/>
      <c r="W84" s="143"/>
      <c r="X84" s="143"/>
      <c r="Y84" s="143"/>
      <c r="Z84" s="143"/>
      <c r="AA84" s="143"/>
      <c r="AB84" s="143"/>
      <c r="AC84" s="143"/>
      <c r="AD84" s="143"/>
      <c r="AE84" s="143"/>
      <c r="AF84" s="143"/>
      <c r="AG84" s="143"/>
      <c r="AH84" s="143"/>
      <c r="AI84" s="143"/>
      <c r="AJ84" s="143"/>
      <c r="AK84" s="143"/>
      <c r="AL84" s="143"/>
      <c r="AM84" s="143"/>
      <c r="AN84" s="143"/>
      <c r="AO84" s="143"/>
      <c r="AP84" s="143"/>
      <c r="AQ84" s="143"/>
      <c r="AR84" s="143"/>
      <c r="AS84" s="602"/>
      <c r="AT84" s="143"/>
      <c r="AU84" s="143"/>
      <c r="AV84" s="143"/>
      <c r="AW84" s="143"/>
      <c r="AX84" s="143"/>
      <c r="AY84" s="143"/>
      <c r="AZ84" s="602"/>
      <c r="BA84" s="143"/>
      <c r="BB84" s="143"/>
      <c r="BC84" s="143"/>
      <c r="BD84" s="143"/>
      <c r="BE84" s="143"/>
      <c r="BF84" s="143"/>
      <c r="BG84" s="143"/>
      <c r="BH84" s="602"/>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602"/>
      <c r="CE84" s="143"/>
      <c r="CF84" s="143"/>
      <c r="CG84" s="143"/>
      <c r="CH84" s="143"/>
      <c r="CI84" s="143"/>
      <c r="CJ84" s="143"/>
      <c r="CK84" s="143"/>
      <c r="CL84" s="143"/>
      <c r="CM84" s="143"/>
      <c r="CN84" s="143"/>
      <c r="CO84" s="143"/>
      <c r="CP84" s="143"/>
      <c r="CQ84" s="143"/>
      <c r="CR84" s="143"/>
      <c r="CS84" s="143"/>
      <c r="CT84" s="143"/>
      <c r="CU84" s="143"/>
      <c r="CV84" s="143"/>
      <c r="CW84" s="602"/>
      <c r="CX84" s="34"/>
      <c r="CY84" s="34"/>
      <c r="CZ84" s="34"/>
      <c r="DA84" s="34"/>
      <c r="DB84" s="34"/>
      <c r="DC84" s="34"/>
      <c r="DD84" s="34"/>
      <c r="DE84" s="34"/>
      <c r="DF84" s="34"/>
      <c r="DG84" s="34"/>
      <c r="DH84" s="34"/>
      <c r="DI84" s="34"/>
      <c r="DJ84" s="34"/>
      <c r="DK84" s="34"/>
      <c r="DL84" s="34"/>
      <c r="DM84" s="34"/>
      <c r="DN84" s="34"/>
      <c r="DO84" s="34"/>
      <c r="DP84" s="34"/>
      <c r="DQ84" s="34"/>
      <c r="DR84" s="34"/>
      <c r="DS84" s="34"/>
      <c r="DT84" s="34"/>
      <c r="DU84" s="34"/>
      <c r="DV84" s="34"/>
      <c r="DW84" s="34"/>
      <c r="DX84" s="34"/>
      <c r="DY84" s="34"/>
      <c r="DZ84" s="34"/>
      <c r="EA84" s="34"/>
    </row>
    <row r="85" spans="1:131" ht="13.5" thickBot="1">
      <c r="A85" s="603" t="s">
        <v>1291</v>
      </c>
      <c r="B85" s="604"/>
      <c r="C85" s="605"/>
      <c r="D85" s="605"/>
      <c r="E85" s="605"/>
      <c r="F85" s="605"/>
      <c r="G85" s="605"/>
      <c r="H85" s="605"/>
      <c r="I85" s="605"/>
      <c r="J85" s="605"/>
      <c r="K85" s="605"/>
      <c r="L85" s="525"/>
      <c r="M85" s="606"/>
      <c r="N85" s="607" t="s">
        <v>1334</v>
      </c>
      <c r="O85" s="605"/>
      <c r="P85" s="605"/>
      <c r="Q85" s="605"/>
      <c r="R85" s="605"/>
      <c r="S85" s="605"/>
      <c r="T85" s="605"/>
      <c r="U85" s="605"/>
      <c r="V85" s="605"/>
      <c r="W85" s="605"/>
      <c r="X85" s="605"/>
      <c r="Y85" s="525"/>
      <c r="Z85" s="606"/>
      <c r="AA85" s="607" t="s">
        <v>1335</v>
      </c>
      <c r="AB85" s="605"/>
      <c r="AC85" s="605"/>
      <c r="AD85" s="605"/>
      <c r="AE85" s="605"/>
      <c r="AF85" s="605"/>
      <c r="AG85" s="605"/>
      <c r="AH85" s="605"/>
      <c r="AI85" s="605"/>
      <c r="AJ85" s="605"/>
      <c r="AK85" s="605"/>
      <c r="AL85" s="525"/>
      <c r="AM85" s="143"/>
      <c r="AN85" s="143"/>
      <c r="AO85" s="143"/>
      <c r="AP85" s="143"/>
      <c r="AQ85" s="143"/>
      <c r="AR85" s="143"/>
      <c r="AS85" s="602"/>
      <c r="AT85" s="143"/>
      <c r="AU85" s="143"/>
      <c r="AV85" s="143"/>
      <c r="AW85" s="143"/>
      <c r="AX85" s="143"/>
      <c r="AY85" s="143"/>
      <c r="AZ85" s="602"/>
      <c r="BA85" s="143"/>
      <c r="BB85" s="143"/>
      <c r="BC85" s="143"/>
      <c r="BD85" s="143"/>
      <c r="BE85" s="143"/>
      <c r="BF85" s="143"/>
      <c r="BG85" s="143"/>
      <c r="BH85" s="602"/>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602"/>
      <c r="CE85" s="143"/>
      <c r="CF85" s="143"/>
      <c r="CG85" s="143"/>
      <c r="CH85" s="143"/>
      <c r="CI85" s="143"/>
      <c r="CJ85" s="143"/>
      <c r="CK85" s="143"/>
      <c r="CL85" s="143"/>
      <c r="CM85" s="143"/>
      <c r="CN85" s="143"/>
      <c r="CO85" s="143"/>
      <c r="CP85" s="143"/>
      <c r="CQ85" s="143"/>
      <c r="CR85" s="143"/>
      <c r="CS85" s="143"/>
      <c r="CT85" s="143"/>
      <c r="CU85" s="143"/>
      <c r="CV85" s="143"/>
      <c r="CW85" s="602"/>
      <c r="CX85" s="34"/>
      <c r="CY85" s="34"/>
      <c r="CZ85" s="34"/>
      <c r="DA85" s="34"/>
      <c r="DB85" s="34"/>
      <c r="DC85" s="34"/>
      <c r="DD85" s="34"/>
      <c r="DE85" s="34"/>
      <c r="DF85" s="34"/>
      <c r="DG85" s="34"/>
      <c r="DH85" s="34"/>
      <c r="DI85" s="34"/>
      <c r="DJ85" s="34"/>
      <c r="DK85" s="34"/>
      <c r="DL85" s="34"/>
      <c r="DM85" s="34"/>
      <c r="DN85" s="34"/>
      <c r="DO85" s="34"/>
      <c r="DP85" s="34"/>
      <c r="DQ85" s="34"/>
      <c r="DR85" s="34"/>
      <c r="DS85" s="34"/>
      <c r="DT85" s="34"/>
      <c r="DU85" s="34"/>
      <c r="DV85" s="34"/>
      <c r="DW85" s="34"/>
      <c r="DX85" s="34"/>
      <c r="DY85" s="34"/>
      <c r="DZ85" s="34"/>
      <c r="EA85" s="34"/>
    </row>
    <row r="86" spans="1:131" ht="204">
      <c r="A86" s="526"/>
      <c r="B86" s="527" t="s">
        <v>1292</v>
      </c>
      <c r="C86" s="528" t="s">
        <v>1293</v>
      </c>
      <c r="D86" s="528" t="s">
        <v>947</v>
      </c>
      <c r="E86" s="528" t="s">
        <v>948</v>
      </c>
      <c r="F86" s="528" t="s">
        <v>949</v>
      </c>
      <c r="G86" s="528" t="s">
        <v>950</v>
      </c>
      <c r="H86" s="528" t="s">
        <v>951</v>
      </c>
      <c r="I86" s="528" t="s">
        <v>952</v>
      </c>
      <c r="J86" s="528" t="s">
        <v>953</v>
      </c>
      <c r="K86" s="528" t="s">
        <v>954</v>
      </c>
      <c r="L86" s="528" t="s">
        <v>955</v>
      </c>
      <c r="M86" s="528" t="s">
        <v>956</v>
      </c>
      <c r="N86" s="528" t="s">
        <v>957</v>
      </c>
      <c r="O86" s="528" t="s">
        <v>958</v>
      </c>
      <c r="P86" s="528" t="s">
        <v>959</v>
      </c>
      <c r="Q86" s="528" t="s">
        <v>960</v>
      </c>
      <c r="R86" s="528" t="s">
        <v>961</v>
      </c>
      <c r="S86" s="528" t="s">
        <v>962</v>
      </c>
      <c r="T86" s="528" t="s">
        <v>963</v>
      </c>
      <c r="U86" s="528" t="s">
        <v>964</v>
      </c>
      <c r="V86" s="528" t="s">
        <v>965</v>
      </c>
      <c r="W86" s="528" t="s">
        <v>966</v>
      </c>
      <c r="X86" s="528" t="s">
        <v>967</v>
      </c>
      <c r="Y86" s="528" t="s">
        <v>968</v>
      </c>
      <c r="Z86" s="528"/>
      <c r="AA86" s="528" t="s">
        <v>957</v>
      </c>
      <c r="AB86" s="528" t="s">
        <v>958</v>
      </c>
      <c r="AC86" s="528" t="s">
        <v>959</v>
      </c>
      <c r="AD86" s="528" t="s">
        <v>960</v>
      </c>
      <c r="AE86" s="528" t="s">
        <v>961</v>
      </c>
      <c r="AF86" s="528" t="s">
        <v>962</v>
      </c>
      <c r="AG86" s="528" t="s">
        <v>963</v>
      </c>
      <c r="AH86" s="528" t="s">
        <v>964</v>
      </c>
      <c r="AI86" s="528" t="s">
        <v>965</v>
      </c>
      <c r="AJ86" s="528" t="s">
        <v>966</v>
      </c>
      <c r="AK86" s="528" t="s">
        <v>967</v>
      </c>
      <c r="AL86" s="528" t="s">
        <v>968</v>
      </c>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c r="CN86" s="143"/>
      <c r="CO86" s="143"/>
      <c r="CP86" s="143"/>
      <c r="CQ86" s="143"/>
      <c r="CR86" s="143"/>
      <c r="CS86" s="143"/>
      <c r="CT86" s="143"/>
      <c r="CU86" s="143"/>
      <c r="CV86" s="143"/>
      <c r="CW86" s="143"/>
      <c r="CX86" s="34"/>
      <c r="CY86" s="34"/>
      <c r="CZ86" s="34"/>
      <c r="DA86" s="34"/>
      <c r="DB86" s="34"/>
      <c r="DC86" s="34"/>
      <c r="DD86" s="34"/>
      <c r="DE86" s="34"/>
      <c r="DF86" s="34"/>
      <c r="DG86" s="34"/>
      <c r="DH86" s="34"/>
      <c r="DI86" s="34"/>
      <c r="DJ86" s="34"/>
      <c r="DK86" s="34"/>
      <c r="DL86" s="34"/>
      <c r="DM86" s="34"/>
      <c r="DN86" s="34"/>
      <c r="DO86" s="34"/>
      <c r="DP86" s="34"/>
      <c r="DQ86" s="34"/>
      <c r="DR86" s="34"/>
      <c r="DS86" s="34"/>
      <c r="DT86" s="34"/>
      <c r="DU86" s="34"/>
      <c r="DV86" s="34"/>
      <c r="DW86" s="34"/>
      <c r="DX86" s="34"/>
      <c r="DY86" s="34"/>
      <c r="DZ86" s="34"/>
      <c r="EA86" s="34"/>
    </row>
    <row r="87" spans="1:131">
      <c r="A87" s="34"/>
      <c r="B87" s="529" t="s">
        <v>1294</v>
      </c>
      <c r="C87" s="608">
        <v>10.1187988527599</v>
      </c>
      <c r="D87" s="608">
        <v>15.838698166011731</v>
      </c>
      <c r="E87" s="608">
        <v>0</v>
      </c>
      <c r="F87" s="608">
        <v>15.838698166011731</v>
      </c>
      <c r="G87" s="608">
        <v>19.309934029809529</v>
      </c>
      <c r="H87" s="608">
        <v>20.78910750645505</v>
      </c>
      <c r="I87" s="608">
        <v>13711.804924002374</v>
      </c>
      <c r="J87" s="608">
        <v>65.220731901909161</v>
      </c>
      <c r="K87" s="608">
        <v>27.192652587535054</v>
      </c>
      <c r="L87" s="142">
        <v>807.76275395711968</v>
      </c>
      <c r="M87" s="143">
        <v>0.10505336621331084</v>
      </c>
      <c r="N87" s="137">
        <v>0.6624145386875343</v>
      </c>
      <c r="O87" s="137">
        <v>0.59181022272023831</v>
      </c>
      <c r="P87" s="137">
        <v>0.67762016073318865</v>
      </c>
      <c r="Q87" s="137">
        <v>0.58737265122214555</v>
      </c>
      <c r="R87" s="137">
        <v>0.56240847775770786</v>
      </c>
      <c r="S87" s="137">
        <v>0.55094780747243899</v>
      </c>
      <c r="T87" s="137">
        <v>0.47304140243826259</v>
      </c>
      <c r="U87" s="137">
        <v>0.49493219976138886</v>
      </c>
      <c r="V87" s="137">
        <v>0.46007265124160363</v>
      </c>
      <c r="W87" s="137">
        <v>0.55285876477676954</v>
      </c>
      <c r="X87" s="137">
        <v>0.56556788277020187</v>
      </c>
      <c r="Y87" s="137">
        <v>0.65751329094902133</v>
      </c>
      <c r="Z87" s="137"/>
      <c r="AA87" s="137">
        <v>0.34212619088283708</v>
      </c>
      <c r="AB87" s="137">
        <v>0.2865712232152311</v>
      </c>
      <c r="AC87" s="137">
        <v>0.27320153596632202</v>
      </c>
      <c r="AD87" s="137">
        <v>0.28167917409235749</v>
      </c>
      <c r="AE87" s="137">
        <v>0.28106549991951818</v>
      </c>
      <c r="AF87" s="137">
        <v>0.23607542634163167</v>
      </c>
      <c r="AG87" s="137">
        <v>0.25922153416633659</v>
      </c>
      <c r="AH87" s="137">
        <v>0.20582779915275795</v>
      </c>
      <c r="AI87" s="137">
        <v>0.24863492625964079</v>
      </c>
      <c r="AJ87" s="137">
        <v>0.23215552608410817</v>
      </c>
      <c r="AK87" s="137">
        <v>0.3024328223061109</v>
      </c>
      <c r="AL87" s="137">
        <v>0.33324714384254916</v>
      </c>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c r="CN87" s="143"/>
      <c r="CO87" s="143"/>
      <c r="CP87" s="143"/>
      <c r="CQ87" s="143"/>
      <c r="CR87" s="143"/>
      <c r="CS87" s="143"/>
      <c r="CT87" s="143"/>
      <c r="CU87" s="143"/>
      <c r="CV87" s="143"/>
      <c r="CW87" s="143"/>
      <c r="CX87" s="34"/>
      <c r="CY87" s="34"/>
      <c r="CZ87" s="34"/>
      <c r="DA87" s="34"/>
      <c r="DB87" s="34"/>
      <c r="DC87" s="34"/>
      <c r="DD87" s="34"/>
      <c r="DE87" s="34"/>
      <c r="DF87" s="34"/>
      <c r="DG87" s="34"/>
      <c r="DH87" s="34"/>
      <c r="DI87" s="34"/>
      <c r="DJ87" s="34"/>
      <c r="DK87" s="34"/>
      <c r="DL87" s="34"/>
      <c r="DM87" s="34"/>
      <c r="DN87" s="34"/>
      <c r="DO87" s="34"/>
      <c r="DP87" s="34"/>
      <c r="DQ87" s="34"/>
      <c r="DR87" s="34"/>
      <c r="DS87" s="34"/>
      <c r="DT87" s="34"/>
      <c r="DU87" s="34"/>
      <c r="DV87" s="34"/>
      <c r="DW87" s="34"/>
      <c r="DX87" s="34"/>
      <c r="DY87" s="34"/>
      <c r="DZ87" s="34"/>
      <c r="EA87" s="34"/>
    </row>
    <row r="88" spans="1:131">
      <c r="A88" s="34"/>
      <c r="B88" s="529" t="s">
        <v>1295</v>
      </c>
      <c r="C88" s="609">
        <v>0</v>
      </c>
      <c r="D88" s="609">
        <v>0</v>
      </c>
      <c r="E88" s="609">
        <v>0</v>
      </c>
      <c r="F88" s="609">
        <v>0</v>
      </c>
      <c r="G88" s="609">
        <v>0</v>
      </c>
      <c r="H88" s="609">
        <v>0</v>
      </c>
      <c r="I88" s="609">
        <v>0</v>
      </c>
      <c r="J88" s="609">
        <v>0</v>
      </c>
      <c r="K88" s="609">
        <v>0</v>
      </c>
      <c r="L88" s="602">
        <v>0</v>
      </c>
      <c r="M88" s="610">
        <v>0</v>
      </c>
      <c r="N88" s="610">
        <v>0</v>
      </c>
      <c r="O88" s="610">
        <v>0</v>
      </c>
      <c r="P88" s="610">
        <v>0</v>
      </c>
      <c r="Q88" s="610">
        <v>0</v>
      </c>
      <c r="R88" s="610">
        <v>0</v>
      </c>
      <c r="S88" s="610">
        <v>0</v>
      </c>
      <c r="T88" s="610">
        <v>0</v>
      </c>
      <c r="U88" s="610">
        <v>0</v>
      </c>
      <c r="V88" s="610">
        <v>0</v>
      </c>
      <c r="W88" s="610">
        <v>0</v>
      </c>
      <c r="X88" s="610">
        <v>0</v>
      </c>
      <c r="Y88" s="610">
        <v>0</v>
      </c>
      <c r="Z88" s="610"/>
      <c r="AA88" s="610">
        <v>0</v>
      </c>
      <c r="AB88" s="610">
        <v>0</v>
      </c>
      <c r="AC88" s="610">
        <v>0</v>
      </c>
      <c r="AD88" s="610">
        <v>0</v>
      </c>
      <c r="AE88" s="610">
        <v>0</v>
      </c>
      <c r="AF88" s="610">
        <v>0</v>
      </c>
      <c r="AG88" s="610">
        <v>0</v>
      </c>
      <c r="AH88" s="610">
        <v>0</v>
      </c>
      <c r="AI88" s="610">
        <v>0</v>
      </c>
      <c r="AJ88" s="610">
        <v>0</v>
      </c>
      <c r="AK88" s="610">
        <v>0</v>
      </c>
      <c r="AL88" s="610">
        <v>0</v>
      </c>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c r="CN88" s="143"/>
      <c r="CO88" s="143"/>
      <c r="CP88" s="143"/>
      <c r="CQ88" s="143"/>
      <c r="CR88" s="143"/>
      <c r="CS88" s="143"/>
      <c r="CT88" s="143"/>
      <c r="CU88" s="143"/>
      <c r="CV88" s="143"/>
      <c r="CW88" s="143"/>
      <c r="CX88" s="34"/>
      <c r="CY88" s="34"/>
      <c r="CZ88" s="34"/>
      <c r="DA88" s="34"/>
      <c r="DB88" s="34"/>
      <c r="DC88" s="34"/>
      <c r="DD88" s="34"/>
      <c r="DE88" s="34"/>
      <c r="DF88" s="34"/>
      <c r="DG88" s="34"/>
      <c r="DH88" s="34"/>
      <c r="DI88" s="34"/>
      <c r="DJ88" s="34"/>
      <c r="DK88" s="34"/>
      <c r="DL88" s="34"/>
      <c r="DM88" s="34"/>
      <c r="DN88" s="34"/>
      <c r="DO88" s="34"/>
      <c r="DP88" s="34"/>
      <c r="DQ88" s="34"/>
      <c r="DR88" s="34"/>
      <c r="DS88" s="34"/>
      <c r="DT88" s="34"/>
      <c r="DU88" s="34"/>
      <c r="DV88" s="34"/>
      <c r="DW88" s="34"/>
      <c r="DX88" s="34"/>
      <c r="DY88" s="34"/>
      <c r="DZ88" s="34"/>
      <c r="EA88" s="34"/>
    </row>
    <row r="89" spans="1:131">
      <c r="A89" s="34"/>
      <c r="B89" s="529" t="s">
        <v>1296</v>
      </c>
      <c r="C89" s="609"/>
      <c r="D89" s="609"/>
      <c r="E89" s="609"/>
      <c r="F89" s="609"/>
      <c r="G89" s="609"/>
      <c r="H89" s="609"/>
      <c r="I89" s="609"/>
      <c r="J89" s="609"/>
      <c r="K89" s="609"/>
      <c r="L89" s="602"/>
      <c r="M89" s="610"/>
      <c r="N89" s="610"/>
      <c r="O89" s="610"/>
      <c r="P89" s="610"/>
      <c r="Q89" s="610"/>
      <c r="R89" s="610"/>
      <c r="S89" s="610"/>
      <c r="T89" s="610"/>
      <c r="U89" s="610"/>
      <c r="V89" s="610"/>
      <c r="W89" s="610"/>
      <c r="X89" s="610"/>
      <c r="Y89" s="610"/>
      <c r="Z89" s="610"/>
      <c r="AA89" s="610"/>
      <c r="AB89" s="610"/>
      <c r="AC89" s="610"/>
      <c r="AD89" s="610"/>
      <c r="AE89" s="610"/>
      <c r="AF89" s="610"/>
      <c r="AG89" s="610"/>
      <c r="AH89" s="610"/>
      <c r="AI89" s="610"/>
      <c r="AJ89" s="610"/>
      <c r="AK89" s="610"/>
      <c r="AL89" s="610"/>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c r="CN89" s="143"/>
      <c r="CO89" s="143"/>
      <c r="CP89" s="143"/>
      <c r="CQ89" s="143"/>
      <c r="CR89" s="143"/>
      <c r="CS89" s="143"/>
      <c r="CT89" s="143"/>
      <c r="CU89" s="143"/>
      <c r="CV89" s="143"/>
      <c r="CW89" s="143"/>
      <c r="CX89" s="34"/>
      <c r="CY89" s="34"/>
      <c r="CZ89" s="34"/>
      <c r="DA89" s="34"/>
      <c r="DB89" s="34"/>
      <c r="DC89" s="34"/>
      <c r="DD89" s="34"/>
      <c r="DE89" s="34"/>
      <c r="DF89" s="34"/>
      <c r="DG89" s="34"/>
      <c r="DH89" s="34"/>
      <c r="DI89" s="34"/>
      <c r="DJ89" s="34"/>
      <c r="DK89" s="34"/>
      <c r="DL89" s="34"/>
      <c r="DM89" s="34"/>
      <c r="DN89" s="34"/>
      <c r="DO89" s="34"/>
      <c r="DP89" s="34"/>
      <c r="DQ89" s="34"/>
      <c r="DR89" s="34"/>
      <c r="DS89" s="34"/>
      <c r="DT89" s="34"/>
      <c r="DU89" s="34"/>
      <c r="DV89" s="34"/>
      <c r="DW89" s="34"/>
      <c r="DX89" s="34"/>
      <c r="DY89" s="34"/>
      <c r="DZ89" s="34"/>
      <c r="EA89" s="34"/>
    </row>
    <row r="90" spans="1:131">
      <c r="A90" s="34"/>
      <c r="B90" s="34" t="s">
        <v>992</v>
      </c>
      <c r="C90" s="610">
        <v>0</v>
      </c>
      <c r="D90" s="610">
        <v>0</v>
      </c>
      <c r="E90" s="610">
        <v>0</v>
      </c>
      <c r="F90" s="610">
        <v>0</v>
      </c>
      <c r="G90" s="610">
        <v>0</v>
      </c>
      <c r="H90" s="610">
        <v>0</v>
      </c>
      <c r="I90" s="610">
        <v>0</v>
      </c>
      <c r="J90" s="610">
        <v>0</v>
      </c>
      <c r="K90" s="610">
        <v>0</v>
      </c>
      <c r="L90" s="602">
        <v>0</v>
      </c>
      <c r="M90" s="610">
        <v>0</v>
      </c>
      <c r="N90" s="610">
        <v>0</v>
      </c>
      <c r="O90" s="610">
        <v>0</v>
      </c>
      <c r="P90" s="610">
        <v>0</v>
      </c>
      <c r="Q90" s="610">
        <v>0</v>
      </c>
      <c r="R90" s="610">
        <v>0</v>
      </c>
      <c r="S90" s="610">
        <v>0</v>
      </c>
      <c r="T90" s="610">
        <v>0</v>
      </c>
      <c r="U90" s="610">
        <v>0</v>
      </c>
      <c r="V90" s="610">
        <v>0</v>
      </c>
      <c r="W90" s="610">
        <v>0</v>
      </c>
      <c r="X90" s="610">
        <v>0</v>
      </c>
      <c r="Y90" s="610">
        <v>0</v>
      </c>
      <c r="Z90" s="610"/>
      <c r="AA90" s="610">
        <v>0</v>
      </c>
      <c r="AB90" s="610">
        <v>0</v>
      </c>
      <c r="AC90" s="610">
        <v>0</v>
      </c>
      <c r="AD90" s="610">
        <v>0</v>
      </c>
      <c r="AE90" s="610">
        <v>0</v>
      </c>
      <c r="AF90" s="610">
        <v>0</v>
      </c>
      <c r="AG90" s="610">
        <v>0</v>
      </c>
      <c r="AH90" s="610">
        <v>0</v>
      </c>
      <c r="AI90" s="610">
        <v>0</v>
      </c>
      <c r="AJ90" s="610">
        <v>0</v>
      </c>
      <c r="AK90" s="610">
        <v>0</v>
      </c>
      <c r="AL90" s="610">
        <v>0</v>
      </c>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c r="CN90" s="143"/>
      <c r="CO90" s="143"/>
      <c r="CP90" s="143"/>
      <c r="CQ90" s="143"/>
      <c r="CR90" s="143"/>
      <c r="CS90" s="143"/>
      <c r="CT90" s="143"/>
      <c r="CU90" s="143"/>
      <c r="CV90" s="143"/>
      <c r="CW90" s="143"/>
      <c r="CX90" s="34"/>
      <c r="CY90" s="34"/>
      <c r="CZ90" s="34"/>
      <c r="DA90" s="34"/>
      <c r="DB90" s="34"/>
      <c r="DC90" s="34"/>
      <c r="DD90" s="34"/>
      <c r="DE90" s="34"/>
      <c r="DF90" s="34"/>
      <c r="DG90" s="34"/>
      <c r="DH90" s="34"/>
      <c r="DI90" s="34"/>
      <c r="DJ90" s="34"/>
      <c r="DK90" s="34"/>
      <c r="DL90" s="34"/>
      <c r="DM90" s="34"/>
      <c r="DN90" s="34"/>
      <c r="DO90" s="34"/>
      <c r="DP90" s="34"/>
      <c r="DQ90" s="34"/>
      <c r="DR90" s="34"/>
      <c r="DS90" s="34"/>
      <c r="DT90" s="34"/>
      <c r="DU90" s="34"/>
      <c r="DV90" s="34"/>
      <c r="DW90" s="34"/>
      <c r="DX90" s="34"/>
      <c r="DY90" s="34"/>
      <c r="DZ90" s="34"/>
      <c r="EA90" s="34"/>
    </row>
    <row r="91" spans="1:131">
      <c r="A91" s="34"/>
      <c r="B91" s="34" t="s">
        <v>995</v>
      </c>
      <c r="C91" s="610">
        <v>0</v>
      </c>
      <c r="D91" s="610">
        <v>0</v>
      </c>
      <c r="E91" s="610">
        <v>0</v>
      </c>
      <c r="F91" s="610">
        <v>0</v>
      </c>
      <c r="G91" s="610">
        <v>0</v>
      </c>
      <c r="H91" s="610">
        <v>0</v>
      </c>
      <c r="I91" s="610">
        <v>0</v>
      </c>
      <c r="J91" s="610">
        <v>0</v>
      </c>
      <c r="K91" s="610">
        <v>0</v>
      </c>
      <c r="L91" s="611">
        <v>0</v>
      </c>
      <c r="M91" s="610">
        <v>0</v>
      </c>
      <c r="N91" s="610">
        <v>0</v>
      </c>
      <c r="O91" s="610">
        <v>0</v>
      </c>
      <c r="P91" s="610">
        <v>0</v>
      </c>
      <c r="Q91" s="610">
        <v>0</v>
      </c>
      <c r="R91" s="610">
        <v>0</v>
      </c>
      <c r="S91" s="610">
        <v>0</v>
      </c>
      <c r="T91" s="610">
        <v>0</v>
      </c>
      <c r="U91" s="610">
        <v>0</v>
      </c>
      <c r="V91" s="610">
        <v>0</v>
      </c>
      <c r="W91" s="610">
        <v>0</v>
      </c>
      <c r="X91" s="610">
        <v>0</v>
      </c>
      <c r="Y91" s="610">
        <v>0</v>
      </c>
      <c r="Z91" s="610"/>
      <c r="AA91" s="610">
        <v>0</v>
      </c>
      <c r="AB91" s="610">
        <v>0</v>
      </c>
      <c r="AC91" s="610">
        <v>0</v>
      </c>
      <c r="AD91" s="610">
        <v>0</v>
      </c>
      <c r="AE91" s="610">
        <v>0</v>
      </c>
      <c r="AF91" s="610">
        <v>0</v>
      </c>
      <c r="AG91" s="610">
        <v>0</v>
      </c>
      <c r="AH91" s="610">
        <v>0</v>
      </c>
      <c r="AI91" s="610">
        <v>0</v>
      </c>
      <c r="AJ91" s="610">
        <v>0</v>
      </c>
      <c r="AK91" s="610">
        <v>0</v>
      </c>
      <c r="AL91" s="610">
        <v>0</v>
      </c>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c r="CN91" s="143"/>
      <c r="CO91" s="143"/>
      <c r="CP91" s="143"/>
      <c r="CQ91" s="143"/>
      <c r="CR91" s="143"/>
      <c r="CS91" s="143"/>
      <c r="CT91" s="143"/>
      <c r="CU91" s="143"/>
      <c r="CV91" s="143"/>
      <c r="CW91" s="143"/>
      <c r="CX91" s="34"/>
      <c r="CY91" s="34"/>
      <c r="CZ91" s="34"/>
      <c r="DA91" s="34"/>
      <c r="DB91" s="34"/>
      <c r="DC91" s="34"/>
      <c r="DD91" s="34"/>
      <c r="DE91" s="34"/>
      <c r="DF91" s="34"/>
      <c r="DG91" s="34"/>
      <c r="DH91" s="34"/>
      <c r="DI91" s="34"/>
      <c r="DJ91" s="34"/>
      <c r="DK91" s="34"/>
      <c r="DL91" s="34"/>
      <c r="DM91" s="34"/>
      <c r="DN91" s="34"/>
      <c r="DO91" s="34"/>
      <c r="DP91" s="34"/>
      <c r="DQ91" s="34"/>
      <c r="DR91" s="34"/>
      <c r="DS91" s="34"/>
      <c r="DT91" s="34"/>
      <c r="DU91" s="34"/>
      <c r="DV91" s="34"/>
      <c r="DW91" s="34"/>
      <c r="DX91" s="34"/>
      <c r="DY91" s="34"/>
      <c r="DZ91" s="34"/>
      <c r="EA91" s="34"/>
    </row>
    <row r="92" spans="1:131">
      <c r="A92" s="34"/>
      <c r="B92" s="34" t="s">
        <v>998</v>
      </c>
      <c r="C92" s="610">
        <v>0</v>
      </c>
      <c r="D92" s="610">
        <v>0</v>
      </c>
      <c r="E92" s="610">
        <v>0</v>
      </c>
      <c r="F92" s="610">
        <v>0</v>
      </c>
      <c r="G92" s="610">
        <v>0</v>
      </c>
      <c r="H92" s="610">
        <v>0</v>
      </c>
      <c r="I92" s="610">
        <v>0</v>
      </c>
      <c r="J92" s="610">
        <v>0</v>
      </c>
      <c r="K92" s="610">
        <v>0</v>
      </c>
      <c r="L92" s="611">
        <v>0</v>
      </c>
      <c r="M92" s="610">
        <v>0</v>
      </c>
      <c r="N92" s="610">
        <v>0</v>
      </c>
      <c r="O92" s="610">
        <v>0</v>
      </c>
      <c r="P92" s="610">
        <v>0</v>
      </c>
      <c r="Q92" s="610">
        <v>0</v>
      </c>
      <c r="R92" s="610">
        <v>0</v>
      </c>
      <c r="S92" s="610">
        <v>0</v>
      </c>
      <c r="T92" s="610">
        <v>0</v>
      </c>
      <c r="U92" s="610">
        <v>0</v>
      </c>
      <c r="V92" s="610">
        <v>0</v>
      </c>
      <c r="W92" s="610">
        <v>0</v>
      </c>
      <c r="X92" s="610">
        <v>0</v>
      </c>
      <c r="Y92" s="610">
        <v>0</v>
      </c>
      <c r="Z92" s="610"/>
      <c r="AA92" s="610">
        <v>0</v>
      </c>
      <c r="AB92" s="610">
        <v>0</v>
      </c>
      <c r="AC92" s="610">
        <v>0</v>
      </c>
      <c r="AD92" s="610">
        <v>0</v>
      </c>
      <c r="AE92" s="610">
        <v>0</v>
      </c>
      <c r="AF92" s="610">
        <v>0</v>
      </c>
      <c r="AG92" s="610">
        <v>0</v>
      </c>
      <c r="AH92" s="610">
        <v>0</v>
      </c>
      <c r="AI92" s="610">
        <v>0</v>
      </c>
      <c r="AJ92" s="610">
        <v>0</v>
      </c>
      <c r="AK92" s="610">
        <v>0</v>
      </c>
      <c r="AL92" s="610">
        <v>0</v>
      </c>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c r="CN92" s="143"/>
      <c r="CO92" s="143"/>
      <c r="CP92" s="143"/>
      <c r="CQ92" s="143"/>
      <c r="CR92" s="143"/>
      <c r="CS92" s="143"/>
      <c r="CT92" s="143"/>
      <c r="CU92" s="143"/>
      <c r="CV92" s="143"/>
      <c r="CW92" s="143"/>
      <c r="CX92" s="34"/>
      <c r="CY92" s="34"/>
      <c r="CZ92" s="34"/>
      <c r="DA92" s="34"/>
      <c r="DB92" s="34"/>
      <c r="DC92" s="34"/>
      <c r="DD92" s="34"/>
      <c r="DE92" s="34"/>
      <c r="DF92" s="34"/>
      <c r="DG92" s="34"/>
      <c r="DH92" s="34"/>
      <c r="DI92" s="34"/>
      <c r="DJ92" s="34"/>
      <c r="DK92" s="34"/>
      <c r="DL92" s="34"/>
      <c r="DM92" s="34"/>
      <c r="DN92" s="34"/>
      <c r="DO92" s="34"/>
      <c r="DP92" s="34"/>
      <c r="DQ92" s="34"/>
      <c r="DR92" s="34"/>
      <c r="DS92" s="34"/>
      <c r="DT92" s="34"/>
      <c r="DU92" s="34"/>
      <c r="DV92" s="34"/>
      <c r="DW92" s="34"/>
      <c r="DX92" s="34"/>
      <c r="DY92" s="34"/>
      <c r="DZ92" s="34"/>
      <c r="EA92" s="34"/>
    </row>
    <row r="93" spans="1:131">
      <c r="A93" s="34"/>
      <c r="B93" s="34" t="s">
        <v>1001</v>
      </c>
      <c r="C93" s="610">
        <v>0</v>
      </c>
      <c r="D93" s="610">
        <v>0</v>
      </c>
      <c r="E93" s="610">
        <v>0</v>
      </c>
      <c r="F93" s="610">
        <v>0</v>
      </c>
      <c r="G93" s="610">
        <v>0</v>
      </c>
      <c r="H93" s="610">
        <v>0</v>
      </c>
      <c r="I93" s="610">
        <v>0</v>
      </c>
      <c r="J93" s="610">
        <v>0</v>
      </c>
      <c r="K93" s="610">
        <v>0</v>
      </c>
      <c r="L93" s="611">
        <v>0</v>
      </c>
      <c r="M93" s="610">
        <v>0</v>
      </c>
      <c r="N93" s="610">
        <v>0</v>
      </c>
      <c r="O93" s="610">
        <v>0</v>
      </c>
      <c r="P93" s="610">
        <v>0</v>
      </c>
      <c r="Q93" s="610">
        <v>0</v>
      </c>
      <c r="R93" s="610">
        <v>0</v>
      </c>
      <c r="S93" s="610">
        <v>0</v>
      </c>
      <c r="T93" s="610">
        <v>0</v>
      </c>
      <c r="U93" s="610">
        <v>0</v>
      </c>
      <c r="V93" s="610">
        <v>0</v>
      </c>
      <c r="W93" s="610">
        <v>0</v>
      </c>
      <c r="X93" s="610">
        <v>0</v>
      </c>
      <c r="Y93" s="610">
        <v>0</v>
      </c>
      <c r="Z93" s="610"/>
      <c r="AA93" s="610">
        <v>0</v>
      </c>
      <c r="AB93" s="610">
        <v>0</v>
      </c>
      <c r="AC93" s="610">
        <v>0</v>
      </c>
      <c r="AD93" s="610">
        <v>0</v>
      </c>
      <c r="AE93" s="610">
        <v>0</v>
      </c>
      <c r="AF93" s="610">
        <v>0</v>
      </c>
      <c r="AG93" s="610">
        <v>0</v>
      </c>
      <c r="AH93" s="610">
        <v>0</v>
      </c>
      <c r="AI93" s="610">
        <v>0</v>
      </c>
      <c r="AJ93" s="610">
        <v>0</v>
      </c>
      <c r="AK93" s="610">
        <v>0</v>
      </c>
      <c r="AL93" s="610">
        <v>0</v>
      </c>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c r="CN93" s="143"/>
      <c r="CO93" s="143"/>
      <c r="CP93" s="143"/>
      <c r="CQ93" s="143"/>
      <c r="CR93" s="143"/>
      <c r="CS93" s="143"/>
      <c r="CT93" s="143"/>
      <c r="CU93" s="143"/>
      <c r="CV93" s="143"/>
      <c r="CW93" s="143"/>
      <c r="CX93" s="34"/>
      <c r="CY93" s="34"/>
      <c r="CZ93" s="34"/>
      <c r="DA93" s="34"/>
      <c r="DB93" s="34"/>
      <c r="DC93" s="34"/>
      <c r="DD93" s="34"/>
      <c r="DE93" s="34"/>
      <c r="DF93" s="34"/>
      <c r="DG93" s="34"/>
      <c r="DH93" s="34"/>
      <c r="DI93" s="34"/>
      <c r="DJ93" s="34"/>
      <c r="DK93" s="34"/>
      <c r="DL93" s="34"/>
      <c r="DM93" s="34"/>
      <c r="DN93" s="34"/>
      <c r="DO93" s="34"/>
      <c r="DP93" s="34"/>
      <c r="DQ93" s="34"/>
      <c r="DR93" s="34"/>
      <c r="DS93" s="34"/>
      <c r="DT93" s="34"/>
      <c r="DU93" s="34"/>
      <c r="DV93" s="34"/>
      <c r="DW93" s="34"/>
      <c r="DX93" s="34"/>
      <c r="DY93" s="34"/>
      <c r="DZ93" s="34"/>
      <c r="EA93" s="34"/>
    </row>
    <row r="94" spans="1:131">
      <c r="A94" s="34"/>
      <c r="B94" s="34" t="s">
        <v>1004</v>
      </c>
      <c r="C94" s="610">
        <v>0</v>
      </c>
      <c r="D94" s="610">
        <v>0</v>
      </c>
      <c r="E94" s="610">
        <v>0</v>
      </c>
      <c r="F94" s="610">
        <v>0</v>
      </c>
      <c r="G94" s="610">
        <v>0</v>
      </c>
      <c r="H94" s="610">
        <v>0</v>
      </c>
      <c r="I94" s="610">
        <v>0</v>
      </c>
      <c r="J94" s="610">
        <v>0</v>
      </c>
      <c r="K94" s="610">
        <v>0</v>
      </c>
      <c r="L94" s="611">
        <v>0</v>
      </c>
      <c r="M94" s="610">
        <v>0</v>
      </c>
      <c r="N94" s="610">
        <v>0</v>
      </c>
      <c r="O94" s="610">
        <v>0</v>
      </c>
      <c r="P94" s="610">
        <v>0</v>
      </c>
      <c r="Q94" s="610">
        <v>0</v>
      </c>
      <c r="R94" s="610">
        <v>0</v>
      </c>
      <c r="S94" s="610">
        <v>0</v>
      </c>
      <c r="T94" s="610">
        <v>0</v>
      </c>
      <c r="U94" s="610">
        <v>0</v>
      </c>
      <c r="V94" s="610">
        <v>0</v>
      </c>
      <c r="W94" s="610">
        <v>0</v>
      </c>
      <c r="X94" s="610">
        <v>0</v>
      </c>
      <c r="Y94" s="610">
        <v>0</v>
      </c>
      <c r="Z94" s="610"/>
      <c r="AA94" s="610">
        <v>0</v>
      </c>
      <c r="AB94" s="610">
        <v>0</v>
      </c>
      <c r="AC94" s="610">
        <v>0</v>
      </c>
      <c r="AD94" s="610">
        <v>0</v>
      </c>
      <c r="AE94" s="610">
        <v>0</v>
      </c>
      <c r="AF94" s="610">
        <v>0</v>
      </c>
      <c r="AG94" s="610">
        <v>0</v>
      </c>
      <c r="AH94" s="610">
        <v>0</v>
      </c>
      <c r="AI94" s="610">
        <v>0</v>
      </c>
      <c r="AJ94" s="610">
        <v>0</v>
      </c>
      <c r="AK94" s="610">
        <v>0</v>
      </c>
      <c r="AL94" s="610">
        <v>0</v>
      </c>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c r="CN94" s="143"/>
      <c r="CO94" s="143"/>
      <c r="CP94" s="143"/>
      <c r="CQ94" s="143"/>
      <c r="CR94" s="143"/>
      <c r="CS94" s="143"/>
      <c r="CT94" s="143"/>
      <c r="CU94" s="143"/>
      <c r="CV94" s="143"/>
      <c r="CW94" s="143"/>
      <c r="CX94" s="34"/>
      <c r="CY94" s="34"/>
      <c r="CZ94" s="34"/>
      <c r="DA94" s="34"/>
      <c r="DB94" s="34"/>
      <c r="DC94" s="34"/>
      <c r="DD94" s="34"/>
      <c r="DE94" s="34"/>
      <c r="DF94" s="34"/>
      <c r="DG94" s="34"/>
      <c r="DH94" s="34"/>
      <c r="DI94" s="34"/>
      <c r="DJ94" s="34"/>
      <c r="DK94" s="34"/>
      <c r="DL94" s="34"/>
      <c r="DM94" s="34"/>
      <c r="DN94" s="34"/>
      <c r="DO94" s="34"/>
      <c r="DP94" s="34"/>
      <c r="DQ94" s="34"/>
      <c r="DR94" s="34"/>
      <c r="DS94" s="34"/>
      <c r="DT94" s="34"/>
      <c r="DU94" s="34"/>
      <c r="DV94" s="34"/>
      <c r="DW94" s="34"/>
      <c r="DX94" s="34"/>
      <c r="DY94" s="34"/>
      <c r="DZ94" s="34"/>
      <c r="EA94" s="34"/>
    </row>
    <row r="95" spans="1:131">
      <c r="A95" s="34"/>
      <c r="B95" s="34" t="s">
        <v>1007</v>
      </c>
      <c r="C95" s="143">
        <v>3.5557059945100065</v>
      </c>
      <c r="D95" s="143">
        <v>5.2795660553372441</v>
      </c>
      <c r="E95" s="143">
        <v>1.055913211067449</v>
      </c>
      <c r="F95" s="143">
        <v>6.3354792664046933</v>
      </c>
      <c r="G95" s="143">
        <v>7.4925578876706256</v>
      </c>
      <c r="H95" s="143">
        <v>6.9756530674603905</v>
      </c>
      <c r="I95" s="143">
        <v>15608.376637268379</v>
      </c>
      <c r="J95" s="143">
        <v>83.115067610955847</v>
      </c>
      <c r="K95" s="143">
        <v>48.658285133252164</v>
      </c>
      <c r="L95" s="602">
        <v>0.93101090068842474</v>
      </c>
      <c r="M95" s="143">
        <v>3.5499397544400221E-2</v>
      </c>
      <c r="N95" s="137">
        <v>0.23344310596774925</v>
      </c>
      <c r="O95" s="137">
        <v>0.20872530995851063</v>
      </c>
      <c r="P95" s="137">
        <v>0.23931692046848702</v>
      </c>
      <c r="Q95" s="137">
        <v>0.207474530098605</v>
      </c>
      <c r="R95" s="137">
        <v>0.19843382899768067</v>
      </c>
      <c r="S95" s="137">
        <v>0.19412174922352995</v>
      </c>
      <c r="T95" s="137">
        <v>0.16598073699505142</v>
      </c>
      <c r="U95" s="137">
        <v>0.17363864551754932</v>
      </c>
      <c r="V95" s="137">
        <v>0.16183688934593823</v>
      </c>
      <c r="W95" s="137">
        <v>0.19473984471358194</v>
      </c>
      <c r="X95" s="137">
        <v>0.19932804538613083</v>
      </c>
      <c r="Y95" s="137">
        <v>0.23173934650167499</v>
      </c>
      <c r="Z95" s="137"/>
      <c r="AA95" s="137">
        <v>0.11957225991186747</v>
      </c>
      <c r="AB95" s="137">
        <v>0.10015607351596681</v>
      </c>
      <c r="AC95" s="137">
        <v>9.5523562492732902E-2</v>
      </c>
      <c r="AD95" s="137">
        <v>9.8738331528047729E-2</v>
      </c>
      <c r="AE95" s="137">
        <v>9.8564993692252481E-2</v>
      </c>
      <c r="AF95" s="137">
        <v>8.2481603895873362E-2</v>
      </c>
      <c r="AG95" s="137">
        <v>9.0317405541494172E-2</v>
      </c>
      <c r="AH95" s="137">
        <v>7.148661564111837E-2</v>
      </c>
      <c r="AI95" s="137">
        <v>8.6836079555160095E-2</v>
      </c>
      <c r="AJ95" s="137">
        <v>8.1061959117889729E-2</v>
      </c>
      <c r="AK95" s="137">
        <v>0.1057591836205643</v>
      </c>
      <c r="AL95" s="137">
        <v>0.11642897282254996</v>
      </c>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c r="CN95" s="143"/>
      <c r="CO95" s="143"/>
      <c r="CP95" s="143"/>
      <c r="CQ95" s="143"/>
      <c r="CR95" s="143"/>
      <c r="CS95" s="143"/>
      <c r="CT95" s="143"/>
      <c r="CU95" s="143"/>
      <c r="CV95" s="143"/>
      <c r="CW95" s="143"/>
      <c r="CX95" s="34"/>
      <c r="CY95" s="34"/>
      <c r="CZ95" s="34"/>
      <c r="DA95" s="34"/>
      <c r="DB95" s="34"/>
      <c r="DC95" s="34"/>
      <c r="DD95" s="34"/>
      <c r="DE95" s="34"/>
      <c r="DF95" s="34"/>
      <c r="DG95" s="34"/>
      <c r="DH95" s="34"/>
      <c r="DI95" s="34"/>
      <c r="DJ95" s="34"/>
      <c r="DK95" s="34"/>
      <c r="DL95" s="34"/>
      <c r="DM95" s="34"/>
      <c r="DN95" s="34"/>
      <c r="DO95" s="34"/>
      <c r="DP95" s="34"/>
      <c r="DQ95" s="34"/>
      <c r="DR95" s="34"/>
      <c r="DS95" s="34"/>
      <c r="DT95" s="34"/>
      <c r="DU95" s="34"/>
      <c r="DV95" s="34"/>
      <c r="DW95" s="34"/>
      <c r="DX95" s="34"/>
      <c r="DY95" s="34"/>
      <c r="DZ95" s="34"/>
      <c r="EA95" s="34"/>
    </row>
    <row r="96" spans="1:131">
      <c r="A96" s="34"/>
      <c r="B96" s="34" t="s">
        <v>1010</v>
      </c>
      <c r="C96" s="143">
        <v>6.3589770305152671</v>
      </c>
      <c r="D96" s="143">
        <v>10.559132110674488</v>
      </c>
      <c r="E96" s="143">
        <v>2.1118264221348979</v>
      </c>
      <c r="F96" s="143">
        <v>12.670958532809387</v>
      </c>
      <c r="G96" s="143">
        <v>14.985115775341251</v>
      </c>
      <c r="H96" s="143">
        <v>13.68479506667132</v>
      </c>
      <c r="I96" s="143">
        <v>17455.259897112115</v>
      </c>
      <c r="J96" s="143">
        <v>94.249892730393199</v>
      </c>
      <c r="K96" s="143">
        <v>53.004218139522706</v>
      </c>
      <c r="L96" s="602">
        <v>0.91322584835749665</v>
      </c>
      <c r="M96" s="143">
        <v>6.761485130413647E-2</v>
      </c>
      <c r="N96" s="137">
        <v>0.41713525943273627</v>
      </c>
      <c r="O96" s="137">
        <v>0.3728821356140854</v>
      </c>
      <c r="P96" s="137">
        <v>0.42736306053424922</v>
      </c>
      <c r="Q96" s="137">
        <v>0.37048426386618638</v>
      </c>
      <c r="R96" s="137">
        <v>0.35445602682509358</v>
      </c>
      <c r="S96" s="137">
        <v>0.34689297902934235</v>
      </c>
      <c r="T96" s="137">
        <v>0.29696511226842104</v>
      </c>
      <c r="U96" s="137">
        <v>0.3106783779280804</v>
      </c>
      <c r="V96" s="137">
        <v>0.28933866086717008</v>
      </c>
      <c r="W96" s="137">
        <v>0.34802623800373161</v>
      </c>
      <c r="X96" s="137">
        <v>0.35616792208200149</v>
      </c>
      <c r="Y96" s="137">
        <v>0.41407861617749597</v>
      </c>
      <c r="Z96" s="137"/>
      <c r="AA96" s="137">
        <v>0.2141803238618227</v>
      </c>
      <c r="AB96" s="137">
        <v>0.17940157387225425</v>
      </c>
      <c r="AC96" s="137">
        <v>0.17108265541172385</v>
      </c>
      <c r="AD96" s="137">
        <v>0.17670889744235885</v>
      </c>
      <c r="AE96" s="137">
        <v>0.1763768298412674</v>
      </c>
      <c r="AF96" s="137">
        <v>0.14775649900216309</v>
      </c>
      <c r="AG96" s="137">
        <v>0.16192524023106605</v>
      </c>
      <c r="AH96" s="137">
        <v>0.12828421712189214</v>
      </c>
      <c r="AI96" s="137">
        <v>0.15557470722419561</v>
      </c>
      <c r="AJ96" s="137">
        <v>0.14523964690952681</v>
      </c>
      <c r="AK96" s="137">
        <v>0.18940675805657844</v>
      </c>
      <c r="AL96" s="137">
        <v>0.20857102891182447</v>
      </c>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c r="CN96" s="143"/>
      <c r="CO96" s="143"/>
      <c r="CP96" s="143"/>
      <c r="CQ96" s="143"/>
      <c r="CR96" s="143"/>
      <c r="CS96" s="143"/>
      <c r="CT96" s="143"/>
      <c r="CU96" s="143"/>
      <c r="CV96" s="143"/>
      <c r="CW96" s="143"/>
      <c r="CX96" s="34"/>
      <c r="CY96" s="34"/>
      <c r="CZ96" s="34"/>
      <c r="DA96" s="34"/>
      <c r="DB96" s="34"/>
      <c r="DC96" s="34"/>
      <c r="DD96" s="34"/>
      <c r="DE96" s="34"/>
      <c r="DF96" s="34"/>
      <c r="DG96" s="34"/>
      <c r="DH96" s="34"/>
      <c r="DI96" s="34"/>
      <c r="DJ96" s="34"/>
      <c r="DK96" s="34"/>
      <c r="DL96" s="34"/>
      <c r="DM96" s="34"/>
      <c r="DN96" s="34"/>
      <c r="DO96" s="34"/>
      <c r="DP96" s="34"/>
      <c r="DQ96" s="34"/>
      <c r="DR96" s="34"/>
      <c r="DS96" s="34"/>
      <c r="DT96" s="34"/>
      <c r="DU96" s="34"/>
      <c r="DV96" s="34"/>
      <c r="DW96" s="34"/>
      <c r="DX96" s="34"/>
      <c r="DY96" s="34"/>
      <c r="DZ96" s="34"/>
      <c r="EA96" s="34"/>
    </row>
    <row r="97" spans="1:131">
      <c r="A97" s="34"/>
      <c r="B97" s="34" t="s">
        <v>1013</v>
      </c>
      <c r="C97" s="610">
        <v>0</v>
      </c>
      <c r="D97" s="610">
        <v>0</v>
      </c>
      <c r="E97" s="610">
        <v>0</v>
      </c>
      <c r="F97" s="610">
        <v>0</v>
      </c>
      <c r="G97" s="610">
        <v>0</v>
      </c>
      <c r="H97" s="610">
        <v>0</v>
      </c>
      <c r="I97" s="610">
        <v>0</v>
      </c>
      <c r="J97" s="610">
        <v>0</v>
      </c>
      <c r="K97" s="610">
        <v>0</v>
      </c>
      <c r="L97" s="611">
        <v>0</v>
      </c>
      <c r="M97" s="610">
        <v>0</v>
      </c>
      <c r="N97" s="610">
        <v>0</v>
      </c>
      <c r="O97" s="610">
        <v>0</v>
      </c>
      <c r="P97" s="610">
        <v>0</v>
      </c>
      <c r="Q97" s="610">
        <v>0</v>
      </c>
      <c r="R97" s="610">
        <v>0</v>
      </c>
      <c r="S97" s="610">
        <v>0</v>
      </c>
      <c r="T97" s="610">
        <v>0</v>
      </c>
      <c r="U97" s="610">
        <v>0</v>
      </c>
      <c r="V97" s="610">
        <v>0</v>
      </c>
      <c r="W97" s="610">
        <v>0</v>
      </c>
      <c r="X97" s="610">
        <v>0</v>
      </c>
      <c r="Y97" s="610">
        <v>0</v>
      </c>
      <c r="Z97" s="610"/>
      <c r="AA97" s="610">
        <v>0</v>
      </c>
      <c r="AB97" s="610">
        <v>0</v>
      </c>
      <c r="AC97" s="610">
        <v>0</v>
      </c>
      <c r="AD97" s="610">
        <v>0</v>
      </c>
      <c r="AE97" s="610">
        <v>0</v>
      </c>
      <c r="AF97" s="610">
        <v>0</v>
      </c>
      <c r="AG97" s="610">
        <v>0</v>
      </c>
      <c r="AH97" s="610">
        <v>0</v>
      </c>
      <c r="AI97" s="610">
        <v>0</v>
      </c>
      <c r="AJ97" s="610">
        <v>0</v>
      </c>
      <c r="AK97" s="610">
        <v>0</v>
      </c>
      <c r="AL97" s="610">
        <v>0</v>
      </c>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c r="CN97" s="143"/>
      <c r="CO97" s="143"/>
      <c r="CP97" s="143"/>
      <c r="CQ97" s="143"/>
      <c r="CR97" s="143"/>
      <c r="CS97" s="143"/>
      <c r="CT97" s="143"/>
      <c r="CU97" s="143"/>
      <c r="CV97" s="143"/>
      <c r="CW97" s="143"/>
      <c r="CX97" s="34"/>
      <c r="CY97" s="34"/>
      <c r="CZ97" s="34"/>
      <c r="DA97" s="34"/>
      <c r="DB97" s="34"/>
      <c r="DC97" s="34"/>
      <c r="DD97" s="34"/>
      <c r="DE97" s="34"/>
      <c r="DF97" s="34"/>
      <c r="DG97" s="34"/>
      <c r="DH97" s="34"/>
      <c r="DI97" s="34"/>
      <c r="DJ97" s="34"/>
      <c r="DK97" s="34"/>
      <c r="DL97" s="34"/>
      <c r="DM97" s="34"/>
      <c r="DN97" s="34"/>
      <c r="DO97" s="34"/>
      <c r="DP97" s="34"/>
      <c r="DQ97" s="34"/>
      <c r="DR97" s="34"/>
      <c r="DS97" s="34"/>
      <c r="DT97" s="34"/>
      <c r="DU97" s="34"/>
      <c r="DV97" s="34"/>
      <c r="DW97" s="34"/>
      <c r="DX97" s="34"/>
      <c r="DY97" s="34"/>
      <c r="DZ97" s="34"/>
      <c r="EA97" s="34"/>
    </row>
    <row r="98" spans="1:131">
      <c r="A98" s="34"/>
      <c r="B98" s="34" t="s">
        <v>1016</v>
      </c>
      <c r="C98" s="610">
        <v>0</v>
      </c>
      <c r="D98" s="610">
        <v>0</v>
      </c>
      <c r="E98" s="610">
        <v>0</v>
      </c>
      <c r="F98" s="610">
        <v>0</v>
      </c>
      <c r="G98" s="610">
        <v>0</v>
      </c>
      <c r="H98" s="610">
        <v>0</v>
      </c>
      <c r="I98" s="610">
        <v>0</v>
      </c>
      <c r="J98" s="610">
        <v>0</v>
      </c>
      <c r="K98" s="610">
        <v>0</v>
      </c>
      <c r="L98" s="611">
        <v>0</v>
      </c>
      <c r="M98" s="610">
        <v>0</v>
      </c>
      <c r="N98" s="610">
        <v>0</v>
      </c>
      <c r="O98" s="610">
        <v>0</v>
      </c>
      <c r="P98" s="610">
        <v>0</v>
      </c>
      <c r="Q98" s="610">
        <v>0</v>
      </c>
      <c r="R98" s="610">
        <v>0</v>
      </c>
      <c r="S98" s="610">
        <v>0</v>
      </c>
      <c r="T98" s="610">
        <v>0</v>
      </c>
      <c r="U98" s="610">
        <v>0</v>
      </c>
      <c r="V98" s="610">
        <v>0</v>
      </c>
      <c r="W98" s="610">
        <v>0</v>
      </c>
      <c r="X98" s="610">
        <v>0</v>
      </c>
      <c r="Y98" s="610">
        <v>0</v>
      </c>
      <c r="Z98" s="610"/>
      <c r="AA98" s="610">
        <v>0</v>
      </c>
      <c r="AB98" s="610">
        <v>0</v>
      </c>
      <c r="AC98" s="610">
        <v>0</v>
      </c>
      <c r="AD98" s="610">
        <v>0</v>
      </c>
      <c r="AE98" s="610">
        <v>0</v>
      </c>
      <c r="AF98" s="610">
        <v>0</v>
      </c>
      <c r="AG98" s="610">
        <v>0</v>
      </c>
      <c r="AH98" s="610">
        <v>0</v>
      </c>
      <c r="AI98" s="610">
        <v>0</v>
      </c>
      <c r="AJ98" s="610">
        <v>0</v>
      </c>
      <c r="AK98" s="610">
        <v>0</v>
      </c>
      <c r="AL98" s="610">
        <v>0</v>
      </c>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c r="CN98" s="143"/>
      <c r="CO98" s="143"/>
      <c r="CP98" s="143"/>
      <c r="CQ98" s="143"/>
      <c r="CR98" s="143"/>
      <c r="CS98" s="143"/>
      <c r="CT98" s="143"/>
      <c r="CU98" s="143"/>
      <c r="CV98" s="143"/>
      <c r="CW98" s="143"/>
      <c r="CX98" s="34"/>
      <c r="CY98" s="34"/>
      <c r="CZ98" s="34"/>
      <c r="DA98" s="34"/>
      <c r="DB98" s="34"/>
      <c r="DC98" s="34"/>
      <c r="DD98" s="34"/>
      <c r="DE98" s="34"/>
      <c r="DF98" s="34"/>
      <c r="DG98" s="34"/>
      <c r="DH98" s="34"/>
      <c r="DI98" s="34"/>
      <c r="DJ98" s="34"/>
      <c r="DK98" s="34"/>
      <c r="DL98" s="34"/>
      <c r="DM98" s="34"/>
      <c r="DN98" s="34"/>
      <c r="DO98" s="34"/>
      <c r="DP98" s="34"/>
      <c r="DQ98" s="34"/>
      <c r="DR98" s="34"/>
      <c r="DS98" s="34"/>
      <c r="DT98" s="34"/>
      <c r="DU98" s="34"/>
      <c r="DV98" s="34"/>
      <c r="DW98" s="34"/>
      <c r="DX98" s="34"/>
      <c r="DY98" s="34"/>
      <c r="DZ98" s="34"/>
      <c r="EA98" s="34"/>
    </row>
    <row r="99" spans="1:131">
      <c r="A99" s="34"/>
      <c r="B99" s="34" t="s">
        <v>1019</v>
      </c>
      <c r="C99" s="610">
        <v>0</v>
      </c>
      <c r="D99" s="610">
        <v>0</v>
      </c>
      <c r="E99" s="610">
        <v>0</v>
      </c>
      <c r="F99" s="610">
        <v>0</v>
      </c>
      <c r="G99" s="610">
        <v>0</v>
      </c>
      <c r="H99" s="610">
        <v>0</v>
      </c>
      <c r="I99" s="610">
        <v>0</v>
      </c>
      <c r="J99" s="610">
        <v>0</v>
      </c>
      <c r="K99" s="610">
        <v>0</v>
      </c>
      <c r="L99" s="611">
        <v>0</v>
      </c>
      <c r="M99" s="610">
        <v>0</v>
      </c>
      <c r="N99" s="610">
        <v>0</v>
      </c>
      <c r="O99" s="610">
        <v>0</v>
      </c>
      <c r="P99" s="610">
        <v>0</v>
      </c>
      <c r="Q99" s="610">
        <v>0</v>
      </c>
      <c r="R99" s="610">
        <v>0</v>
      </c>
      <c r="S99" s="610">
        <v>0</v>
      </c>
      <c r="T99" s="610">
        <v>0</v>
      </c>
      <c r="U99" s="610">
        <v>0</v>
      </c>
      <c r="V99" s="610">
        <v>0</v>
      </c>
      <c r="W99" s="610">
        <v>0</v>
      </c>
      <c r="X99" s="610">
        <v>0</v>
      </c>
      <c r="Y99" s="610">
        <v>0</v>
      </c>
      <c r="Z99" s="610"/>
      <c r="AA99" s="610">
        <v>0</v>
      </c>
      <c r="AB99" s="610">
        <v>0</v>
      </c>
      <c r="AC99" s="610">
        <v>0</v>
      </c>
      <c r="AD99" s="610">
        <v>0</v>
      </c>
      <c r="AE99" s="610">
        <v>0</v>
      </c>
      <c r="AF99" s="610">
        <v>0</v>
      </c>
      <c r="AG99" s="610">
        <v>0</v>
      </c>
      <c r="AH99" s="610">
        <v>0</v>
      </c>
      <c r="AI99" s="610">
        <v>0</v>
      </c>
      <c r="AJ99" s="610">
        <v>0</v>
      </c>
      <c r="AK99" s="610">
        <v>0</v>
      </c>
      <c r="AL99" s="610">
        <v>0</v>
      </c>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c r="CN99" s="143"/>
      <c r="CO99" s="143"/>
      <c r="CP99" s="143"/>
      <c r="CQ99" s="143"/>
      <c r="CR99" s="143"/>
      <c r="CS99" s="143"/>
      <c r="CT99" s="143"/>
      <c r="CU99" s="143"/>
      <c r="CV99" s="143"/>
      <c r="CW99" s="143"/>
      <c r="CX99" s="34"/>
      <c r="CY99" s="34"/>
      <c r="CZ99" s="34"/>
      <c r="DA99" s="34"/>
      <c r="DB99" s="34"/>
      <c r="DC99" s="34"/>
      <c r="DD99" s="34"/>
      <c r="DE99" s="34"/>
      <c r="DF99" s="34"/>
      <c r="DG99" s="34"/>
      <c r="DH99" s="34"/>
      <c r="DI99" s="34"/>
      <c r="DJ99" s="34"/>
      <c r="DK99" s="34"/>
      <c r="DL99" s="34"/>
      <c r="DM99" s="34"/>
      <c r="DN99" s="34"/>
      <c r="DO99" s="34"/>
      <c r="DP99" s="34"/>
      <c r="DQ99" s="34"/>
      <c r="DR99" s="34"/>
      <c r="DS99" s="34"/>
      <c r="DT99" s="34"/>
      <c r="DU99" s="34"/>
      <c r="DV99" s="34"/>
      <c r="DW99" s="34"/>
      <c r="DX99" s="34"/>
      <c r="DY99" s="34"/>
      <c r="DZ99" s="34"/>
      <c r="EA99" s="34"/>
    </row>
    <row r="100" spans="1:131">
      <c r="A100" s="34"/>
      <c r="B100" s="34" t="s">
        <v>1022</v>
      </c>
      <c r="C100" s="610">
        <v>0</v>
      </c>
      <c r="D100" s="610">
        <v>0</v>
      </c>
      <c r="E100" s="610">
        <v>0</v>
      </c>
      <c r="F100" s="610">
        <v>0</v>
      </c>
      <c r="G100" s="610">
        <v>0</v>
      </c>
      <c r="H100" s="610">
        <v>0</v>
      </c>
      <c r="I100" s="610">
        <v>0</v>
      </c>
      <c r="J100" s="610">
        <v>0</v>
      </c>
      <c r="K100" s="610">
        <v>0</v>
      </c>
      <c r="L100" s="611">
        <v>0</v>
      </c>
      <c r="M100" s="610">
        <v>0</v>
      </c>
      <c r="N100" s="610">
        <v>0</v>
      </c>
      <c r="O100" s="610">
        <v>0</v>
      </c>
      <c r="P100" s="610">
        <v>0</v>
      </c>
      <c r="Q100" s="610">
        <v>0</v>
      </c>
      <c r="R100" s="610">
        <v>0</v>
      </c>
      <c r="S100" s="610">
        <v>0</v>
      </c>
      <c r="T100" s="610">
        <v>0</v>
      </c>
      <c r="U100" s="610">
        <v>0</v>
      </c>
      <c r="V100" s="610">
        <v>0</v>
      </c>
      <c r="W100" s="610">
        <v>0</v>
      </c>
      <c r="X100" s="610">
        <v>0</v>
      </c>
      <c r="Y100" s="610">
        <v>0</v>
      </c>
      <c r="Z100" s="610"/>
      <c r="AA100" s="610">
        <v>0</v>
      </c>
      <c r="AB100" s="610">
        <v>0</v>
      </c>
      <c r="AC100" s="610">
        <v>0</v>
      </c>
      <c r="AD100" s="610">
        <v>0</v>
      </c>
      <c r="AE100" s="610">
        <v>0</v>
      </c>
      <c r="AF100" s="610">
        <v>0</v>
      </c>
      <c r="AG100" s="610">
        <v>0</v>
      </c>
      <c r="AH100" s="610">
        <v>0</v>
      </c>
      <c r="AI100" s="610">
        <v>0</v>
      </c>
      <c r="AJ100" s="610">
        <v>0</v>
      </c>
      <c r="AK100" s="610">
        <v>0</v>
      </c>
      <c r="AL100" s="610">
        <v>0</v>
      </c>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c r="CN100" s="143"/>
      <c r="CO100" s="143"/>
      <c r="CP100" s="143"/>
      <c r="CQ100" s="143"/>
      <c r="CR100" s="143"/>
      <c r="CS100" s="143"/>
      <c r="CT100" s="143"/>
      <c r="CU100" s="143"/>
      <c r="CV100" s="143"/>
      <c r="CW100" s="143"/>
      <c r="CX100" s="34"/>
      <c r="CY100" s="34"/>
      <c r="CZ100" s="34"/>
      <c r="DA100" s="34"/>
      <c r="DB100" s="34"/>
      <c r="DC100" s="34"/>
      <c r="DD100" s="34"/>
      <c r="DE100" s="34"/>
      <c r="DF100" s="34"/>
      <c r="DG100" s="34"/>
      <c r="DH100" s="34"/>
      <c r="DI100" s="34"/>
      <c r="DJ100" s="34"/>
      <c r="DK100" s="34"/>
      <c r="DL100" s="34"/>
      <c r="DM100" s="34"/>
      <c r="DN100" s="34"/>
      <c r="DO100" s="34"/>
      <c r="DP100" s="34"/>
      <c r="DQ100" s="34"/>
      <c r="DR100" s="34"/>
      <c r="DS100" s="34"/>
      <c r="DT100" s="34"/>
      <c r="DU100" s="34"/>
      <c r="DV100" s="34"/>
      <c r="DW100" s="34"/>
      <c r="DX100" s="34"/>
      <c r="DY100" s="34"/>
      <c r="DZ100" s="34"/>
      <c r="EA100" s="34"/>
    </row>
    <row r="101" spans="1:131">
      <c r="A101" s="34"/>
      <c r="B101" s="34" t="s">
        <v>1025</v>
      </c>
      <c r="C101" s="610">
        <v>0</v>
      </c>
      <c r="D101" s="610">
        <v>0</v>
      </c>
      <c r="E101" s="610">
        <v>0</v>
      </c>
      <c r="F101" s="610">
        <v>0</v>
      </c>
      <c r="G101" s="610">
        <v>0</v>
      </c>
      <c r="H101" s="610">
        <v>0</v>
      </c>
      <c r="I101" s="610">
        <v>0</v>
      </c>
      <c r="J101" s="610">
        <v>0</v>
      </c>
      <c r="K101" s="610">
        <v>0</v>
      </c>
      <c r="L101" s="611">
        <v>0</v>
      </c>
      <c r="M101" s="610">
        <v>0</v>
      </c>
      <c r="N101" s="610">
        <v>0</v>
      </c>
      <c r="O101" s="610">
        <v>0</v>
      </c>
      <c r="P101" s="610">
        <v>0</v>
      </c>
      <c r="Q101" s="610">
        <v>0</v>
      </c>
      <c r="R101" s="610">
        <v>0</v>
      </c>
      <c r="S101" s="610">
        <v>0</v>
      </c>
      <c r="T101" s="610">
        <v>0</v>
      </c>
      <c r="U101" s="610">
        <v>0</v>
      </c>
      <c r="V101" s="610">
        <v>0</v>
      </c>
      <c r="W101" s="610">
        <v>0</v>
      </c>
      <c r="X101" s="610">
        <v>0</v>
      </c>
      <c r="Y101" s="610">
        <v>0</v>
      </c>
      <c r="Z101" s="610"/>
      <c r="AA101" s="610">
        <v>0</v>
      </c>
      <c r="AB101" s="610">
        <v>0</v>
      </c>
      <c r="AC101" s="610">
        <v>0</v>
      </c>
      <c r="AD101" s="610">
        <v>0</v>
      </c>
      <c r="AE101" s="610">
        <v>0</v>
      </c>
      <c r="AF101" s="610">
        <v>0</v>
      </c>
      <c r="AG101" s="610">
        <v>0</v>
      </c>
      <c r="AH101" s="610">
        <v>0</v>
      </c>
      <c r="AI101" s="610">
        <v>0</v>
      </c>
      <c r="AJ101" s="610">
        <v>0</v>
      </c>
      <c r="AK101" s="610">
        <v>0</v>
      </c>
      <c r="AL101" s="610">
        <v>0</v>
      </c>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c r="CN101" s="143"/>
      <c r="CO101" s="143"/>
      <c r="CP101" s="143"/>
      <c r="CQ101" s="143"/>
      <c r="CR101" s="143"/>
      <c r="CS101" s="143"/>
      <c r="CT101" s="143"/>
      <c r="CU101" s="143"/>
      <c r="CV101" s="143"/>
      <c r="CW101" s="143"/>
      <c r="CX101" s="34"/>
      <c r="CY101" s="34"/>
      <c r="CZ101" s="34"/>
      <c r="DA101" s="34"/>
      <c r="DB101" s="34"/>
      <c r="DC101" s="34"/>
      <c r="DD101" s="34"/>
      <c r="DE101" s="34"/>
      <c r="DF101" s="34"/>
      <c r="DG101" s="34"/>
      <c r="DH101" s="34"/>
      <c r="DI101" s="34"/>
      <c r="DJ101" s="34"/>
      <c r="DK101" s="34"/>
      <c r="DL101" s="34"/>
      <c r="DM101" s="34"/>
      <c r="DN101" s="34"/>
      <c r="DO101" s="34"/>
      <c r="DP101" s="34"/>
      <c r="DQ101" s="34"/>
      <c r="DR101" s="34"/>
      <c r="DS101" s="34"/>
      <c r="DT101" s="34"/>
      <c r="DU101" s="34"/>
      <c r="DV101" s="34"/>
      <c r="DW101" s="34"/>
      <c r="DX101" s="34"/>
      <c r="DY101" s="34"/>
      <c r="DZ101" s="34"/>
      <c r="EA101" s="34"/>
    </row>
    <row r="102" spans="1:131">
      <c r="A102" s="34"/>
      <c r="B102" s="34" t="s">
        <v>1028</v>
      </c>
      <c r="C102" s="610">
        <v>0</v>
      </c>
      <c r="D102" s="610">
        <v>0</v>
      </c>
      <c r="E102" s="610">
        <v>0</v>
      </c>
      <c r="F102" s="610">
        <v>0</v>
      </c>
      <c r="G102" s="610">
        <v>0</v>
      </c>
      <c r="H102" s="610">
        <v>0</v>
      </c>
      <c r="I102" s="610">
        <v>0</v>
      </c>
      <c r="J102" s="610">
        <v>0</v>
      </c>
      <c r="K102" s="610">
        <v>0</v>
      </c>
      <c r="L102" s="611">
        <v>0</v>
      </c>
      <c r="M102" s="610">
        <v>0</v>
      </c>
      <c r="N102" s="610">
        <v>0</v>
      </c>
      <c r="O102" s="610">
        <v>0</v>
      </c>
      <c r="P102" s="610">
        <v>0</v>
      </c>
      <c r="Q102" s="610">
        <v>0</v>
      </c>
      <c r="R102" s="610">
        <v>0</v>
      </c>
      <c r="S102" s="610">
        <v>0</v>
      </c>
      <c r="T102" s="610">
        <v>0</v>
      </c>
      <c r="U102" s="610">
        <v>0</v>
      </c>
      <c r="V102" s="610">
        <v>0</v>
      </c>
      <c r="W102" s="610">
        <v>0</v>
      </c>
      <c r="X102" s="610">
        <v>0</v>
      </c>
      <c r="Y102" s="610">
        <v>0</v>
      </c>
      <c r="Z102" s="610"/>
      <c r="AA102" s="610">
        <v>0</v>
      </c>
      <c r="AB102" s="610">
        <v>0</v>
      </c>
      <c r="AC102" s="610">
        <v>0</v>
      </c>
      <c r="AD102" s="610">
        <v>0</v>
      </c>
      <c r="AE102" s="610">
        <v>0</v>
      </c>
      <c r="AF102" s="610">
        <v>0</v>
      </c>
      <c r="AG102" s="610">
        <v>0</v>
      </c>
      <c r="AH102" s="610">
        <v>0</v>
      </c>
      <c r="AI102" s="610">
        <v>0</v>
      </c>
      <c r="AJ102" s="610">
        <v>0</v>
      </c>
      <c r="AK102" s="610">
        <v>0</v>
      </c>
      <c r="AL102" s="610">
        <v>0</v>
      </c>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c r="CN102" s="143"/>
      <c r="CO102" s="143"/>
      <c r="CP102" s="143"/>
      <c r="CQ102" s="143"/>
      <c r="CR102" s="143"/>
      <c r="CS102" s="143"/>
      <c r="CT102" s="143"/>
      <c r="CU102" s="143"/>
      <c r="CV102" s="143"/>
      <c r="CW102" s="143"/>
      <c r="CX102" s="34"/>
      <c r="CY102" s="34"/>
      <c r="CZ102" s="34"/>
      <c r="DA102" s="34"/>
      <c r="DB102" s="34"/>
      <c r="DC102" s="34"/>
      <c r="DD102" s="34"/>
      <c r="DE102" s="34"/>
      <c r="DF102" s="34"/>
      <c r="DG102" s="34"/>
      <c r="DH102" s="34"/>
      <c r="DI102" s="34"/>
      <c r="DJ102" s="34"/>
      <c r="DK102" s="34"/>
      <c r="DL102" s="34"/>
      <c r="DM102" s="34"/>
      <c r="DN102" s="34"/>
      <c r="DO102" s="34"/>
      <c r="DP102" s="34"/>
      <c r="DQ102" s="34"/>
      <c r="DR102" s="34"/>
      <c r="DS102" s="34"/>
      <c r="DT102" s="34"/>
      <c r="DU102" s="34"/>
      <c r="DV102" s="34"/>
      <c r="DW102" s="34"/>
      <c r="DX102" s="34"/>
      <c r="DY102" s="34"/>
      <c r="DZ102" s="34"/>
      <c r="EA102" s="34"/>
    </row>
    <row r="103" spans="1:131">
      <c r="A103" s="34"/>
      <c r="B103" s="34" t="s">
        <v>1031</v>
      </c>
      <c r="C103" s="610">
        <v>0</v>
      </c>
      <c r="D103" s="610">
        <v>0</v>
      </c>
      <c r="E103" s="610">
        <v>0</v>
      </c>
      <c r="F103" s="610">
        <v>0</v>
      </c>
      <c r="G103" s="610">
        <v>0</v>
      </c>
      <c r="H103" s="610">
        <v>0</v>
      </c>
      <c r="I103" s="610">
        <v>0</v>
      </c>
      <c r="J103" s="610">
        <v>0</v>
      </c>
      <c r="K103" s="610">
        <v>0</v>
      </c>
      <c r="L103" s="611">
        <v>0</v>
      </c>
      <c r="M103" s="610">
        <v>0</v>
      </c>
      <c r="N103" s="610">
        <v>0</v>
      </c>
      <c r="O103" s="610">
        <v>0</v>
      </c>
      <c r="P103" s="610">
        <v>0</v>
      </c>
      <c r="Q103" s="610">
        <v>0</v>
      </c>
      <c r="R103" s="610">
        <v>0</v>
      </c>
      <c r="S103" s="610">
        <v>0</v>
      </c>
      <c r="T103" s="610">
        <v>0</v>
      </c>
      <c r="U103" s="610">
        <v>0</v>
      </c>
      <c r="V103" s="610">
        <v>0</v>
      </c>
      <c r="W103" s="610">
        <v>0</v>
      </c>
      <c r="X103" s="610">
        <v>0</v>
      </c>
      <c r="Y103" s="610">
        <v>0</v>
      </c>
      <c r="Z103" s="610"/>
      <c r="AA103" s="610">
        <v>0</v>
      </c>
      <c r="AB103" s="610">
        <v>0</v>
      </c>
      <c r="AC103" s="610">
        <v>0</v>
      </c>
      <c r="AD103" s="610">
        <v>0</v>
      </c>
      <c r="AE103" s="610">
        <v>0</v>
      </c>
      <c r="AF103" s="610">
        <v>0</v>
      </c>
      <c r="AG103" s="610">
        <v>0</v>
      </c>
      <c r="AH103" s="610">
        <v>0</v>
      </c>
      <c r="AI103" s="610">
        <v>0</v>
      </c>
      <c r="AJ103" s="610">
        <v>0</v>
      </c>
      <c r="AK103" s="610">
        <v>0</v>
      </c>
      <c r="AL103" s="610">
        <v>0</v>
      </c>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c r="CN103" s="143"/>
      <c r="CO103" s="143"/>
      <c r="CP103" s="143"/>
      <c r="CQ103" s="143"/>
      <c r="CR103" s="143"/>
      <c r="CS103" s="143"/>
      <c r="CT103" s="143"/>
      <c r="CU103" s="143"/>
      <c r="CV103" s="143"/>
      <c r="CW103" s="143"/>
      <c r="CX103" s="34"/>
      <c r="CY103" s="34"/>
      <c r="CZ103" s="34"/>
      <c r="DA103" s="34"/>
      <c r="DB103" s="34"/>
      <c r="DC103" s="34"/>
      <c r="DD103" s="34"/>
      <c r="DE103" s="34"/>
      <c r="DF103" s="34"/>
      <c r="DG103" s="34"/>
      <c r="DH103" s="34"/>
      <c r="DI103" s="34"/>
      <c r="DJ103" s="34"/>
      <c r="DK103" s="34"/>
      <c r="DL103" s="34"/>
      <c r="DM103" s="34"/>
      <c r="DN103" s="34"/>
      <c r="DO103" s="34"/>
      <c r="DP103" s="34"/>
      <c r="DQ103" s="34"/>
      <c r="DR103" s="34"/>
      <c r="DS103" s="34"/>
      <c r="DT103" s="34"/>
      <c r="DU103" s="34"/>
      <c r="DV103" s="34"/>
      <c r="DW103" s="34"/>
      <c r="DX103" s="34"/>
      <c r="DY103" s="34"/>
      <c r="DZ103" s="34"/>
      <c r="EA103" s="34"/>
    </row>
    <row r="104" spans="1:131">
      <c r="A104" s="34"/>
      <c r="B104" s="34" t="s">
        <v>1034</v>
      </c>
      <c r="C104" s="610">
        <v>0</v>
      </c>
      <c r="D104" s="610">
        <v>0</v>
      </c>
      <c r="E104" s="610">
        <v>0</v>
      </c>
      <c r="F104" s="610">
        <v>0</v>
      </c>
      <c r="G104" s="610">
        <v>0</v>
      </c>
      <c r="H104" s="610">
        <v>0</v>
      </c>
      <c r="I104" s="610">
        <v>0</v>
      </c>
      <c r="J104" s="610">
        <v>0</v>
      </c>
      <c r="K104" s="610">
        <v>0</v>
      </c>
      <c r="L104" s="611">
        <v>0</v>
      </c>
      <c r="M104" s="610">
        <v>0</v>
      </c>
      <c r="N104" s="610">
        <v>0</v>
      </c>
      <c r="O104" s="610">
        <v>0</v>
      </c>
      <c r="P104" s="610">
        <v>0</v>
      </c>
      <c r="Q104" s="610">
        <v>0</v>
      </c>
      <c r="R104" s="610">
        <v>0</v>
      </c>
      <c r="S104" s="610">
        <v>0</v>
      </c>
      <c r="T104" s="610">
        <v>0</v>
      </c>
      <c r="U104" s="610">
        <v>0</v>
      </c>
      <c r="V104" s="610">
        <v>0</v>
      </c>
      <c r="W104" s="610">
        <v>0</v>
      </c>
      <c r="X104" s="610">
        <v>0</v>
      </c>
      <c r="Y104" s="610">
        <v>0</v>
      </c>
      <c r="Z104" s="610"/>
      <c r="AA104" s="610">
        <v>0</v>
      </c>
      <c r="AB104" s="610">
        <v>0</v>
      </c>
      <c r="AC104" s="610">
        <v>0</v>
      </c>
      <c r="AD104" s="610">
        <v>0</v>
      </c>
      <c r="AE104" s="610">
        <v>0</v>
      </c>
      <c r="AF104" s="610">
        <v>0</v>
      </c>
      <c r="AG104" s="610">
        <v>0</v>
      </c>
      <c r="AH104" s="610">
        <v>0</v>
      </c>
      <c r="AI104" s="610">
        <v>0</v>
      </c>
      <c r="AJ104" s="610">
        <v>0</v>
      </c>
      <c r="AK104" s="610">
        <v>0</v>
      </c>
      <c r="AL104" s="610">
        <v>0</v>
      </c>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c r="CN104" s="143"/>
      <c r="CO104" s="143"/>
      <c r="CP104" s="143"/>
      <c r="CQ104" s="143"/>
      <c r="CR104" s="143"/>
      <c r="CS104" s="143"/>
      <c r="CT104" s="143"/>
      <c r="CU104" s="143"/>
      <c r="CV104" s="143"/>
      <c r="CW104" s="143"/>
      <c r="CX104" s="34"/>
      <c r="CY104" s="34"/>
      <c r="CZ104" s="34"/>
      <c r="DA104" s="34"/>
      <c r="DB104" s="34"/>
      <c r="DC104" s="34"/>
      <c r="DD104" s="34"/>
      <c r="DE104" s="34"/>
      <c r="DF104" s="34"/>
      <c r="DG104" s="34"/>
      <c r="DH104" s="34"/>
      <c r="DI104" s="34"/>
      <c r="DJ104" s="34"/>
      <c r="DK104" s="34"/>
      <c r="DL104" s="34"/>
      <c r="DM104" s="34"/>
      <c r="DN104" s="34"/>
      <c r="DO104" s="34"/>
      <c r="DP104" s="34"/>
      <c r="DQ104" s="34"/>
      <c r="DR104" s="34"/>
      <c r="DS104" s="34"/>
      <c r="DT104" s="34"/>
      <c r="DU104" s="34"/>
      <c r="DV104" s="34"/>
      <c r="DW104" s="34"/>
      <c r="DX104" s="34"/>
      <c r="DY104" s="34"/>
      <c r="DZ104" s="34"/>
      <c r="EA104" s="34"/>
    </row>
    <row r="105" spans="1:131">
      <c r="A105" s="34"/>
      <c r="B105" s="34" t="s">
        <v>1037</v>
      </c>
      <c r="C105" s="143">
        <v>0.99353523063608473</v>
      </c>
      <c r="D105" s="143">
        <v>5.2795660553372441</v>
      </c>
      <c r="E105" s="143">
        <v>1.055913211067449</v>
      </c>
      <c r="F105" s="143">
        <v>6.3354792664046933</v>
      </c>
      <c r="G105" s="143">
        <v>7.4925578876706256</v>
      </c>
      <c r="H105" s="143">
        <v>6.0681369298868013</v>
      </c>
      <c r="I105" s="143">
        <v>55859.91987236675</v>
      </c>
      <c r="J105" s="143">
        <v>325.79087958848862</v>
      </c>
      <c r="K105" s="143">
        <v>143.37488910178871</v>
      </c>
      <c r="L105" s="602">
        <v>0.80988856153813915</v>
      </c>
      <c r="M105" s="143">
        <v>2.3976485519036032E-2</v>
      </c>
      <c r="N105" s="137">
        <v>6.4032534945412126E-2</v>
      </c>
      <c r="O105" s="137">
        <v>5.6961936685582151E-2</v>
      </c>
      <c r="P105" s="137">
        <v>6.4731073407484283E-2</v>
      </c>
      <c r="Q105" s="137">
        <v>5.6064232247274463E-2</v>
      </c>
      <c r="R105" s="137">
        <v>5.4014912512717041E-2</v>
      </c>
      <c r="S105" s="137">
        <v>5.3316101206301938E-2</v>
      </c>
      <c r="T105" s="137">
        <v>4.6812091477255471E-2</v>
      </c>
      <c r="U105" s="137">
        <v>4.9013036230719925E-2</v>
      </c>
      <c r="V105" s="137">
        <v>4.491989330491214E-2</v>
      </c>
      <c r="W105" s="137">
        <v>5.3583695469997798E-2</v>
      </c>
      <c r="X105" s="137">
        <v>5.46485054494689E-2</v>
      </c>
      <c r="Y105" s="137">
        <v>6.3523567655016808E-2</v>
      </c>
      <c r="Z105" s="137"/>
      <c r="AA105" s="137">
        <v>3.456486848983864E-2</v>
      </c>
      <c r="AB105" s="137">
        <v>2.8951966636023983E-2</v>
      </c>
      <c r="AC105" s="137">
        <v>2.7541101444214944E-2</v>
      </c>
      <c r="AD105" s="137">
        <v>2.8020508964030764E-2</v>
      </c>
      <c r="AE105" s="137">
        <v>2.789691412691751E-2</v>
      </c>
      <c r="AF105" s="137">
        <v>2.388979379341177E-2</v>
      </c>
      <c r="AG105" s="137">
        <v>2.6608091002620692E-2</v>
      </c>
      <c r="AH105" s="137">
        <v>2.1467989836496552E-2</v>
      </c>
      <c r="AI105" s="137">
        <v>2.5211135632580643E-2</v>
      </c>
      <c r="AJ105" s="137">
        <v>2.3568104170736227E-2</v>
      </c>
      <c r="AK105" s="137">
        <v>3.0465342000759787E-2</v>
      </c>
      <c r="AL105" s="137">
        <v>3.3727833946310182E-2</v>
      </c>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c r="CN105" s="143"/>
      <c r="CO105" s="143"/>
      <c r="CP105" s="143"/>
      <c r="CQ105" s="143"/>
      <c r="CR105" s="143"/>
      <c r="CS105" s="143"/>
      <c r="CT105" s="143"/>
      <c r="CU105" s="143"/>
      <c r="CV105" s="143"/>
      <c r="CW105" s="143"/>
      <c r="CX105" s="34"/>
      <c r="CY105" s="34"/>
      <c r="CZ105" s="34"/>
      <c r="DA105" s="34"/>
      <c r="DB105" s="34"/>
      <c r="DC105" s="34"/>
      <c r="DD105" s="34"/>
      <c r="DE105" s="34"/>
      <c r="DF105" s="34"/>
      <c r="DG105" s="34"/>
      <c r="DH105" s="34"/>
      <c r="DI105" s="34"/>
      <c r="DJ105" s="34"/>
      <c r="DK105" s="34"/>
      <c r="DL105" s="34"/>
      <c r="DM105" s="34"/>
      <c r="DN105" s="34"/>
      <c r="DO105" s="34"/>
      <c r="DP105" s="34"/>
      <c r="DQ105" s="34"/>
      <c r="DR105" s="34"/>
      <c r="DS105" s="34"/>
      <c r="DT105" s="34"/>
      <c r="DU105" s="34"/>
      <c r="DV105" s="34"/>
      <c r="DW105" s="34"/>
      <c r="DX105" s="34"/>
      <c r="DY105" s="34"/>
      <c r="DZ105" s="34"/>
      <c r="EA105" s="34"/>
    </row>
    <row r="106" spans="1:131">
      <c r="A106" s="34"/>
      <c r="B106" s="34" t="s">
        <v>1040</v>
      </c>
      <c r="C106" s="610">
        <v>0</v>
      </c>
      <c r="D106" s="610">
        <v>0</v>
      </c>
      <c r="E106" s="610">
        <v>0</v>
      </c>
      <c r="F106" s="610">
        <v>0</v>
      </c>
      <c r="G106" s="610">
        <v>0</v>
      </c>
      <c r="H106" s="610">
        <v>0</v>
      </c>
      <c r="I106" s="610">
        <v>0</v>
      </c>
      <c r="J106" s="610">
        <v>0</v>
      </c>
      <c r="K106" s="610">
        <v>0</v>
      </c>
      <c r="L106" s="611">
        <v>0</v>
      </c>
      <c r="M106" s="610">
        <v>0</v>
      </c>
      <c r="N106" s="610">
        <v>0</v>
      </c>
      <c r="O106" s="610">
        <v>0</v>
      </c>
      <c r="P106" s="610">
        <v>0</v>
      </c>
      <c r="Q106" s="610">
        <v>0</v>
      </c>
      <c r="R106" s="610">
        <v>0</v>
      </c>
      <c r="S106" s="610">
        <v>0</v>
      </c>
      <c r="T106" s="610">
        <v>0</v>
      </c>
      <c r="U106" s="610">
        <v>0</v>
      </c>
      <c r="V106" s="610">
        <v>0</v>
      </c>
      <c r="W106" s="610">
        <v>0</v>
      </c>
      <c r="X106" s="610">
        <v>0</v>
      </c>
      <c r="Y106" s="610">
        <v>0</v>
      </c>
      <c r="Z106" s="610"/>
      <c r="AA106" s="610">
        <v>0</v>
      </c>
      <c r="AB106" s="610">
        <v>0</v>
      </c>
      <c r="AC106" s="610">
        <v>0</v>
      </c>
      <c r="AD106" s="610">
        <v>0</v>
      </c>
      <c r="AE106" s="610">
        <v>0</v>
      </c>
      <c r="AF106" s="610">
        <v>0</v>
      </c>
      <c r="AG106" s="610">
        <v>0</v>
      </c>
      <c r="AH106" s="610">
        <v>0</v>
      </c>
      <c r="AI106" s="610">
        <v>0</v>
      </c>
      <c r="AJ106" s="610">
        <v>0</v>
      </c>
      <c r="AK106" s="610">
        <v>0</v>
      </c>
      <c r="AL106" s="610">
        <v>0</v>
      </c>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c r="CN106" s="143"/>
      <c r="CO106" s="143"/>
      <c r="CP106" s="143"/>
      <c r="CQ106" s="143"/>
      <c r="CR106" s="143"/>
      <c r="CS106" s="143"/>
      <c r="CT106" s="143"/>
      <c r="CU106" s="143"/>
      <c r="CV106" s="143"/>
      <c r="CW106" s="143"/>
      <c r="CX106" s="34"/>
      <c r="CY106" s="34"/>
      <c r="CZ106" s="34"/>
      <c r="DA106" s="34"/>
      <c r="DB106" s="34"/>
      <c r="DC106" s="34"/>
      <c r="DD106" s="34"/>
      <c r="DE106" s="34"/>
      <c r="DF106" s="34"/>
      <c r="DG106" s="34"/>
      <c r="DH106" s="34"/>
      <c r="DI106" s="34"/>
      <c r="DJ106" s="34"/>
      <c r="DK106" s="34"/>
      <c r="DL106" s="34"/>
      <c r="DM106" s="34"/>
      <c r="DN106" s="34"/>
      <c r="DO106" s="34"/>
      <c r="DP106" s="34"/>
      <c r="DQ106" s="34"/>
      <c r="DR106" s="34"/>
      <c r="DS106" s="34"/>
      <c r="DT106" s="34"/>
      <c r="DU106" s="34"/>
      <c r="DV106" s="34"/>
      <c r="DW106" s="34"/>
      <c r="DX106" s="34"/>
      <c r="DY106" s="34"/>
      <c r="DZ106" s="34"/>
      <c r="EA106" s="34"/>
    </row>
    <row r="107" spans="1:131">
      <c r="A107" s="34"/>
      <c r="B107" s="34" t="s">
        <v>1043</v>
      </c>
      <c r="C107" s="610">
        <v>0</v>
      </c>
      <c r="D107" s="610">
        <v>0</v>
      </c>
      <c r="E107" s="610">
        <v>0</v>
      </c>
      <c r="F107" s="610">
        <v>0</v>
      </c>
      <c r="G107" s="610">
        <v>0</v>
      </c>
      <c r="H107" s="610">
        <v>0</v>
      </c>
      <c r="I107" s="610">
        <v>0</v>
      </c>
      <c r="J107" s="610">
        <v>0</v>
      </c>
      <c r="K107" s="610">
        <v>0</v>
      </c>
      <c r="L107" s="611">
        <v>0</v>
      </c>
      <c r="M107" s="610">
        <v>0</v>
      </c>
      <c r="N107" s="610">
        <v>0</v>
      </c>
      <c r="O107" s="610">
        <v>0</v>
      </c>
      <c r="P107" s="610">
        <v>0</v>
      </c>
      <c r="Q107" s="610">
        <v>0</v>
      </c>
      <c r="R107" s="610">
        <v>0</v>
      </c>
      <c r="S107" s="610">
        <v>0</v>
      </c>
      <c r="T107" s="610">
        <v>0</v>
      </c>
      <c r="U107" s="610">
        <v>0</v>
      </c>
      <c r="V107" s="610">
        <v>0</v>
      </c>
      <c r="W107" s="610">
        <v>0</v>
      </c>
      <c r="X107" s="610">
        <v>0</v>
      </c>
      <c r="Y107" s="610">
        <v>0</v>
      </c>
      <c r="Z107" s="610"/>
      <c r="AA107" s="610">
        <v>0</v>
      </c>
      <c r="AB107" s="610">
        <v>0</v>
      </c>
      <c r="AC107" s="610">
        <v>0</v>
      </c>
      <c r="AD107" s="610">
        <v>0</v>
      </c>
      <c r="AE107" s="610">
        <v>0</v>
      </c>
      <c r="AF107" s="610">
        <v>0</v>
      </c>
      <c r="AG107" s="610">
        <v>0</v>
      </c>
      <c r="AH107" s="610">
        <v>0</v>
      </c>
      <c r="AI107" s="610">
        <v>0</v>
      </c>
      <c r="AJ107" s="610">
        <v>0</v>
      </c>
      <c r="AK107" s="610">
        <v>0</v>
      </c>
      <c r="AL107" s="610">
        <v>0</v>
      </c>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c r="CN107" s="143"/>
      <c r="CO107" s="143"/>
      <c r="CP107" s="143"/>
      <c r="CQ107" s="143"/>
      <c r="CR107" s="143"/>
      <c r="CS107" s="143"/>
      <c r="CT107" s="143"/>
      <c r="CU107" s="143"/>
      <c r="CV107" s="143"/>
      <c r="CW107" s="143"/>
      <c r="CX107" s="34"/>
      <c r="CY107" s="34"/>
      <c r="CZ107" s="34"/>
      <c r="DA107" s="34"/>
      <c r="DB107" s="34"/>
      <c r="DC107" s="34"/>
      <c r="DD107" s="34"/>
      <c r="DE107" s="34"/>
      <c r="DF107" s="34"/>
      <c r="DG107" s="34"/>
      <c r="DH107" s="34"/>
      <c r="DI107" s="34"/>
      <c r="DJ107" s="34"/>
      <c r="DK107" s="34"/>
      <c r="DL107" s="34"/>
      <c r="DM107" s="34"/>
      <c r="DN107" s="34"/>
      <c r="DO107" s="34"/>
      <c r="DP107" s="34"/>
      <c r="DQ107" s="34"/>
      <c r="DR107" s="34"/>
      <c r="DS107" s="34"/>
      <c r="DT107" s="34"/>
      <c r="DU107" s="34"/>
      <c r="DV107" s="34"/>
      <c r="DW107" s="34"/>
      <c r="DX107" s="34"/>
      <c r="DY107" s="34"/>
      <c r="DZ107" s="34"/>
      <c r="EA107" s="34"/>
    </row>
    <row r="108" spans="1:131">
      <c r="A108" s="34"/>
      <c r="B108" s="34" t="s">
        <v>1046</v>
      </c>
      <c r="C108" s="610">
        <v>0</v>
      </c>
      <c r="D108" s="610">
        <v>0</v>
      </c>
      <c r="E108" s="610">
        <v>0</v>
      </c>
      <c r="F108" s="610">
        <v>0</v>
      </c>
      <c r="G108" s="610">
        <v>0</v>
      </c>
      <c r="H108" s="610">
        <v>0</v>
      </c>
      <c r="I108" s="610">
        <v>0</v>
      </c>
      <c r="J108" s="610">
        <v>0</v>
      </c>
      <c r="K108" s="610">
        <v>0</v>
      </c>
      <c r="L108" s="611">
        <v>0</v>
      </c>
      <c r="M108" s="610">
        <v>0</v>
      </c>
      <c r="N108" s="610">
        <v>0</v>
      </c>
      <c r="O108" s="610">
        <v>0</v>
      </c>
      <c r="P108" s="610">
        <v>0</v>
      </c>
      <c r="Q108" s="610">
        <v>0</v>
      </c>
      <c r="R108" s="610">
        <v>0</v>
      </c>
      <c r="S108" s="610">
        <v>0</v>
      </c>
      <c r="T108" s="610">
        <v>0</v>
      </c>
      <c r="U108" s="610">
        <v>0</v>
      </c>
      <c r="V108" s="610">
        <v>0</v>
      </c>
      <c r="W108" s="610">
        <v>0</v>
      </c>
      <c r="X108" s="610">
        <v>0</v>
      </c>
      <c r="Y108" s="610">
        <v>0</v>
      </c>
      <c r="Z108" s="610"/>
      <c r="AA108" s="610">
        <v>0</v>
      </c>
      <c r="AB108" s="610">
        <v>0</v>
      </c>
      <c r="AC108" s="610">
        <v>0</v>
      </c>
      <c r="AD108" s="610">
        <v>0</v>
      </c>
      <c r="AE108" s="610">
        <v>0</v>
      </c>
      <c r="AF108" s="610">
        <v>0</v>
      </c>
      <c r="AG108" s="610">
        <v>0</v>
      </c>
      <c r="AH108" s="610">
        <v>0</v>
      </c>
      <c r="AI108" s="610">
        <v>0</v>
      </c>
      <c r="AJ108" s="610">
        <v>0</v>
      </c>
      <c r="AK108" s="610">
        <v>0</v>
      </c>
      <c r="AL108" s="610">
        <v>0</v>
      </c>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c r="CN108" s="143"/>
      <c r="CO108" s="143"/>
      <c r="CP108" s="143"/>
      <c r="CQ108" s="143"/>
      <c r="CR108" s="143"/>
      <c r="CS108" s="143"/>
      <c r="CT108" s="143"/>
      <c r="CU108" s="143"/>
      <c r="CV108" s="143"/>
      <c r="CW108" s="143"/>
      <c r="CX108" s="34"/>
      <c r="CY108" s="34"/>
      <c r="CZ108" s="34"/>
      <c r="DA108" s="34"/>
      <c r="DB108" s="34"/>
      <c r="DC108" s="34"/>
      <c r="DD108" s="34"/>
      <c r="DE108" s="34"/>
      <c r="DF108" s="34"/>
      <c r="DG108" s="34"/>
      <c r="DH108" s="34"/>
      <c r="DI108" s="34"/>
      <c r="DJ108" s="34"/>
      <c r="DK108" s="34"/>
      <c r="DL108" s="34"/>
      <c r="DM108" s="34"/>
      <c r="DN108" s="34"/>
      <c r="DO108" s="34"/>
      <c r="DP108" s="34"/>
      <c r="DQ108" s="34"/>
      <c r="DR108" s="34"/>
      <c r="DS108" s="34"/>
      <c r="DT108" s="34"/>
      <c r="DU108" s="34"/>
      <c r="DV108" s="34"/>
      <c r="DW108" s="34"/>
      <c r="DX108" s="34"/>
      <c r="DY108" s="34"/>
      <c r="DZ108" s="34"/>
      <c r="EA108" s="34"/>
    </row>
    <row r="109" spans="1:131">
      <c r="A109" s="34"/>
      <c r="B109" s="34" t="s">
        <v>1049</v>
      </c>
      <c r="C109" s="610">
        <v>0</v>
      </c>
      <c r="D109" s="610">
        <v>0</v>
      </c>
      <c r="E109" s="610">
        <v>0</v>
      </c>
      <c r="F109" s="610">
        <v>0</v>
      </c>
      <c r="G109" s="610">
        <v>0</v>
      </c>
      <c r="H109" s="610">
        <v>0</v>
      </c>
      <c r="I109" s="610">
        <v>0</v>
      </c>
      <c r="J109" s="610">
        <v>0</v>
      </c>
      <c r="K109" s="610">
        <v>0</v>
      </c>
      <c r="L109" s="611">
        <v>0</v>
      </c>
      <c r="M109" s="610">
        <v>0</v>
      </c>
      <c r="N109" s="610">
        <v>0</v>
      </c>
      <c r="O109" s="610">
        <v>0</v>
      </c>
      <c r="P109" s="610">
        <v>0</v>
      </c>
      <c r="Q109" s="610">
        <v>0</v>
      </c>
      <c r="R109" s="610">
        <v>0</v>
      </c>
      <c r="S109" s="610">
        <v>0</v>
      </c>
      <c r="T109" s="610">
        <v>0</v>
      </c>
      <c r="U109" s="610">
        <v>0</v>
      </c>
      <c r="V109" s="610">
        <v>0</v>
      </c>
      <c r="W109" s="610">
        <v>0</v>
      </c>
      <c r="X109" s="610">
        <v>0</v>
      </c>
      <c r="Y109" s="610">
        <v>0</v>
      </c>
      <c r="Z109" s="610"/>
      <c r="AA109" s="610">
        <v>0</v>
      </c>
      <c r="AB109" s="610">
        <v>0</v>
      </c>
      <c r="AC109" s="610">
        <v>0</v>
      </c>
      <c r="AD109" s="610">
        <v>0</v>
      </c>
      <c r="AE109" s="610">
        <v>0</v>
      </c>
      <c r="AF109" s="610">
        <v>0</v>
      </c>
      <c r="AG109" s="610">
        <v>0</v>
      </c>
      <c r="AH109" s="610">
        <v>0</v>
      </c>
      <c r="AI109" s="610">
        <v>0</v>
      </c>
      <c r="AJ109" s="610">
        <v>0</v>
      </c>
      <c r="AK109" s="610">
        <v>0</v>
      </c>
      <c r="AL109" s="610">
        <v>0</v>
      </c>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c r="CN109" s="143"/>
      <c r="CO109" s="143"/>
      <c r="CP109" s="143"/>
      <c r="CQ109" s="143"/>
      <c r="CR109" s="143"/>
      <c r="CS109" s="143"/>
      <c r="CT109" s="143"/>
      <c r="CU109" s="143"/>
      <c r="CV109" s="143"/>
      <c r="CW109" s="143"/>
      <c r="CX109" s="34"/>
      <c r="CY109" s="34"/>
      <c r="CZ109" s="34"/>
      <c r="DA109" s="34"/>
      <c r="DB109" s="34"/>
      <c r="DC109" s="34"/>
      <c r="DD109" s="34"/>
      <c r="DE109" s="34"/>
      <c r="DF109" s="34"/>
      <c r="DG109" s="34"/>
      <c r="DH109" s="34"/>
      <c r="DI109" s="34"/>
      <c r="DJ109" s="34"/>
      <c r="DK109" s="34"/>
      <c r="DL109" s="34"/>
      <c r="DM109" s="34"/>
      <c r="DN109" s="34"/>
      <c r="DO109" s="34"/>
      <c r="DP109" s="34"/>
      <c r="DQ109" s="34"/>
      <c r="DR109" s="34"/>
      <c r="DS109" s="34"/>
      <c r="DT109" s="34"/>
      <c r="DU109" s="34"/>
      <c r="DV109" s="34"/>
      <c r="DW109" s="34"/>
      <c r="DX109" s="34"/>
      <c r="DY109" s="34"/>
      <c r="DZ109" s="34"/>
      <c r="EA109" s="34"/>
    </row>
    <row r="110" spans="1:131">
      <c r="A110" s="34"/>
      <c r="B110" s="34" t="s">
        <v>1052</v>
      </c>
      <c r="C110" s="610">
        <v>0</v>
      </c>
      <c r="D110" s="610">
        <v>0</v>
      </c>
      <c r="E110" s="610">
        <v>0</v>
      </c>
      <c r="F110" s="610">
        <v>0</v>
      </c>
      <c r="G110" s="610">
        <v>0</v>
      </c>
      <c r="H110" s="610">
        <v>0</v>
      </c>
      <c r="I110" s="610">
        <v>0</v>
      </c>
      <c r="J110" s="610">
        <v>0</v>
      </c>
      <c r="K110" s="610">
        <v>0</v>
      </c>
      <c r="L110" s="611">
        <v>0</v>
      </c>
      <c r="M110" s="610">
        <v>0</v>
      </c>
      <c r="N110" s="610">
        <v>0</v>
      </c>
      <c r="O110" s="610">
        <v>0</v>
      </c>
      <c r="P110" s="610">
        <v>0</v>
      </c>
      <c r="Q110" s="610">
        <v>0</v>
      </c>
      <c r="R110" s="610">
        <v>0</v>
      </c>
      <c r="S110" s="610">
        <v>0</v>
      </c>
      <c r="T110" s="610">
        <v>0</v>
      </c>
      <c r="U110" s="610">
        <v>0</v>
      </c>
      <c r="V110" s="610">
        <v>0</v>
      </c>
      <c r="W110" s="610">
        <v>0</v>
      </c>
      <c r="X110" s="610">
        <v>0</v>
      </c>
      <c r="Y110" s="610">
        <v>0</v>
      </c>
      <c r="Z110" s="610"/>
      <c r="AA110" s="610">
        <v>0</v>
      </c>
      <c r="AB110" s="610">
        <v>0</v>
      </c>
      <c r="AC110" s="610">
        <v>0</v>
      </c>
      <c r="AD110" s="610">
        <v>0</v>
      </c>
      <c r="AE110" s="610">
        <v>0</v>
      </c>
      <c r="AF110" s="610">
        <v>0</v>
      </c>
      <c r="AG110" s="610">
        <v>0</v>
      </c>
      <c r="AH110" s="610">
        <v>0</v>
      </c>
      <c r="AI110" s="610">
        <v>0</v>
      </c>
      <c r="AJ110" s="610">
        <v>0</v>
      </c>
      <c r="AK110" s="610">
        <v>0</v>
      </c>
      <c r="AL110" s="610">
        <v>0</v>
      </c>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c r="CN110" s="143"/>
      <c r="CO110" s="143"/>
      <c r="CP110" s="143"/>
      <c r="CQ110" s="143"/>
      <c r="CR110" s="143"/>
      <c r="CS110" s="143"/>
      <c r="CT110" s="143"/>
      <c r="CU110" s="143"/>
      <c r="CV110" s="143"/>
      <c r="CW110" s="143"/>
      <c r="CX110" s="34"/>
      <c r="CY110" s="34"/>
      <c r="CZ110" s="34"/>
      <c r="DA110" s="34"/>
      <c r="DB110" s="34"/>
      <c r="DC110" s="34"/>
      <c r="DD110" s="34"/>
      <c r="DE110" s="34"/>
      <c r="DF110" s="34"/>
      <c r="DG110" s="34"/>
      <c r="DH110" s="34"/>
      <c r="DI110" s="34"/>
      <c r="DJ110" s="34"/>
      <c r="DK110" s="34"/>
      <c r="DL110" s="34"/>
      <c r="DM110" s="34"/>
      <c r="DN110" s="34"/>
      <c r="DO110" s="34"/>
      <c r="DP110" s="34"/>
      <c r="DQ110" s="34"/>
      <c r="DR110" s="34"/>
      <c r="DS110" s="34"/>
      <c r="DT110" s="34"/>
      <c r="DU110" s="34"/>
      <c r="DV110" s="34"/>
      <c r="DW110" s="34"/>
      <c r="DX110" s="34"/>
      <c r="DY110" s="34"/>
      <c r="DZ110" s="34"/>
      <c r="EA110" s="34"/>
    </row>
    <row r="111" spans="1:131">
      <c r="A111" s="34"/>
      <c r="B111" s="34" t="s">
        <v>1055</v>
      </c>
      <c r="C111" s="610">
        <v>0</v>
      </c>
      <c r="D111" s="610">
        <v>0</v>
      </c>
      <c r="E111" s="610">
        <v>0</v>
      </c>
      <c r="F111" s="610">
        <v>0</v>
      </c>
      <c r="G111" s="610">
        <v>0</v>
      </c>
      <c r="H111" s="610">
        <v>0</v>
      </c>
      <c r="I111" s="610">
        <v>0</v>
      </c>
      <c r="J111" s="610">
        <v>0</v>
      </c>
      <c r="K111" s="610">
        <v>0</v>
      </c>
      <c r="L111" s="611">
        <v>0</v>
      </c>
      <c r="M111" s="610">
        <v>0</v>
      </c>
      <c r="N111" s="610">
        <v>0</v>
      </c>
      <c r="O111" s="610">
        <v>0</v>
      </c>
      <c r="P111" s="610">
        <v>0</v>
      </c>
      <c r="Q111" s="610">
        <v>0</v>
      </c>
      <c r="R111" s="610">
        <v>0</v>
      </c>
      <c r="S111" s="610">
        <v>0</v>
      </c>
      <c r="T111" s="610">
        <v>0</v>
      </c>
      <c r="U111" s="610">
        <v>0</v>
      </c>
      <c r="V111" s="610">
        <v>0</v>
      </c>
      <c r="W111" s="610">
        <v>0</v>
      </c>
      <c r="X111" s="610">
        <v>0</v>
      </c>
      <c r="Y111" s="610">
        <v>0</v>
      </c>
      <c r="Z111" s="610"/>
      <c r="AA111" s="610">
        <v>0</v>
      </c>
      <c r="AB111" s="610">
        <v>0</v>
      </c>
      <c r="AC111" s="610">
        <v>0</v>
      </c>
      <c r="AD111" s="610">
        <v>0</v>
      </c>
      <c r="AE111" s="610">
        <v>0</v>
      </c>
      <c r="AF111" s="610">
        <v>0</v>
      </c>
      <c r="AG111" s="610">
        <v>0</v>
      </c>
      <c r="AH111" s="610">
        <v>0</v>
      </c>
      <c r="AI111" s="610">
        <v>0</v>
      </c>
      <c r="AJ111" s="610">
        <v>0</v>
      </c>
      <c r="AK111" s="610">
        <v>0</v>
      </c>
      <c r="AL111" s="610">
        <v>0</v>
      </c>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c r="CN111" s="143"/>
      <c r="CO111" s="143"/>
      <c r="CP111" s="143"/>
      <c r="CQ111" s="143"/>
      <c r="CR111" s="143"/>
      <c r="CS111" s="143"/>
      <c r="CT111" s="143"/>
      <c r="CU111" s="143"/>
      <c r="CV111" s="143"/>
      <c r="CW111" s="143"/>
      <c r="CX111" s="34"/>
      <c r="CY111" s="34"/>
      <c r="CZ111" s="34"/>
      <c r="DA111" s="34"/>
      <c r="DB111" s="34"/>
      <c r="DC111" s="34"/>
      <c r="DD111" s="34"/>
      <c r="DE111" s="34"/>
      <c r="DF111" s="34"/>
      <c r="DG111" s="34"/>
      <c r="DH111" s="34"/>
      <c r="DI111" s="34"/>
      <c r="DJ111" s="34"/>
      <c r="DK111" s="34"/>
      <c r="DL111" s="34"/>
      <c r="DM111" s="34"/>
      <c r="DN111" s="34"/>
      <c r="DO111" s="34"/>
      <c r="DP111" s="34"/>
      <c r="DQ111" s="34"/>
      <c r="DR111" s="34"/>
      <c r="DS111" s="34"/>
      <c r="DT111" s="34"/>
      <c r="DU111" s="34"/>
      <c r="DV111" s="34"/>
      <c r="DW111" s="34"/>
      <c r="DX111" s="34"/>
      <c r="DY111" s="34"/>
      <c r="DZ111" s="34"/>
      <c r="EA111" s="34"/>
    </row>
    <row r="112" spans="1:131">
      <c r="A112" s="34"/>
      <c r="B112" s="34"/>
      <c r="C112" s="143"/>
      <c r="D112" s="143"/>
      <c r="E112" s="143"/>
      <c r="F112" s="143"/>
      <c r="G112" s="143"/>
      <c r="H112" s="143"/>
      <c r="I112" s="143"/>
      <c r="J112" s="143"/>
      <c r="K112" s="143"/>
      <c r="L112" s="143"/>
      <c r="M112" s="143"/>
      <c r="N112" s="143"/>
      <c r="O112" s="143"/>
      <c r="P112" s="143"/>
      <c r="Q112" s="143"/>
      <c r="R112" s="143"/>
      <c r="S112" s="143"/>
      <c r="T112" s="143"/>
      <c r="U112" s="143"/>
      <c r="V112" s="143"/>
      <c r="W112" s="143"/>
      <c r="X112" s="143"/>
      <c r="Y112" s="143"/>
      <c r="Z112" s="143"/>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c r="CN112" s="143"/>
      <c r="CO112" s="143"/>
      <c r="CP112" s="143"/>
      <c r="CQ112" s="143"/>
      <c r="CR112" s="143"/>
      <c r="CS112" s="143"/>
      <c r="CT112" s="143"/>
      <c r="CU112" s="143"/>
      <c r="CV112" s="143"/>
      <c r="CW112" s="143"/>
      <c r="CX112" s="34"/>
      <c r="CY112" s="34"/>
      <c r="CZ112" s="34"/>
      <c r="DA112" s="34"/>
      <c r="DB112" s="34"/>
      <c r="DC112" s="34"/>
      <c r="DD112" s="34"/>
      <c r="DE112" s="34"/>
      <c r="DF112" s="34"/>
      <c r="DG112" s="34"/>
      <c r="DH112" s="34"/>
      <c r="DI112" s="34"/>
      <c r="DJ112" s="34"/>
      <c r="DK112" s="34"/>
      <c r="DL112" s="34"/>
      <c r="DM112" s="34"/>
      <c r="DN112" s="34"/>
      <c r="DO112" s="34"/>
      <c r="DP112" s="34"/>
      <c r="DQ112" s="34"/>
      <c r="DR112" s="34"/>
      <c r="DS112" s="34"/>
      <c r="DT112" s="34"/>
      <c r="DU112" s="34"/>
      <c r="DV112" s="34"/>
      <c r="DW112" s="34"/>
      <c r="DX112" s="34"/>
      <c r="DY112" s="34"/>
      <c r="DZ112" s="34"/>
      <c r="EA112" s="34"/>
    </row>
    <row r="113" spans="1:131">
      <c r="A113" s="34"/>
      <c r="B113" s="34"/>
      <c r="C113" s="143"/>
      <c r="D113" s="143"/>
      <c r="E113" s="143"/>
      <c r="F113" s="143"/>
      <c r="G113" s="143"/>
      <c r="H113" s="143"/>
      <c r="I113" s="143"/>
      <c r="J113" s="143"/>
      <c r="K113" s="143"/>
      <c r="L113" s="143"/>
      <c r="M113" s="143"/>
      <c r="N113" s="143"/>
      <c r="O113" s="143"/>
      <c r="P113" s="143"/>
      <c r="Q113" s="143"/>
      <c r="R113" s="143"/>
      <c r="S113" s="143"/>
      <c r="T113" s="143"/>
      <c r="U113" s="143"/>
      <c r="V113" s="143"/>
      <c r="W113" s="143"/>
      <c r="X113" s="143"/>
      <c r="Y113" s="143"/>
      <c r="Z113" s="14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c r="CN113" s="143"/>
      <c r="CO113" s="143"/>
      <c r="CP113" s="143"/>
      <c r="CQ113" s="143"/>
      <c r="CR113" s="143"/>
      <c r="CS113" s="143"/>
      <c r="CT113" s="143"/>
      <c r="CU113" s="143"/>
      <c r="CV113" s="143"/>
      <c r="CW113" s="143"/>
      <c r="CX113" s="34"/>
      <c r="CY113" s="34"/>
      <c r="CZ113" s="34"/>
      <c r="DA113" s="34"/>
      <c r="DB113" s="34"/>
      <c r="DC113" s="34"/>
      <c r="DD113" s="34"/>
      <c r="DE113" s="34"/>
      <c r="DF113" s="34"/>
      <c r="DG113" s="34"/>
      <c r="DH113" s="34"/>
      <c r="DI113" s="34"/>
      <c r="DJ113" s="34"/>
      <c r="DK113" s="34"/>
      <c r="DL113" s="34"/>
      <c r="DM113" s="34"/>
      <c r="DN113" s="34"/>
      <c r="DO113" s="34"/>
      <c r="DP113" s="34"/>
      <c r="DQ113" s="34"/>
      <c r="DR113" s="34"/>
      <c r="DS113" s="34"/>
      <c r="DT113" s="34"/>
      <c r="DU113" s="34"/>
      <c r="DV113" s="34"/>
      <c r="DW113" s="34"/>
      <c r="DX113" s="34"/>
      <c r="DY113" s="34"/>
      <c r="DZ113" s="34"/>
      <c r="EA113" s="34"/>
    </row>
    <row r="114" spans="1:131" ht="13.5" thickBot="1">
      <c r="A114" s="518" t="s">
        <v>944</v>
      </c>
      <c r="B114" s="519"/>
      <c r="C114" s="143"/>
      <c r="D114" s="143"/>
      <c r="E114" s="143"/>
      <c r="F114" s="143"/>
      <c r="G114" s="143"/>
      <c r="H114" s="143"/>
      <c r="I114" s="143"/>
      <c r="J114" s="143"/>
      <c r="K114" s="143"/>
      <c r="L114" s="143"/>
      <c r="M114" s="143"/>
      <c r="N114" s="143"/>
      <c r="O114" s="143"/>
      <c r="P114" s="143"/>
      <c r="Q114" s="143"/>
      <c r="R114" s="143"/>
      <c r="S114" s="143"/>
      <c r="T114" s="143"/>
      <c r="U114" s="143"/>
      <c r="V114" s="143"/>
      <c r="W114" s="143"/>
      <c r="X114" s="143"/>
      <c r="Y114" s="143"/>
      <c r="Z114" s="143"/>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c r="CN114" s="143"/>
      <c r="CO114" s="143"/>
      <c r="CP114" s="143"/>
      <c r="CQ114" s="143"/>
      <c r="CR114" s="143"/>
      <c r="CS114" s="143"/>
      <c r="CT114" s="143"/>
      <c r="CU114" s="143"/>
      <c r="CV114" s="143"/>
      <c r="CW114" s="143"/>
      <c r="CX114" s="34"/>
      <c r="CY114" s="34"/>
      <c r="CZ114" s="34"/>
      <c r="DA114" s="34"/>
      <c r="DB114" s="34"/>
      <c r="DC114" s="34"/>
      <c r="DD114" s="34"/>
      <c r="DE114" s="34"/>
      <c r="DF114" s="34"/>
      <c r="DG114" s="34"/>
      <c r="DH114" s="34"/>
      <c r="DI114" s="34"/>
      <c r="DJ114" s="34"/>
      <c r="DK114" s="34"/>
      <c r="DL114" s="34"/>
      <c r="DM114" s="34"/>
      <c r="DN114" s="34"/>
      <c r="DO114" s="34"/>
      <c r="DP114" s="34"/>
      <c r="DQ114" s="34"/>
      <c r="DR114" s="34"/>
      <c r="DS114" s="34"/>
      <c r="DT114" s="34"/>
      <c r="DU114" s="34"/>
      <c r="DV114" s="34"/>
      <c r="DW114" s="34"/>
      <c r="DX114" s="34"/>
      <c r="DY114" s="34"/>
      <c r="DZ114" s="34"/>
      <c r="EA114" s="34"/>
    </row>
    <row r="115" spans="1:131" ht="13.5" thickBot="1">
      <c r="A115" s="520"/>
      <c r="B115" s="521"/>
      <c r="C115" s="522"/>
      <c r="D115" s="522"/>
      <c r="E115" s="522"/>
      <c r="F115" s="522"/>
      <c r="G115" s="522"/>
      <c r="H115" s="522"/>
      <c r="I115" s="522"/>
      <c r="J115" s="522"/>
      <c r="K115" s="522"/>
      <c r="L115" s="522"/>
      <c r="M115" s="522"/>
      <c r="N115" s="522"/>
      <c r="O115" s="523" t="s">
        <v>1336</v>
      </c>
      <c r="P115" s="524"/>
      <c r="Q115" s="524"/>
      <c r="R115" s="524"/>
      <c r="S115" s="524"/>
      <c r="T115" s="524"/>
      <c r="U115" s="524"/>
      <c r="V115" s="524"/>
      <c r="W115" s="524"/>
      <c r="X115" s="524"/>
      <c r="Y115" s="524"/>
      <c r="Z115" s="525"/>
      <c r="AA115" s="522"/>
      <c r="AB115" s="523" t="s">
        <v>1337</v>
      </c>
      <c r="AC115" s="524"/>
      <c r="AD115" s="524"/>
      <c r="AE115" s="524"/>
      <c r="AF115" s="524"/>
      <c r="AG115" s="524"/>
      <c r="AH115" s="524"/>
      <c r="AI115" s="524"/>
      <c r="AJ115" s="524"/>
      <c r="AK115" s="524"/>
      <c r="AL115" s="524"/>
      <c r="AM115" s="525"/>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c r="CN115" s="143"/>
      <c r="CO115" s="143"/>
      <c r="CP115" s="143"/>
      <c r="CQ115" s="143"/>
      <c r="CR115" s="143"/>
      <c r="CS115" s="143"/>
      <c r="CT115" s="143"/>
      <c r="CU115" s="143"/>
      <c r="CV115" s="143"/>
      <c r="CW115" s="143"/>
      <c r="CX115" s="34"/>
      <c r="CY115" s="34"/>
      <c r="CZ115" s="34"/>
      <c r="DA115" s="34"/>
      <c r="DB115" s="34"/>
      <c r="DC115" s="34"/>
      <c r="DD115" s="34"/>
      <c r="DE115" s="34"/>
      <c r="DF115" s="34"/>
      <c r="DG115" s="34"/>
      <c r="DH115" s="34"/>
      <c r="DI115" s="34"/>
      <c r="DJ115" s="34"/>
      <c r="DK115" s="34"/>
      <c r="DL115" s="34"/>
      <c r="DM115" s="34"/>
      <c r="DN115" s="34"/>
      <c r="DO115" s="34"/>
      <c r="DP115" s="34"/>
      <c r="DQ115" s="34"/>
      <c r="DR115" s="34"/>
      <c r="DS115" s="34"/>
      <c r="DT115" s="34"/>
      <c r="DU115" s="34"/>
      <c r="DV115" s="34"/>
      <c r="DW115" s="34"/>
      <c r="DX115" s="34"/>
      <c r="DY115" s="34"/>
      <c r="DZ115" s="34"/>
      <c r="EA115" s="34"/>
    </row>
    <row r="116" spans="1:131" ht="204">
      <c r="A116" s="526" t="s">
        <v>945</v>
      </c>
      <c r="B116" s="527" t="s">
        <v>219</v>
      </c>
      <c r="C116" s="528" t="s">
        <v>946</v>
      </c>
      <c r="D116" s="528" t="s">
        <v>947</v>
      </c>
      <c r="E116" s="528" t="s">
        <v>948</v>
      </c>
      <c r="F116" s="528" t="s">
        <v>949</v>
      </c>
      <c r="G116" s="528" t="s">
        <v>950</v>
      </c>
      <c r="H116" s="528" t="s">
        <v>951</v>
      </c>
      <c r="I116" s="528" t="s">
        <v>952</v>
      </c>
      <c r="J116" s="528" t="s">
        <v>953</v>
      </c>
      <c r="K116" s="528" t="s">
        <v>954</v>
      </c>
      <c r="L116" s="528" t="s">
        <v>955</v>
      </c>
      <c r="M116" s="528" t="s">
        <v>956</v>
      </c>
      <c r="N116" s="528" t="s">
        <v>1338</v>
      </c>
      <c r="O116" s="528" t="s">
        <v>957</v>
      </c>
      <c r="P116" s="528" t="s">
        <v>958</v>
      </c>
      <c r="Q116" s="528" t="s">
        <v>959</v>
      </c>
      <c r="R116" s="528" t="s">
        <v>960</v>
      </c>
      <c r="S116" s="528" t="s">
        <v>961</v>
      </c>
      <c r="T116" s="528" t="s">
        <v>962</v>
      </c>
      <c r="U116" s="528" t="s">
        <v>963</v>
      </c>
      <c r="V116" s="528" t="s">
        <v>964</v>
      </c>
      <c r="W116" s="528" t="s">
        <v>965</v>
      </c>
      <c r="X116" s="528" t="s">
        <v>966</v>
      </c>
      <c r="Y116" s="528" t="s">
        <v>967</v>
      </c>
      <c r="Z116" s="528" t="s">
        <v>968</v>
      </c>
      <c r="AA116" s="528"/>
      <c r="AB116" s="528" t="s">
        <v>957</v>
      </c>
      <c r="AC116" s="528" t="s">
        <v>958</v>
      </c>
      <c r="AD116" s="528" t="s">
        <v>959</v>
      </c>
      <c r="AE116" s="528" t="s">
        <v>960</v>
      </c>
      <c r="AF116" s="528" t="s">
        <v>961</v>
      </c>
      <c r="AG116" s="528" t="s">
        <v>962</v>
      </c>
      <c r="AH116" s="528" t="s">
        <v>963</v>
      </c>
      <c r="AI116" s="528" t="s">
        <v>964</v>
      </c>
      <c r="AJ116" s="528" t="s">
        <v>965</v>
      </c>
      <c r="AK116" s="528" t="s">
        <v>966</v>
      </c>
      <c r="AL116" s="528" t="s">
        <v>967</v>
      </c>
      <c r="AM116" s="528" t="s">
        <v>968</v>
      </c>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c r="CN116" s="143"/>
      <c r="CO116" s="143"/>
      <c r="CP116" s="143"/>
      <c r="CQ116" s="143"/>
      <c r="CR116" s="143"/>
      <c r="CS116" s="143"/>
      <c r="CT116" s="143"/>
      <c r="CU116" s="143"/>
      <c r="CV116" s="143"/>
      <c r="CW116" s="143"/>
      <c r="CX116" s="34"/>
      <c r="CY116" s="34"/>
      <c r="CZ116" s="34"/>
      <c r="DA116" s="34"/>
      <c r="DB116" s="34"/>
      <c r="DC116" s="34"/>
      <c r="DD116" s="34"/>
      <c r="DE116" s="34"/>
      <c r="DF116" s="34"/>
      <c r="DG116" s="34"/>
      <c r="DH116" s="34"/>
      <c r="DI116" s="34"/>
      <c r="DJ116" s="34"/>
      <c r="DK116" s="34"/>
      <c r="DL116" s="34"/>
      <c r="DM116" s="34"/>
      <c r="DN116" s="34"/>
      <c r="DO116" s="34"/>
      <c r="DP116" s="34"/>
      <c r="DQ116" s="34"/>
      <c r="DR116" s="34"/>
      <c r="DS116" s="34"/>
      <c r="DT116" s="34"/>
      <c r="DU116" s="34"/>
      <c r="DV116" s="34"/>
      <c r="DW116" s="34"/>
      <c r="DX116" s="34"/>
      <c r="DY116" s="34"/>
      <c r="DZ116" s="34"/>
      <c r="EA116" s="34"/>
    </row>
    <row r="117" spans="1:131">
      <c r="A117" s="34" t="s">
        <v>970</v>
      </c>
      <c r="B117" s="34"/>
      <c r="C117" s="137">
        <v>3.5557059945100065</v>
      </c>
      <c r="D117" s="137">
        <v>5.2795660553372441</v>
      </c>
      <c r="E117" s="137">
        <v>1.055913211067449</v>
      </c>
      <c r="F117" s="137">
        <v>6.3354792664046933</v>
      </c>
      <c r="G117" s="137">
        <v>7.4925578876706256</v>
      </c>
      <c r="H117" s="137">
        <v>6.9756530674603905</v>
      </c>
      <c r="I117" s="137">
        <v>15608.376637268379</v>
      </c>
      <c r="J117" s="137">
        <v>83.115067610955847</v>
      </c>
      <c r="K117" s="137">
        <v>48.658285133252164</v>
      </c>
      <c r="L117" s="602">
        <v>0.93101090068842474</v>
      </c>
      <c r="M117" s="137">
        <v>3.5499397544400221E-2</v>
      </c>
      <c r="N117" s="137">
        <v>6.8070900757051642E-4</v>
      </c>
      <c r="O117" s="137">
        <v>0.23344310596774925</v>
      </c>
      <c r="P117" s="137">
        <v>0.20872530995851063</v>
      </c>
      <c r="Q117" s="137">
        <v>0.23931692046848702</v>
      </c>
      <c r="R117" s="137">
        <v>0.207474530098605</v>
      </c>
      <c r="S117" s="137">
        <v>0.19843382899768067</v>
      </c>
      <c r="T117" s="137">
        <v>0.19412174922352995</v>
      </c>
      <c r="U117" s="137">
        <v>0.16598073699505142</v>
      </c>
      <c r="V117" s="137">
        <v>0.17363864551754932</v>
      </c>
      <c r="W117" s="137">
        <v>0.16183688934593823</v>
      </c>
      <c r="X117" s="137">
        <v>0.19473984471358194</v>
      </c>
      <c r="Y117" s="137">
        <v>0.19932804538613083</v>
      </c>
      <c r="Z117" s="137">
        <v>0.23173934650167499</v>
      </c>
      <c r="AA117" s="137"/>
      <c r="AB117" s="137">
        <v>0.11957225991186747</v>
      </c>
      <c r="AC117" s="137">
        <v>0.10015607351596681</v>
      </c>
      <c r="AD117" s="137">
        <v>9.5523562492732902E-2</v>
      </c>
      <c r="AE117" s="137">
        <v>9.8738331528047729E-2</v>
      </c>
      <c r="AF117" s="137">
        <v>9.8564993692252481E-2</v>
      </c>
      <c r="AG117" s="137">
        <v>8.2481603895873362E-2</v>
      </c>
      <c r="AH117" s="137">
        <v>9.0317405541494172E-2</v>
      </c>
      <c r="AI117" s="137">
        <v>7.148661564111837E-2</v>
      </c>
      <c r="AJ117" s="137">
        <v>8.6836079555160095E-2</v>
      </c>
      <c r="AK117" s="137">
        <v>8.1061959117889729E-2</v>
      </c>
      <c r="AL117" s="137">
        <v>0.1057591836205643</v>
      </c>
      <c r="AM117" s="143">
        <v>0.11642897282254996</v>
      </c>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c r="CN117" s="143"/>
      <c r="CO117" s="143"/>
      <c r="CP117" s="143"/>
      <c r="CQ117" s="143"/>
      <c r="CR117" s="143"/>
      <c r="CS117" s="143"/>
      <c r="CT117" s="143"/>
      <c r="CU117" s="143"/>
      <c r="CV117" s="143"/>
      <c r="CW117" s="143"/>
      <c r="CX117" s="34"/>
      <c r="CY117" s="34"/>
      <c r="CZ117" s="34"/>
      <c r="DA117" s="34"/>
      <c r="DB117" s="34"/>
      <c r="DC117" s="34"/>
      <c r="DD117" s="34"/>
      <c r="DE117" s="34"/>
      <c r="DF117" s="34"/>
      <c r="DG117" s="34"/>
      <c r="DH117" s="34"/>
      <c r="DI117" s="34"/>
      <c r="DJ117" s="34"/>
      <c r="DK117" s="34"/>
      <c r="DL117" s="34"/>
      <c r="DM117" s="34"/>
      <c r="DN117" s="34"/>
      <c r="DO117" s="34"/>
      <c r="DP117" s="34"/>
      <c r="DQ117" s="34"/>
      <c r="DR117" s="34"/>
      <c r="DS117" s="34"/>
      <c r="DT117" s="34"/>
      <c r="DU117" s="34"/>
      <c r="DV117" s="34"/>
      <c r="DW117" s="34"/>
      <c r="DX117" s="34"/>
      <c r="DY117" s="34"/>
      <c r="DZ117" s="34"/>
      <c r="EA117" s="34"/>
    </row>
    <row r="118" spans="1:131">
      <c r="A118" s="34" t="s">
        <v>971</v>
      </c>
      <c r="B118" s="34"/>
      <c r="C118" s="137">
        <v>3.1794885152576335</v>
      </c>
      <c r="D118" s="137">
        <v>5.2795660553372441</v>
      </c>
      <c r="E118" s="137">
        <v>1.055913211067449</v>
      </c>
      <c r="F118" s="137">
        <v>6.3354792664046933</v>
      </c>
      <c r="G118" s="137">
        <v>7.4925578876706256</v>
      </c>
      <c r="H118" s="137">
        <v>6.8423975333356601</v>
      </c>
      <c r="I118" s="137">
        <v>17455.259897112115</v>
      </c>
      <c r="J118" s="137">
        <v>94.249892730393199</v>
      </c>
      <c r="K118" s="137">
        <v>53.004218139522706</v>
      </c>
      <c r="L118" s="602">
        <v>0.91322584835749665</v>
      </c>
      <c r="M118" s="137">
        <v>3.3807425652068235E-2</v>
      </c>
      <c r="N118" s="137">
        <v>6.0790203401237843E-4</v>
      </c>
      <c r="O118" s="137">
        <v>0.20856762971636814</v>
      </c>
      <c r="P118" s="137">
        <v>0.1864410678070427</v>
      </c>
      <c r="Q118" s="137">
        <v>0.21368153026712461</v>
      </c>
      <c r="R118" s="137">
        <v>0.18524213193309319</v>
      </c>
      <c r="S118" s="137">
        <v>0.17722801341254679</v>
      </c>
      <c r="T118" s="137">
        <v>0.17344648951467118</v>
      </c>
      <c r="U118" s="137">
        <v>0.14848255613421052</v>
      </c>
      <c r="V118" s="137">
        <v>0.1553391889640402</v>
      </c>
      <c r="W118" s="137">
        <v>0.14466933043358504</v>
      </c>
      <c r="X118" s="137">
        <v>0.17401311900186581</v>
      </c>
      <c r="Y118" s="137">
        <v>0.17808396104100074</v>
      </c>
      <c r="Z118" s="137">
        <v>0.20703930808874799</v>
      </c>
      <c r="AA118" s="137"/>
      <c r="AB118" s="137">
        <v>0.10709016193091135</v>
      </c>
      <c r="AC118" s="137">
        <v>8.9700786936127125E-2</v>
      </c>
      <c r="AD118" s="137">
        <v>8.5541327705861925E-2</v>
      </c>
      <c r="AE118" s="137">
        <v>8.8354448721179424E-2</v>
      </c>
      <c r="AF118" s="137">
        <v>8.8188414920633701E-2</v>
      </c>
      <c r="AG118" s="137">
        <v>7.3878249501081544E-2</v>
      </c>
      <c r="AH118" s="137">
        <v>8.0962620115533027E-2</v>
      </c>
      <c r="AI118" s="137">
        <v>6.4142108560946071E-2</v>
      </c>
      <c r="AJ118" s="137">
        <v>7.7787353612097807E-2</v>
      </c>
      <c r="AK118" s="137">
        <v>7.2619823454763407E-2</v>
      </c>
      <c r="AL118" s="137">
        <v>9.4703379028289222E-2</v>
      </c>
      <c r="AM118" s="143">
        <v>0.10428551445591223</v>
      </c>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c r="CN118" s="143"/>
      <c r="CO118" s="143"/>
      <c r="CP118" s="143"/>
      <c r="CQ118" s="143"/>
      <c r="CR118" s="143"/>
      <c r="CS118" s="143"/>
      <c r="CT118" s="143"/>
      <c r="CU118" s="143"/>
      <c r="CV118" s="143"/>
      <c r="CW118" s="143"/>
      <c r="CX118" s="34"/>
      <c r="CY118" s="34"/>
      <c r="CZ118" s="34"/>
      <c r="DA118" s="34"/>
      <c r="DB118" s="34"/>
      <c r="DC118" s="34"/>
      <c r="DD118" s="34"/>
      <c r="DE118" s="34"/>
      <c r="DF118" s="34"/>
      <c r="DG118" s="34"/>
      <c r="DH118" s="34"/>
      <c r="DI118" s="34"/>
      <c r="DJ118" s="34"/>
      <c r="DK118" s="34"/>
      <c r="DL118" s="34"/>
      <c r="DM118" s="34"/>
      <c r="DN118" s="34"/>
      <c r="DO118" s="34"/>
      <c r="DP118" s="34"/>
      <c r="DQ118" s="34"/>
      <c r="DR118" s="34"/>
      <c r="DS118" s="34"/>
      <c r="DT118" s="34"/>
      <c r="DU118" s="34"/>
      <c r="DV118" s="34"/>
      <c r="DW118" s="34"/>
      <c r="DX118" s="34"/>
      <c r="DY118" s="34"/>
      <c r="DZ118" s="34"/>
      <c r="EA118" s="34"/>
    </row>
    <row r="119" spans="1:131">
      <c r="A119" s="34" t="s">
        <v>972</v>
      </c>
      <c r="B119" s="34"/>
      <c r="C119" s="137">
        <v>3.1794885152576335</v>
      </c>
      <c r="D119" s="137">
        <v>5.2795660553372441</v>
      </c>
      <c r="E119" s="137">
        <v>1.055913211067449</v>
      </c>
      <c r="F119" s="137">
        <v>6.3354792664046933</v>
      </c>
      <c r="G119" s="137">
        <v>7.4925578876706256</v>
      </c>
      <c r="H119" s="137">
        <v>6.8423975333356601</v>
      </c>
      <c r="I119" s="137">
        <v>17455.259897112115</v>
      </c>
      <c r="J119" s="137">
        <v>94.249892730393199</v>
      </c>
      <c r="K119" s="137">
        <v>53.004218139522706</v>
      </c>
      <c r="L119" s="602">
        <v>0.91322584835749665</v>
      </c>
      <c r="M119" s="137">
        <v>3.3807425652068235E-2</v>
      </c>
      <c r="N119" s="137">
        <v>6.0790203401237843E-4</v>
      </c>
      <c r="O119" s="137">
        <v>0.20856762971636814</v>
      </c>
      <c r="P119" s="137">
        <v>0.1864410678070427</v>
      </c>
      <c r="Q119" s="137">
        <v>0.21368153026712461</v>
      </c>
      <c r="R119" s="137">
        <v>0.18524213193309319</v>
      </c>
      <c r="S119" s="137">
        <v>0.17722801341254679</v>
      </c>
      <c r="T119" s="137">
        <v>0.17344648951467118</v>
      </c>
      <c r="U119" s="137">
        <v>0.14848255613421052</v>
      </c>
      <c r="V119" s="137">
        <v>0.1553391889640402</v>
      </c>
      <c r="W119" s="137">
        <v>0.14466933043358504</v>
      </c>
      <c r="X119" s="137">
        <v>0.17401311900186581</v>
      </c>
      <c r="Y119" s="137">
        <v>0.17808396104100074</v>
      </c>
      <c r="Z119" s="137">
        <v>0.20703930808874799</v>
      </c>
      <c r="AA119" s="137"/>
      <c r="AB119" s="137">
        <v>0.10709016193091135</v>
      </c>
      <c r="AC119" s="137">
        <v>8.9700786936127125E-2</v>
      </c>
      <c r="AD119" s="137">
        <v>8.5541327705861925E-2</v>
      </c>
      <c r="AE119" s="137">
        <v>8.8354448721179424E-2</v>
      </c>
      <c r="AF119" s="137">
        <v>8.8188414920633701E-2</v>
      </c>
      <c r="AG119" s="137">
        <v>7.3878249501081544E-2</v>
      </c>
      <c r="AH119" s="137">
        <v>8.0962620115533027E-2</v>
      </c>
      <c r="AI119" s="137">
        <v>6.4142108560946071E-2</v>
      </c>
      <c r="AJ119" s="137">
        <v>7.7787353612097807E-2</v>
      </c>
      <c r="AK119" s="137">
        <v>7.2619823454763407E-2</v>
      </c>
      <c r="AL119" s="137">
        <v>9.4703379028289222E-2</v>
      </c>
      <c r="AM119" s="143">
        <v>0.10428551445591223</v>
      </c>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c r="CN119" s="143"/>
      <c r="CO119" s="143"/>
      <c r="CP119" s="143"/>
      <c r="CQ119" s="143"/>
      <c r="CR119" s="143"/>
      <c r="CS119" s="143"/>
      <c r="CT119" s="143"/>
      <c r="CU119" s="143"/>
      <c r="CV119" s="143"/>
      <c r="CW119" s="143"/>
      <c r="CX119" s="34"/>
      <c r="CY119" s="34"/>
      <c r="CZ119" s="34"/>
      <c r="DA119" s="34"/>
      <c r="DB119" s="34"/>
      <c r="DC119" s="34"/>
      <c r="DD119" s="34"/>
      <c r="DE119" s="34"/>
      <c r="DF119" s="34"/>
      <c r="DG119" s="34"/>
      <c r="DH119" s="34"/>
      <c r="DI119" s="34"/>
      <c r="DJ119" s="34"/>
      <c r="DK119" s="34"/>
      <c r="DL119" s="34"/>
      <c r="DM119" s="34"/>
      <c r="DN119" s="34"/>
      <c r="DO119" s="34"/>
      <c r="DP119" s="34"/>
      <c r="DQ119" s="34"/>
      <c r="DR119" s="34"/>
      <c r="DS119" s="34"/>
      <c r="DT119" s="34"/>
      <c r="DU119" s="34"/>
      <c r="DV119" s="34"/>
      <c r="DW119" s="34"/>
      <c r="DX119" s="34"/>
      <c r="DY119" s="34"/>
      <c r="DZ119" s="34"/>
      <c r="EA119" s="34"/>
    </row>
    <row r="120" spans="1:131">
      <c r="A120" s="34" t="s">
        <v>969</v>
      </c>
      <c r="B120" s="34"/>
      <c r="C120" s="137">
        <v>0.99353523063608473</v>
      </c>
      <c r="D120" s="137">
        <v>5.2795660553372441</v>
      </c>
      <c r="E120" s="137">
        <v>1.055913211067449</v>
      </c>
      <c r="F120" s="137">
        <v>6.3354792664046933</v>
      </c>
      <c r="G120" s="137">
        <v>7.4925578876706256</v>
      </c>
      <c r="H120" s="137">
        <v>6.0681369298868013</v>
      </c>
      <c r="I120" s="137">
        <v>55859.91987236675</v>
      </c>
      <c r="J120" s="137">
        <v>325.79087958848862</v>
      </c>
      <c r="K120" s="137">
        <v>143.37488910178871</v>
      </c>
      <c r="L120" s="602">
        <v>0.80988856153813915</v>
      </c>
      <c r="M120" s="137">
        <v>2.3976485519036032E-2</v>
      </c>
      <c r="N120" s="137">
        <v>1.8486841178664502E-4</v>
      </c>
      <c r="O120" s="137">
        <v>6.4032534945412126E-2</v>
      </c>
      <c r="P120" s="137">
        <v>5.6961936685582151E-2</v>
      </c>
      <c r="Q120" s="137">
        <v>6.4731073407484283E-2</v>
      </c>
      <c r="R120" s="137">
        <v>5.6064232247274463E-2</v>
      </c>
      <c r="S120" s="137">
        <v>5.4014912512717041E-2</v>
      </c>
      <c r="T120" s="137">
        <v>5.3316101206301938E-2</v>
      </c>
      <c r="U120" s="137">
        <v>4.6812091477255471E-2</v>
      </c>
      <c r="V120" s="137">
        <v>4.9013036230719925E-2</v>
      </c>
      <c r="W120" s="137">
        <v>4.491989330491214E-2</v>
      </c>
      <c r="X120" s="137">
        <v>5.3583695469997798E-2</v>
      </c>
      <c r="Y120" s="137">
        <v>5.46485054494689E-2</v>
      </c>
      <c r="Z120" s="137">
        <v>6.3523567655016808E-2</v>
      </c>
      <c r="AA120" s="137"/>
      <c r="AB120" s="137">
        <v>3.456486848983864E-2</v>
      </c>
      <c r="AC120" s="137">
        <v>2.8951966636023983E-2</v>
      </c>
      <c r="AD120" s="137">
        <v>2.7541101444214944E-2</v>
      </c>
      <c r="AE120" s="137">
        <v>2.8020508964030764E-2</v>
      </c>
      <c r="AF120" s="137">
        <v>2.789691412691751E-2</v>
      </c>
      <c r="AG120" s="137">
        <v>2.388979379341177E-2</v>
      </c>
      <c r="AH120" s="137">
        <v>2.6608091002620692E-2</v>
      </c>
      <c r="AI120" s="137">
        <v>2.1467989836496552E-2</v>
      </c>
      <c r="AJ120" s="137">
        <v>2.5211135632580643E-2</v>
      </c>
      <c r="AK120" s="137">
        <v>2.3568104170736227E-2</v>
      </c>
      <c r="AL120" s="137">
        <v>3.0465342000759787E-2</v>
      </c>
      <c r="AM120" s="143">
        <v>3.3727833946310182E-2</v>
      </c>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c r="CN120" s="143"/>
      <c r="CO120" s="143"/>
      <c r="CP120" s="143"/>
      <c r="CQ120" s="143"/>
      <c r="CR120" s="143"/>
      <c r="CS120" s="143"/>
      <c r="CT120" s="143"/>
      <c r="CU120" s="143"/>
      <c r="CV120" s="143"/>
      <c r="CW120" s="143"/>
      <c r="CX120" s="34"/>
      <c r="CY120" s="34"/>
      <c r="CZ120" s="34"/>
      <c r="DA120" s="34"/>
      <c r="DB120" s="34"/>
      <c r="DC120" s="34"/>
      <c r="DD120" s="34"/>
      <c r="DE120" s="34"/>
      <c r="DF120" s="34"/>
      <c r="DG120" s="34"/>
      <c r="DH120" s="34"/>
      <c r="DI120" s="34"/>
      <c r="DJ120" s="34"/>
      <c r="DK120" s="34"/>
      <c r="DL120" s="34"/>
      <c r="DM120" s="34"/>
      <c r="DN120" s="34"/>
      <c r="DO120" s="34"/>
      <c r="DP120" s="34"/>
      <c r="DQ120" s="34"/>
      <c r="DR120" s="34"/>
      <c r="DS120" s="34"/>
      <c r="DT120" s="34"/>
      <c r="DU120" s="34"/>
      <c r="DV120" s="34"/>
      <c r="DW120" s="34"/>
      <c r="DX120" s="34"/>
      <c r="DY120" s="34"/>
      <c r="DZ120" s="34"/>
      <c r="EA120" s="34"/>
    </row>
    <row r="121" spans="1:131">
      <c r="A121" s="34"/>
      <c r="B121" s="34"/>
      <c r="C121" s="143"/>
      <c r="D121" s="143"/>
      <c r="E121" s="143"/>
      <c r="F121" s="143"/>
      <c r="G121" s="143"/>
      <c r="H121" s="143"/>
      <c r="I121" s="143"/>
      <c r="J121" s="143"/>
      <c r="K121" s="143"/>
      <c r="L121" s="143"/>
      <c r="M121" s="143"/>
      <c r="N121" s="143"/>
      <c r="O121" s="143"/>
      <c r="P121" s="143"/>
      <c r="Q121" s="143"/>
      <c r="R121" s="143"/>
      <c r="S121" s="143"/>
      <c r="T121" s="143"/>
      <c r="U121" s="143"/>
      <c r="V121" s="143"/>
      <c r="W121" s="143"/>
      <c r="X121" s="143"/>
      <c r="Y121" s="143"/>
      <c r="Z121" s="143"/>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c r="CN121" s="143"/>
      <c r="CO121" s="143"/>
      <c r="CP121" s="143"/>
      <c r="CQ121" s="143"/>
      <c r="CR121" s="143"/>
      <c r="CS121" s="143"/>
      <c r="CT121" s="143"/>
      <c r="CU121" s="143"/>
      <c r="CV121" s="143"/>
      <c r="CW121" s="143"/>
      <c r="CX121" s="34"/>
      <c r="CY121" s="34"/>
      <c r="CZ121" s="34"/>
      <c r="DA121" s="34"/>
      <c r="DB121" s="34"/>
      <c r="DC121" s="34"/>
      <c r="DD121" s="34"/>
      <c r="DE121" s="34"/>
      <c r="DF121" s="34"/>
      <c r="DG121" s="34"/>
      <c r="DH121" s="34"/>
      <c r="DI121" s="34"/>
      <c r="DJ121" s="34"/>
      <c r="DK121" s="34"/>
      <c r="DL121" s="34"/>
      <c r="DM121" s="34"/>
      <c r="DN121" s="34"/>
      <c r="DO121" s="34"/>
      <c r="DP121" s="34"/>
      <c r="DQ121" s="34"/>
      <c r="DR121" s="34"/>
      <c r="DS121" s="34"/>
      <c r="DT121" s="34"/>
      <c r="DU121" s="34"/>
      <c r="DV121" s="34"/>
      <c r="DW121" s="34"/>
      <c r="DX121" s="34"/>
      <c r="DY121" s="34"/>
      <c r="DZ121" s="34"/>
      <c r="EA121" s="34"/>
    </row>
  </sheetData>
  <mergeCells count="3">
    <mergeCell ref="I6:N6"/>
    <mergeCell ref="O6:P6"/>
    <mergeCell ref="R6:T6"/>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sheetPr codeName="Sheet4"/>
  <dimension ref="A2:DC33"/>
  <sheetViews>
    <sheetView workbookViewId="0">
      <selection activeCell="C12" sqref="C12:R13"/>
    </sheetView>
  </sheetViews>
  <sheetFormatPr defaultRowHeight="12.75"/>
  <cols>
    <col min="2" max="2" width="10" customWidth="1"/>
    <col min="3" max="3" width="48.140625" customWidth="1"/>
    <col min="4" max="4" width="14.42578125" customWidth="1"/>
    <col min="9" max="9" width="9.85546875" customWidth="1"/>
    <col min="17" max="17" width="9.85546875" customWidth="1"/>
  </cols>
  <sheetData>
    <row r="2" spans="1:107">
      <c r="A2" t="s">
        <v>939</v>
      </c>
      <c r="B2" t="s">
        <v>943</v>
      </c>
    </row>
    <row r="3" spans="1:107">
      <c r="A3" s="510" t="s">
        <v>940</v>
      </c>
      <c r="B3" s="510"/>
      <c r="E3">
        <v>4</v>
      </c>
      <c r="F3">
        <v>5</v>
      </c>
      <c r="G3">
        <v>6</v>
      </c>
      <c r="H3">
        <v>7</v>
      </c>
      <c r="I3">
        <v>8</v>
      </c>
      <c r="J3">
        <v>9</v>
      </c>
      <c r="K3">
        <v>10</v>
      </c>
      <c r="L3">
        <v>11</v>
      </c>
      <c r="M3">
        <v>12</v>
      </c>
      <c r="N3">
        <v>13</v>
      </c>
      <c r="O3">
        <v>14</v>
      </c>
      <c r="P3">
        <v>15</v>
      </c>
      <c r="Q3">
        <v>16</v>
      </c>
      <c r="R3">
        <v>17</v>
      </c>
    </row>
    <row r="4" spans="1:107" s="34" customFormat="1">
      <c r="C4" s="119" t="s">
        <v>200</v>
      </c>
      <c r="D4" s="120"/>
      <c r="E4" s="120"/>
      <c r="F4" s="120"/>
      <c r="G4" s="120"/>
      <c r="H4" s="120"/>
      <c r="I4" s="121"/>
      <c r="J4" s="511"/>
      <c r="K4" s="620" t="s">
        <v>201</v>
      </c>
      <c r="L4" s="621"/>
      <c r="M4" s="621"/>
      <c r="N4" s="621"/>
      <c r="O4" s="621"/>
      <c r="P4" s="622"/>
      <c r="Q4" s="623" t="s">
        <v>202</v>
      </c>
      <c r="R4" s="624"/>
      <c r="S4" s="123"/>
      <c r="T4" s="124"/>
      <c r="U4" s="124"/>
      <c r="V4" s="124"/>
      <c r="W4" s="124"/>
      <c r="X4" s="124"/>
      <c r="Y4" s="124"/>
      <c r="Z4" s="125"/>
      <c r="AA4" s="126"/>
      <c r="AB4" s="124"/>
      <c r="AC4" s="124"/>
      <c r="AD4" s="124"/>
      <c r="AE4" s="124"/>
      <c r="AF4" s="124"/>
      <c r="AG4" s="127"/>
      <c r="AH4" s="127"/>
      <c r="AI4" s="127"/>
      <c r="AJ4" s="127"/>
      <c r="AK4" s="127"/>
      <c r="AL4" s="127"/>
      <c r="AM4" s="127"/>
      <c r="AN4" s="127"/>
      <c r="AO4" s="127"/>
      <c r="AP4" s="127"/>
      <c r="AQ4" s="127"/>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09"/>
      <c r="CC4" s="109"/>
      <c r="CD4" s="109"/>
      <c r="CE4" s="109"/>
      <c r="CF4" s="109"/>
      <c r="CG4" s="109"/>
      <c r="CH4" s="109"/>
      <c r="CI4" s="109"/>
      <c r="CJ4" s="109"/>
      <c r="CK4" s="109"/>
      <c r="CL4" s="109"/>
      <c r="CM4" s="109"/>
      <c r="CN4" s="109"/>
      <c r="CO4" s="109"/>
      <c r="CP4" s="109"/>
      <c r="CQ4" s="109"/>
      <c r="CR4" s="109"/>
      <c r="CS4" s="109"/>
      <c r="CT4" s="109"/>
      <c r="CU4" s="109"/>
      <c r="CV4" s="109"/>
      <c r="CW4" s="109"/>
      <c r="CX4" s="109"/>
      <c r="CY4" s="109"/>
      <c r="CZ4" s="109"/>
      <c r="DA4" s="109"/>
      <c r="DB4" s="109"/>
      <c r="DC4" s="109"/>
    </row>
    <row r="5" spans="1:107" ht="38.25">
      <c r="A5" s="34" t="s">
        <v>928</v>
      </c>
      <c r="B5" s="34"/>
      <c r="C5" s="128" t="s">
        <v>203</v>
      </c>
      <c r="D5" s="128" t="s">
        <v>204</v>
      </c>
      <c r="E5" s="128" t="s">
        <v>205</v>
      </c>
      <c r="F5" s="128" t="s">
        <v>206</v>
      </c>
      <c r="G5" s="128" t="s">
        <v>207</v>
      </c>
      <c r="H5" s="128" t="s">
        <v>208</v>
      </c>
      <c r="I5" s="128" t="s">
        <v>209</v>
      </c>
      <c r="J5" s="128" t="s">
        <v>210</v>
      </c>
      <c r="K5" s="128" t="s">
        <v>211</v>
      </c>
      <c r="L5" s="128" t="s">
        <v>212</v>
      </c>
      <c r="M5" s="128" t="s">
        <v>213</v>
      </c>
      <c r="N5" s="128" t="s">
        <v>214</v>
      </c>
      <c r="O5" s="128" t="s">
        <v>215</v>
      </c>
      <c r="P5" s="128" t="s">
        <v>216</v>
      </c>
      <c r="Q5" s="512" t="s">
        <v>217</v>
      </c>
      <c r="R5" s="128" t="s">
        <v>209</v>
      </c>
    </row>
    <row r="6" spans="1:107" ht="38.25">
      <c r="A6" t="s">
        <v>930</v>
      </c>
      <c r="B6" t="str">
        <f>A6&amp;C6&amp;D6</f>
        <v>Single FamilyEnergy Star Dishwasher - Any DHWAll Except Waste Water Energy</v>
      </c>
      <c r="C6" s="513" t="str">
        <f>Composite!C7</f>
        <v>Energy Star Dishwasher - Any DHW</v>
      </c>
      <c r="D6" s="513" t="str">
        <f>Composite!D7</f>
        <v>All Except Waste Water Energy</v>
      </c>
      <c r="E6" s="513">
        <f>Composite!E7</f>
        <v>0.73441449581893048</v>
      </c>
      <c r="F6" s="513">
        <f>Composite!F7</f>
        <v>15.4</v>
      </c>
      <c r="G6" s="513">
        <f>Composite!G7</f>
        <v>5.2795660553372441</v>
      </c>
      <c r="H6" s="513">
        <f>Composite!H7</f>
        <v>0</v>
      </c>
      <c r="I6" s="513" t="str">
        <f>Composite!I7</f>
        <v>ResDHW</v>
      </c>
      <c r="J6" s="513">
        <f>Composite!J7</f>
        <v>0.33177417068635534</v>
      </c>
      <c r="K6" s="513">
        <f>Composite!K7</f>
        <v>0</v>
      </c>
      <c r="L6" s="513">
        <f>Composite!L7</f>
        <v>0</v>
      </c>
      <c r="M6" s="513">
        <f>Composite!M7</f>
        <v>0</v>
      </c>
      <c r="N6" s="513">
        <f>Composite!N7</f>
        <v>0</v>
      </c>
      <c r="O6" s="513">
        <f>Composite!O7</f>
        <v>0</v>
      </c>
      <c r="P6" s="513">
        <f>Composite!P7</f>
        <v>0</v>
      </c>
      <c r="Q6" s="513">
        <f>Composite!Q7</f>
        <v>0.12302457103498743</v>
      </c>
      <c r="R6" s="513" t="str">
        <f>Composite!R7</f>
        <v>ResDHW</v>
      </c>
    </row>
    <row r="7" spans="1:107" ht="25.5">
      <c r="A7" t="s">
        <v>930</v>
      </c>
      <c r="B7" t="str">
        <f t="shared" ref="B7:B9" si="0">A7&amp;C7&amp;D7</f>
        <v>Single FamilyEnergy Star Dishwasher - Any DHWWaste Water Energy</v>
      </c>
      <c r="C7" s="513" t="str">
        <f>Composite!C8</f>
        <v>Energy Star Dishwasher - Any DHW</v>
      </c>
      <c r="D7" s="513" t="str">
        <f>Composite!D8</f>
        <v>Waste Water Energy</v>
      </c>
      <c r="E7" s="513">
        <f>Composite!E8</f>
        <v>0.19001627921082875</v>
      </c>
      <c r="F7" s="513">
        <f>Composite!F8</f>
        <v>15.4</v>
      </c>
      <c r="G7" s="513">
        <f>Composite!G8</f>
        <v>0</v>
      </c>
      <c r="H7" s="513">
        <f>Composite!H8</f>
        <v>0</v>
      </c>
      <c r="I7" s="513" t="str">
        <f>Composite!I8</f>
        <v>FLAT</v>
      </c>
      <c r="J7" s="513">
        <f>Composite!J8</f>
        <v>0</v>
      </c>
      <c r="K7" s="513">
        <f>Composite!K8</f>
        <v>0</v>
      </c>
      <c r="L7" s="513">
        <f>Composite!L8</f>
        <v>0</v>
      </c>
      <c r="M7" s="513">
        <f>Composite!M8</f>
        <v>0</v>
      </c>
      <c r="N7" s="513">
        <f>Composite!N8</f>
        <v>0</v>
      </c>
      <c r="O7" s="513">
        <f>Composite!O8</f>
        <v>0</v>
      </c>
      <c r="P7" s="513">
        <f>Composite!P8</f>
        <v>0</v>
      </c>
      <c r="Q7" s="513">
        <f>Composite!Q8</f>
        <v>0</v>
      </c>
      <c r="R7" s="513" t="str">
        <f>Composite!R8</f>
        <v/>
      </c>
    </row>
    <row r="8" spans="1:107" ht="38.25">
      <c r="A8" t="s">
        <v>931</v>
      </c>
      <c r="B8" t="str">
        <f t="shared" si="0"/>
        <v>ManufacturedEnergy Star Dishwasher - Any DHWAll Except Waste Water Energy</v>
      </c>
      <c r="C8" s="513" t="str">
        <f>Composite!C9</f>
        <v>Energy Star Dishwasher - Any DHW</v>
      </c>
      <c r="D8" s="513" t="str">
        <f>Composite!D9</f>
        <v>All Except Waste Water Energy</v>
      </c>
      <c r="E8" s="513">
        <f>Composite!E9</f>
        <v>3.1180591628190424</v>
      </c>
      <c r="F8" s="513">
        <f>Composite!F9</f>
        <v>15.4</v>
      </c>
      <c r="G8" s="513">
        <f>Composite!G9</f>
        <v>5.2795660553372441</v>
      </c>
      <c r="H8" s="513">
        <f>Composite!H9</f>
        <v>0</v>
      </c>
      <c r="I8" s="513" t="str">
        <f>Composite!I9</f>
        <v>ResDHW</v>
      </c>
      <c r="J8" s="513">
        <f>Composite!J9</f>
        <v>0.33177417068635534</v>
      </c>
      <c r="K8" s="513">
        <f>Composite!K9</f>
        <v>0</v>
      </c>
      <c r="L8" s="513">
        <f>Composite!L9</f>
        <v>0</v>
      </c>
      <c r="M8" s="513">
        <f>Composite!M9</f>
        <v>0</v>
      </c>
      <c r="N8" s="513">
        <f>Composite!N9</f>
        <v>0</v>
      </c>
      <c r="O8" s="513">
        <f>Composite!O9</f>
        <v>0</v>
      </c>
      <c r="P8" s="513">
        <f>Composite!P9</f>
        <v>0</v>
      </c>
      <c r="Q8" s="513">
        <f>Composite!Q9</f>
        <v>1.4554246126907009E-2</v>
      </c>
      <c r="R8" s="513" t="str">
        <f>Composite!R9</f>
        <v>ResDHW</v>
      </c>
    </row>
    <row r="9" spans="1:107" ht="25.5">
      <c r="A9" t="s">
        <v>931</v>
      </c>
      <c r="B9" t="str">
        <f t="shared" si="0"/>
        <v>ManufacturedEnergy Star Dishwasher - Any DHWWaste Water Energy</v>
      </c>
      <c r="C9" s="513" t="str">
        <f>Composite!C10</f>
        <v>Energy Star Dishwasher - Any DHW</v>
      </c>
      <c r="D9" s="513" t="str">
        <f>Composite!D10</f>
        <v>Waste Water Energy</v>
      </c>
      <c r="E9" s="513">
        <f>Composite!E10</f>
        <v>0.19001627921082875</v>
      </c>
      <c r="F9" s="513">
        <f>Composite!F10</f>
        <v>15.4</v>
      </c>
      <c r="G9" s="513">
        <f>Composite!G10</f>
        <v>0</v>
      </c>
      <c r="H9" s="513">
        <f>Composite!H10</f>
        <v>0</v>
      </c>
      <c r="I9" s="513" t="str">
        <f>Composite!I10</f>
        <v>FLAT</v>
      </c>
      <c r="J9" s="513">
        <f>Composite!J10</f>
        <v>0</v>
      </c>
      <c r="K9" s="513">
        <f>Composite!K10</f>
        <v>0</v>
      </c>
      <c r="L9" s="513">
        <f>Composite!L10</f>
        <v>0</v>
      </c>
      <c r="M9" s="513">
        <f>Composite!M10</f>
        <v>0</v>
      </c>
      <c r="N9" s="513">
        <f>Composite!N10</f>
        <v>0</v>
      </c>
      <c r="O9" s="513">
        <f>Composite!O10</f>
        <v>0</v>
      </c>
      <c r="P9" s="513">
        <f>Composite!P10</f>
        <v>0</v>
      </c>
      <c r="Q9" s="513">
        <f>Composite!Q10</f>
        <v>0</v>
      </c>
      <c r="R9" s="513" t="str">
        <f>Composite!R10</f>
        <v/>
      </c>
    </row>
    <row r="10" spans="1:107" ht="38.25">
      <c r="A10" t="s">
        <v>941</v>
      </c>
      <c r="B10" t="str">
        <f>CONCATENATE("Multifamily",C10,D10)</f>
        <v>MultifamilyEnergy Star Dishwasher - Any DHWAll Except Waste Water Energy</v>
      </c>
      <c r="C10" s="513" t="str">
        <f>Composite!C11</f>
        <v>Energy Star Dishwasher - Any DHW</v>
      </c>
      <c r="D10" s="513" t="str">
        <f>Composite!D11</f>
        <v>All Except Waste Water Energy</v>
      </c>
      <c r="E10" s="513">
        <f>Composite!E11</f>
        <v>2.7680556420949758</v>
      </c>
      <c r="F10" s="513">
        <f>Composite!F11</f>
        <v>15.4</v>
      </c>
      <c r="G10" s="513">
        <f>Composite!G11</f>
        <v>5.2795660553372441</v>
      </c>
      <c r="H10" s="513">
        <f>Composite!H11</f>
        <v>0</v>
      </c>
      <c r="I10" s="513" t="str">
        <f>Composite!I11</f>
        <v>ResDHW</v>
      </c>
      <c r="J10" s="513">
        <f>Composite!J11</f>
        <v>0.33177417068635534</v>
      </c>
      <c r="K10" s="513">
        <f>Composite!K11</f>
        <v>0</v>
      </c>
      <c r="L10" s="513">
        <f>Composite!L11</f>
        <v>0</v>
      </c>
      <c r="M10" s="513">
        <f>Composite!M11</f>
        <v>0</v>
      </c>
      <c r="N10" s="513">
        <f>Composite!N11</f>
        <v>0</v>
      </c>
      <c r="O10" s="513">
        <f>Composite!O11</f>
        <v>0</v>
      </c>
      <c r="P10" s="513">
        <f>Composite!P11</f>
        <v>0</v>
      </c>
      <c r="Q10" s="513">
        <f>Composite!Q11</f>
        <v>3.0481534341258047E-2</v>
      </c>
      <c r="R10" s="513" t="str">
        <f>Composite!R11</f>
        <v>ResDHW</v>
      </c>
    </row>
    <row r="11" spans="1:107" ht="25.5">
      <c r="A11" t="s">
        <v>941</v>
      </c>
      <c r="B11" t="str">
        <f t="shared" ref="B11" si="1">CONCATENATE("Multifamily",C11,D11)</f>
        <v>MultifamilyEnergy Star Dishwasher - Any DHWWaste Water Energy</v>
      </c>
      <c r="C11" s="513" t="str">
        <f>Composite!C12</f>
        <v>Energy Star Dishwasher - Any DHW</v>
      </c>
      <c r="D11" s="513" t="str">
        <f>Composite!D12</f>
        <v>Waste Water Energy</v>
      </c>
      <c r="E11" s="513">
        <f>Composite!E12</f>
        <v>0.19001627921082875</v>
      </c>
      <c r="F11" s="513">
        <f>Composite!F12</f>
        <v>15.4</v>
      </c>
      <c r="G11" s="513">
        <f>Composite!G12</f>
        <v>0</v>
      </c>
      <c r="H11" s="513">
        <f>Composite!H12</f>
        <v>0</v>
      </c>
      <c r="I11" s="513" t="str">
        <f>Composite!I12</f>
        <v>FLAT</v>
      </c>
      <c r="J11" s="513">
        <f>Composite!J12</f>
        <v>0</v>
      </c>
      <c r="K11" s="513">
        <f>Composite!K12</f>
        <v>0</v>
      </c>
      <c r="L11" s="513">
        <f>Composite!L12</f>
        <v>0</v>
      </c>
      <c r="M11" s="513">
        <f>Composite!M12</f>
        <v>0</v>
      </c>
      <c r="N11" s="513">
        <f>Composite!N12</f>
        <v>0</v>
      </c>
      <c r="O11" s="513">
        <f>Composite!O12</f>
        <v>0</v>
      </c>
      <c r="P11" s="513">
        <f>Composite!P12</f>
        <v>0</v>
      </c>
      <c r="Q11" s="513">
        <f>Composite!Q12</f>
        <v>0</v>
      </c>
      <c r="R11" s="513" t="str">
        <f>Composite!R12</f>
        <v/>
      </c>
    </row>
    <row r="12" spans="1:107" ht="31.5" customHeight="1">
      <c r="A12" t="s">
        <v>942</v>
      </c>
      <c r="B12" t="str">
        <f>CONCATENATE("Multifamily",C12,D12)</f>
        <v>MultifamilyEnergy Star Dishwasher - Any DHWAll Except Waste Water Energy</v>
      </c>
      <c r="C12" s="513" t="str">
        <f>C10</f>
        <v>Energy Star Dishwasher - Any DHW</v>
      </c>
      <c r="D12" s="513" t="str">
        <f t="shared" ref="D12:R13" si="2">D10</f>
        <v>All Except Waste Water Energy</v>
      </c>
      <c r="E12" s="513">
        <f t="shared" si="2"/>
        <v>2.7680556420949758</v>
      </c>
      <c r="F12" s="513">
        <f t="shared" si="2"/>
        <v>15.4</v>
      </c>
      <c r="G12" s="513">
        <f t="shared" si="2"/>
        <v>5.2795660553372441</v>
      </c>
      <c r="H12" s="513">
        <f t="shared" si="2"/>
        <v>0</v>
      </c>
      <c r="I12" s="513" t="str">
        <f t="shared" si="2"/>
        <v>ResDHW</v>
      </c>
      <c r="J12" s="513">
        <f t="shared" si="2"/>
        <v>0.33177417068635534</v>
      </c>
      <c r="K12" s="513">
        <f t="shared" si="2"/>
        <v>0</v>
      </c>
      <c r="L12" s="513">
        <f t="shared" si="2"/>
        <v>0</v>
      </c>
      <c r="M12" s="513">
        <f t="shared" si="2"/>
        <v>0</v>
      </c>
      <c r="N12" s="513">
        <f t="shared" si="2"/>
        <v>0</v>
      </c>
      <c r="O12" s="513">
        <f t="shared" si="2"/>
        <v>0</v>
      </c>
      <c r="P12" s="513">
        <f t="shared" si="2"/>
        <v>0</v>
      </c>
      <c r="Q12" s="513">
        <f t="shared" si="2"/>
        <v>3.0481534341258047E-2</v>
      </c>
      <c r="R12" s="513" t="str">
        <f t="shared" si="2"/>
        <v>ResDHW</v>
      </c>
    </row>
    <row r="13" spans="1:107" ht="25.5">
      <c r="A13" t="s">
        <v>942</v>
      </c>
      <c r="B13" t="str">
        <f t="shared" ref="B13" si="3">CONCATENATE("Multifamily",C13,D13)</f>
        <v>MultifamilyEnergy Star Dishwasher - Any DHWWaste Water Energy</v>
      </c>
      <c r="C13" s="513" t="str">
        <f>C11</f>
        <v>Energy Star Dishwasher - Any DHW</v>
      </c>
      <c r="D13" s="513" t="str">
        <f t="shared" si="2"/>
        <v>Waste Water Energy</v>
      </c>
      <c r="E13" s="513">
        <f t="shared" si="2"/>
        <v>0.19001627921082875</v>
      </c>
      <c r="F13" s="513">
        <f t="shared" si="2"/>
        <v>15.4</v>
      </c>
      <c r="G13" s="513">
        <f t="shared" si="2"/>
        <v>0</v>
      </c>
      <c r="H13" s="513">
        <f t="shared" si="2"/>
        <v>0</v>
      </c>
      <c r="I13" s="513" t="str">
        <f t="shared" si="2"/>
        <v>FLAT</v>
      </c>
      <c r="J13" s="513">
        <f t="shared" si="2"/>
        <v>0</v>
      </c>
      <c r="K13" s="513">
        <f t="shared" si="2"/>
        <v>0</v>
      </c>
      <c r="L13" s="513">
        <f t="shared" si="2"/>
        <v>0</v>
      </c>
      <c r="M13" s="513">
        <f t="shared" si="2"/>
        <v>0</v>
      </c>
      <c r="N13" s="513">
        <f t="shared" si="2"/>
        <v>0</v>
      </c>
      <c r="O13" s="513">
        <f t="shared" si="2"/>
        <v>0</v>
      </c>
      <c r="P13" s="513">
        <f t="shared" si="2"/>
        <v>0</v>
      </c>
      <c r="Q13" s="513">
        <f t="shared" si="2"/>
        <v>0</v>
      </c>
      <c r="R13" s="513" t="str">
        <f t="shared" si="2"/>
        <v/>
      </c>
    </row>
    <row r="14" spans="1:107" ht="24.95" customHeight="1">
      <c r="C14" s="513"/>
      <c r="D14" s="515"/>
      <c r="E14" s="514"/>
      <c r="F14" s="514"/>
      <c r="G14" s="514"/>
      <c r="H14" s="514"/>
      <c r="I14" s="514"/>
      <c r="J14" s="514"/>
      <c r="K14" s="514"/>
      <c r="L14" s="514"/>
      <c r="M14" s="514"/>
      <c r="N14" s="514"/>
      <c r="O14" s="514"/>
      <c r="P14" s="514"/>
      <c r="Q14" s="514"/>
      <c r="R14" s="514"/>
    </row>
    <row r="15" spans="1:107" ht="24.95" customHeight="1">
      <c r="C15" s="513"/>
      <c r="D15" s="516"/>
      <c r="E15" s="514"/>
      <c r="F15" s="514"/>
      <c r="G15" s="514"/>
      <c r="H15" s="514"/>
      <c r="I15" s="514"/>
      <c r="J15" s="514"/>
      <c r="K15" s="514"/>
      <c r="L15" s="514"/>
      <c r="M15" s="514"/>
      <c r="N15" s="514"/>
      <c r="O15" s="514"/>
      <c r="P15" s="514"/>
      <c r="Q15" s="514"/>
      <c r="R15" s="514"/>
    </row>
    <row r="16" spans="1:107" ht="24.95" customHeight="1">
      <c r="C16" s="513"/>
      <c r="D16" s="513"/>
      <c r="E16" s="514"/>
      <c r="F16" s="514"/>
      <c r="G16" s="514"/>
      <c r="H16" s="514"/>
      <c r="I16" s="514"/>
      <c r="J16" s="514"/>
      <c r="K16" s="514"/>
      <c r="L16" s="514"/>
      <c r="M16" s="514"/>
      <c r="N16" s="514"/>
      <c r="O16" s="514"/>
      <c r="P16" s="514"/>
      <c r="Q16" s="514"/>
      <c r="R16" s="514"/>
    </row>
    <row r="17" spans="3:18" ht="24.95" customHeight="1">
      <c r="C17" s="513"/>
      <c r="D17" s="515"/>
      <c r="E17" s="514"/>
      <c r="F17" s="514"/>
      <c r="G17" s="514"/>
      <c r="H17" s="514"/>
      <c r="I17" s="514"/>
      <c r="J17" s="514"/>
      <c r="K17" s="514"/>
      <c r="L17" s="514"/>
      <c r="M17" s="514"/>
      <c r="N17" s="514"/>
      <c r="O17" s="514"/>
      <c r="P17" s="514"/>
      <c r="Q17" s="514"/>
      <c r="R17" s="514"/>
    </row>
    <row r="18" spans="3:18" ht="24.95" customHeight="1">
      <c r="C18" s="513"/>
      <c r="D18" s="516"/>
      <c r="E18" s="514"/>
      <c r="F18" s="514"/>
      <c r="G18" s="514"/>
      <c r="H18" s="514"/>
      <c r="I18" s="514"/>
      <c r="J18" s="514"/>
      <c r="K18" s="514"/>
      <c r="L18" s="514"/>
      <c r="M18" s="514"/>
      <c r="N18" s="514"/>
      <c r="O18" s="514"/>
      <c r="P18" s="514"/>
      <c r="Q18" s="514"/>
      <c r="R18" s="514"/>
    </row>
    <row r="19" spans="3:18" ht="24.95" customHeight="1">
      <c r="C19" s="513"/>
      <c r="D19" s="513"/>
      <c r="E19" s="514"/>
      <c r="F19" s="514"/>
      <c r="G19" s="514"/>
      <c r="H19" s="514"/>
      <c r="I19" s="514"/>
      <c r="J19" s="514"/>
      <c r="K19" s="514"/>
      <c r="L19" s="514"/>
      <c r="M19" s="514"/>
      <c r="N19" s="514"/>
      <c r="O19" s="514"/>
      <c r="P19" s="514"/>
      <c r="Q19" s="514"/>
      <c r="R19" s="514"/>
    </row>
    <row r="20" spans="3:18" ht="24.95" customHeight="1">
      <c r="C20" s="513"/>
      <c r="D20" s="515"/>
      <c r="E20" s="514"/>
      <c r="F20" s="514"/>
      <c r="G20" s="514"/>
      <c r="H20" s="514"/>
      <c r="I20" s="514"/>
      <c r="J20" s="514"/>
      <c r="K20" s="514"/>
      <c r="L20" s="514"/>
      <c r="M20" s="514"/>
      <c r="N20" s="514"/>
      <c r="O20" s="514"/>
      <c r="P20" s="514"/>
      <c r="Q20" s="514"/>
      <c r="R20" s="514"/>
    </row>
    <row r="21" spans="3:18" ht="24.95" customHeight="1">
      <c r="C21" s="513"/>
      <c r="D21" s="516"/>
      <c r="E21" s="514"/>
      <c r="F21" s="514"/>
      <c r="G21" s="514"/>
      <c r="H21" s="514"/>
      <c r="I21" s="514"/>
      <c r="J21" s="514"/>
      <c r="K21" s="514"/>
      <c r="L21" s="514"/>
      <c r="M21" s="514"/>
      <c r="N21" s="514"/>
      <c r="O21" s="514"/>
      <c r="P21" s="514"/>
      <c r="Q21" s="514"/>
      <c r="R21" s="514"/>
    </row>
    <row r="22" spans="3:18" ht="24.95" customHeight="1">
      <c r="C22" s="513"/>
      <c r="D22" s="513"/>
      <c r="E22" s="514"/>
      <c r="F22" s="514"/>
      <c r="G22" s="514"/>
      <c r="H22" s="514"/>
      <c r="I22" s="514"/>
      <c r="J22" s="514"/>
      <c r="K22" s="514"/>
      <c r="L22" s="514"/>
      <c r="M22" s="514"/>
      <c r="N22" s="514"/>
      <c r="O22" s="514"/>
      <c r="P22" s="514"/>
      <c r="Q22" s="514"/>
      <c r="R22" s="514"/>
    </row>
    <row r="23" spans="3:18" ht="24.95" customHeight="1">
      <c r="C23" s="513"/>
      <c r="D23" s="515"/>
      <c r="E23" s="514"/>
      <c r="F23" s="514"/>
      <c r="G23" s="514"/>
      <c r="H23" s="514"/>
      <c r="I23" s="514"/>
      <c r="J23" s="514"/>
      <c r="K23" s="514"/>
      <c r="L23" s="514"/>
      <c r="M23" s="514"/>
      <c r="N23" s="514"/>
      <c r="O23" s="514"/>
      <c r="P23" s="514"/>
      <c r="Q23" s="514"/>
      <c r="R23" s="514"/>
    </row>
    <row r="24" spans="3:18" ht="24.95" customHeight="1">
      <c r="C24" s="513"/>
      <c r="D24" s="516"/>
      <c r="E24" s="514"/>
      <c r="F24" s="514"/>
      <c r="G24" s="514"/>
      <c r="H24" s="514"/>
      <c r="I24" s="514"/>
      <c r="J24" s="514"/>
      <c r="K24" s="514"/>
      <c r="L24" s="514"/>
      <c r="M24" s="514"/>
      <c r="N24" s="514"/>
      <c r="O24" s="514"/>
      <c r="P24" s="514"/>
      <c r="Q24" s="514"/>
      <c r="R24" s="514"/>
    </row>
    <row r="25" spans="3:18" ht="24.95" customHeight="1">
      <c r="C25" s="513"/>
      <c r="D25" s="513"/>
      <c r="E25" s="514"/>
      <c r="F25" s="514"/>
      <c r="G25" s="514"/>
      <c r="H25" s="514"/>
      <c r="I25" s="514"/>
      <c r="J25" s="514"/>
      <c r="K25" s="514"/>
      <c r="L25" s="514"/>
      <c r="M25" s="514"/>
      <c r="N25" s="514"/>
      <c r="O25" s="514"/>
      <c r="P25" s="514"/>
      <c r="Q25" s="514"/>
      <c r="R25" s="514"/>
    </row>
    <row r="26" spans="3:18" ht="24.95" customHeight="1">
      <c r="C26" s="513"/>
      <c r="D26" s="515"/>
      <c r="E26" s="514"/>
      <c r="F26" s="514"/>
      <c r="G26" s="514"/>
      <c r="H26" s="514"/>
      <c r="I26" s="514"/>
      <c r="J26" s="514"/>
      <c r="K26" s="514"/>
      <c r="L26" s="514"/>
      <c r="M26" s="514"/>
      <c r="N26" s="514"/>
      <c r="O26" s="514"/>
      <c r="P26" s="514"/>
      <c r="Q26" s="514"/>
      <c r="R26" s="514"/>
    </row>
    <row r="27" spans="3:18" ht="24.95" customHeight="1">
      <c r="C27" s="513"/>
      <c r="D27" s="516"/>
      <c r="E27" s="514"/>
      <c r="F27" s="514"/>
      <c r="G27" s="514"/>
      <c r="H27" s="514"/>
      <c r="I27" s="514"/>
      <c r="J27" s="514"/>
      <c r="K27" s="514"/>
      <c r="L27" s="514"/>
      <c r="M27" s="514"/>
      <c r="N27" s="514"/>
      <c r="O27" s="514"/>
      <c r="P27" s="514"/>
      <c r="Q27" s="514"/>
      <c r="R27" s="514"/>
    </row>
    <row r="28" spans="3:18" ht="24.95" customHeight="1">
      <c r="C28" s="513"/>
      <c r="D28" s="513"/>
      <c r="E28" s="514"/>
      <c r="F28" s="514"/>
      <c r="G28" s="514"/>
      <c r="H28" s="514"/>
      <c r="I28" s="514"/>
      <c r="J28" s="514"/>
      <c r="K28" s="514"/>
      <c r="L28" s="514"/>
      <c r="M28" s="514"/>
      <c r="N28" s="514"/>
      <c r="O28" s="514"/>
      <c r="P28" s="514"/>
      <c r="Q28" s="514"/>
      <c r="R28" s="514"/>
    </row>
    <row r="29" spans="3:18" ht="24.95" customHeight="1">
      <c r="C29" s="513"/>
      <c r="D29" s="515"/>
      <c r="E29" s="514"/>
      <c r="F29" s="514"/>
      <c r="G29" s="514"/>
      <c r="H29" s="514"/>
      <c r="I29" s="514"/>
      <c r="J29" s="514"/>
      <c r="K29" s="514"/>
      <c r="L29" s="514"/>
      <c r="M29" s="514"/>
      <c r="N29" s="514"/>
      <c r="O29" s="514"/>
      <c r="P29" s="514"/>
      <c r="Q29" s="514"/>
      <c r="R29" s="514"/>
    </row>
    <row r="30" spans="3:18" ht="24.95" customHeight="1">
      <c r="C30" s="513"/>
      <c r="D30" s="516"/>
      <c r="E30" s="514"/>
      <c r="F30" s="514"/>
      <c r="G30" s="514"/>
      <c r="H30" s="514"/>
      <c r="I30" s="514"/>
      <c r="J30" s="514"/>
      <c r="K30" s="514"/>
      <c r="L30" s="514"/>
      <c r="M30" s="514"/>
      <c r="N30" s="514"/>
      <c r="O30" s="514"/>
      <c r="P30" s="514"/>
      <c r="Q30" s="514"/>
      <c r="R30" s="514"/>
    </row>
    <row r="31" spans="3:18" ht="24.95" customHeight="1">
      <c r="C31" s="513"/>
      <c r="D31" s="513"/>
      <c r="E31" s="514"/>
      <c r="F31" s="514"/>
      <c r="G31" s="514"/>
      <c r="H31" s="514"/>
      <c r="I31" s="514"/>
      <c r="J31" s="514"/>
      <c r="K31" s="514"/>
      <c r="L31" s="514"/>
      <c r="M31" s="514"/>
      <c r="N31" s="514"/>
      <c r="O31" s="514"/>
      <c r="P31" s="514"/>
      <c r="Q31" s="514"/>
      <c r="R31" s="514"/>
    </row>
    <row r="32" spans="3:18" ht="24.95" customHeight="1">
      <c r="C32" s="513"/>
      <c r="D32" s="515"/>
      <c r="E32" s="514"/>
      <c r="F32" s="514"/>
      <c r="G32" s="514"/>
      <c r="H32" s="514"/>
      <c r="I32" s="514"/>
      <c r="J32" s="514"/>
      <c r="K32" s="514"/>
      <c r="L32" s="514"/>
      <c r="M32" s="514"/>
      <c r="N32" s="514"/>
      <c r="O32" s="514"/>
      <c r="P32" s="514"/>
      <c r="Q32" s="514"/>
      <c r="R32" s="514"/>
    </row>
    <row r="33" spans="3:18" ht="24.95" customHeight="1">
      <c r="C33" s="513"/>
      <c r="D33" s="516"/>
      <c r="E33" s="514"/>
      <c r="F33" s="514"/>
      <c r="G33" s="514"/>
      <c r="H33" s="514"/>
      <c r="I33" s="514"/>
      <c r="J33" s="514"/>
      <c r="K33" s="514"/>
      <c r="L33" s="514"/>
      <c r="M33" s="514"/>
      <c r="N33" s="514"/>
      <c r="O33" s="514"/>
      <c r="P33" s="514"/>
      <c r="Q33" s="514"/>
      <c r="R33" s="514"/>
    </row>
  </sheetData>
  <mergeCells count="2">
    <mergeCell ref="K4:P4"/>
    <mergeCell ref="Q4:R4"/>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sheetPr codeName="Sheet5"/>
  <dimension ref="A4:DC53"/>
  <sheetViews>
    <sheetView topLeftCell="A4" zoomScale="115" zoomScaleNormal="115" workbookViewId="0">
      <selection activeCell="A11" sqref="A11:XFD12"/>
    </sheetView>
  </sheetViews>
  <sheetFormatPr defaultRowHeight="12.75"/>
  <cols>
    <col min="2" max="2" width="19.140625" customWidth="1"/>
    <col min="3" max="3" width="72" customWidth="1"/>
    <col min="4" max="4" width="23.140625" customWidth="1"/>
    <col min="8" max="8" width="12.42578125" bestFit="1" customWidth="1"/>
    <col min="17" max="17" width="11.140625" customWidth="1"/>
  </cols>
  <sheetData>
    <row r="4" spans="1:107">
      <c r="B4" s="510" t="s">
        <v>1099</v>
      </c>
      <c r="C4">
        <v>1</v>
      </c>
      <c r="D4">
        <v>2</v>
      </c>
      <c r="E4">
        <v>3</v>
      </c>
      <c r="F4">
        <v>4</v>
      </c>
      <c r="G4">
        <v>5</v>
      </c>
      <c r="H4">
        <v>6</v>
      </c>
      <c r="I4">
        <v>7</v>
      </c>
      <c r="J4">
        <v>8</v>
      </c>
      <c r="K4">
        <v>9</v>
      </c>
      <c r="L4">
        <v>10</v>
      </c>
      <c r="M4">
        <v>11</v>
      </c>
      <c r="N4">
        <v>12</v>
      </c>
      <c r="O4">
        <v>13</v>
      </c>
      <c r="P4">
        <v>14</v>
      </c>
      <c r="Q4">
        <v>15</v>
      </c>
      <c r="R4">
        <v>16</v>
      </c>
    </row>
    <row r="5" spans="1:107" s="34" customFormat="1">
      <c r="C5" s="119" t="s">
        <v>200</v>
      </c>
      <c r="D5" s="120"/>
      <c r="E5" s="120"/>
      <c r="F5" s="120"/>
      <c r="G5" s="120"/>
      <c r="H5" s="120"/>
      <c r="I5" s="121"/>
      <c r="J5" s="511"/>
      <c r="K5" s="620" t="s">
        <v>201</v>
      </c>
      <c r="L5" s="621"/>
      <c r="M5" s="621"/>
      <c r="N5" s="621"/>
      <c r="O5" s="621"/>
      <c r="P5" s="622"/>
      <c r="Q5" s="623" t="s">
        <v>202</v>
      </c>
      <c r="R5" s="624"/>
      <c r="S5" s="123"/>
      <c r="T5" s="124"/>
      <c r="U5" s="124"/>
      <c r="V5" s="124"/>
      <c r="W5" s="124"/>
      <c r="X5" s="124"/>
      <c r="Y5" s="124"/>
      <c r="Z5" s="125"/>
      <c r="AA5" s="126"/>
      <c r="AB5" s="124"/>
      <c r="AC5" s="124"/>
      <c r="AD5" s="124"/>
      <c r="AE5" s="124"/>
      <c r="AF5" s="124"/>
      <c r="AG5" s="127"/>
      <c r="AH5" s="127"/>
      <c r="AI5" s="127"/>
      <c r="AJ5" s="127"/>
      <c r="AK5" s="127"/>
      <c r="AL5" s="127"/>
      <c r="AM5" s="127"/>
      <c r="AN5" s="127"/>
      <c r="AO5" s="127"/>
      <c r="AP5" s="127"/>
      <c r="AQ5" s="127"/>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c r="BW5" s="109"/>
      <c r="BX5" s="109"/>
      <c r="BY5" s="109"/>
      <c r="BZ5" s="109"/>
      <c r="CA5" s="109"/>
      <c r="CB5" s="109"/>
      <c r="CC5" s="109"/>
      <c r="CD5" s="109"/>
      <c r="CE5" s="109"/>
      <c r="CF5" s="109"/>
      <c r="CG5" s="109"/>
      <c r="CH5" s="109"/>
      <c r="CI5" s="109"/>
      <c r="CJ5" s="109"/>
      <c r="CK5" s="109"/>
      <c r="CL5" s="109"/>
      <c r="CM5" s="109"/>
      <c r="CN5" s="109"/>
      <c r="CO5" s="109"/>
      <c r="CP5" s="109"/>
      <c r="CQ5" s="109"/>
      <c r="CR5" s="109"/>
      <c r="CS5" s="109"/>
      <c r="CT5" s="109"/>
      <c r="CU5" s="109"/>
      <c r="CV5" s="109"/>
      <c r="CW5" s="109"/>
      <c r="CX5" s="109"/>
      <c r="CY5" s="109"/>
      <c r="CZ5" s="109"/>
      <c r="DA5" s="109"/>
      <c r="DB5" s="109"/>
      <c r="DC5" s="109"/>
    </row>
    <row r="6" spans="1:107" s="34" customFormat="1" ht="25.5">
      <c r="A6" s="34" t="s">
        <v>928</v>
      </c>
      <c r="B6" s="34" t="s">
        <v>929</v>
      </c>
      <c r="C6" s="128" t="s">
        <v>203</v>
      </c>
      <c r="D6" s="128" t="s">
        <v>204</v>
      </c>
      <c r="E6" s="128" t="s">
        <v>205</v>
      </c>
      <c r="F6" s="128" t="s">
        <v>206</v>
      </c>
      <c r="G6" s="128" t="s">
        <v>207</v>
      </c>
      <c r="H6" s="128" t="s">
        <v>208</v>
      </c>
      <c r="I6" s="128" t="s">
        <v>209</v>
      </c>
      <c r="J6" s="128" t="s">
        <v>210</v>
      </c>
      <c r="K6" s="128" t="s">
        <v>211</v>
      </c>
      <c r="L6" s="128" t="s">
        <v>212</v>
      </c>
      <c r="M6" s="128" t="s">
        <v>213</v>
      </c>
      <c r="N6" s="128" t="s">
        <v>214</v>
      </c>
      <c r="O6" s="128" t="s">
        <v>215</v>
      </c>
      <c r="P6" s="128" t="s">
        <v>216</v>
      </c>
      <c r="Q6" s="512" t="s">
        <v>217</v>
      </c>
      <c r="R6" s="128" t="s">
        <v>209</v>
      </c>
      <c r="S6" s="133"/>
      <c r="T6" s="133"/>
      <c r="U6" s="133"/>
      <c r="V6" s="133"/>
      <c r="W6" s="133"/>
      <c r="X6" s="133"/>
      <c r="Y6" s="133"/>
      <c r="Z6" s="133"/>
      <c r="AA6" s="133"/>
      <c r="AB6" s="133"/>
      <c r="AC6" s="133"/>
      <c r="AD6" s="133"/>
      <c r="AE6" s="133"/>
      <c r="AF6" s="133"/>
      <c r="AG6" s="127"/>
      <c r="AH6" s="127"/>
      <c r="AI6" s="127"/>
      <c r="AJ6" s="127"/>
      <c r="AK6" s="127"/>
      <c r="AL6" s="127"/>
      <c r="AM6" s="127"/>
      <c r="AN6" s="127"/>
      <c r="AO6" s="127"/>
      <c r="AP6" s="127"/>
      <c r="AQ6" s="127"/>
      <c r="AR6" s="109"/>
      <c r="AS6" s="109"/>
      <c r="AT6" s="109"/>
      <c r="AU6" s="109"/>
      <c r="AV6" s="109"/>
      <c r="AW6" s="109"/>
      <c r="AX6" s="109"/>
      <c r="AY6" s="109"/>
      <c r="AZ6" s="109"/>
      <c r="BA6" s="109"/>
      <c r="BB6" s="109"/>
      <c r="BC6" s="109"/>
      <c r="BD6" s="109"/>
      <c r="BE6" s="109"/>
      <c r="BF6" s="109"/>
      <c r="BG6" s="109"/>
      <c r="BH6" s="109"/>
      <c r="BI6" s="109"/>
      <c r="BJ6" s="109"/>
      <c r="BK6" s="109"/>
      <c r="BL6" s="109"/>
      <c r="BM6" s="109"/>
      <c r="BN6" s="109"/>
      <c r="BO6" s="109"/>
      <c r="BP6" s="109"/>
      <c r="BQ6" s="109"/>
      <c r="BR6" s="109"/>
      <c r="BS6" s="109"/>
      <c r="BT6" s="109"/>
      <c r="BU6" s="109"/>
      <c r="BV6" s="109"/>
      <c r="BW6" s="109"/>
      <c r="BX6" s="109"/>
      <c r="BY6" s="109"/>
      <c r="BZ6" s="109"/>
      <c r="CA6" s="109"/>
      <c r="CB6" s="109"/>
      <c r="CC6" s="109"/>
      <c r="CD6" s="109"/>
      <c r="CE6" s="109"/>
      <c r="CF6" s="109"/>
      <c r="CG6" s="109"/>
      <c r="CH6" s="109"/>
      <c r="CI6" s="109"/>
      <c r="CJ6" s="109"/>
      <c r="CK6" s="109"/>
      <c r="CL6" s="109"/>
      <c r="CM6" s="109"/>
      <c r="CN6" s="109"/>
      <c r="CO6" s="109"/>
      <c r="CP6" s="109"/>
      <c r="CQ6" s="109"/>
      <c r="CR6" s="109"/>
      <c r="CS6" s="109"/>
      <c r="CT6" s="109"/>
      <c r="CU6" s="109"/>
      <c r="CV6" s="109"/>
      <c r="CW6" s="109"/>
      <c r="CX6" s="109"/>
      <c r="CY6" s="109"/>
      <c r="CZ6" s="109"/>
      <c r="DA6" s="109"/>
      <c r="DB6" s="109"/>
      <c r="DC6" s="109"/>
    </row>
    <row r="7" spans="1:107" ht="25.5">
      <c r="A7" t="s">
        <v>930</v>
      </c>
      <c r="B7" t="str">
        <f>A7&amp;C7&amp;D7</f>
        <v>Single FamilyEnergy Star Dishwasher - Any DHWAll Except Waste Water Energy</v>
      </c>
      <c r="C7" s="513" t="str">
        <f>RawRTF!C10</f>
        <v>Energy Star Dishwasher - Any DHW</v>
      </c>
      <c r="D7" s="513" t="str">
        <f>RawRTF!D10</f>
        <v>All Except Waste Water Energy</v>
      </c>
      <c r="E7" s="514">
        <f>VLOOKUP($B7,RawRTF!$B$8:$T$100,E$4+1,FALSE)</f>
        <v>0.73441449581893048</v>
      </c>
      <c r="F7" s="514">
        <f>VLOOKUP($B7,RawRTF!$B$8:$T$100,F$4+1,FALSE)</f>
        <v>15.4</v>
      </c>
      <c r="G7" s="514">
        <f>VLOOKUP($B7,RawRTF!$B$8:$T$100,G$4+1,FALSE)</f>
        <v>5.2795660553372441</v>
      </c>
      <c r="H7" s="514">
        <f>VLOOKUP($B7,RawRTF!$B$8:$T$100,H$4+1,FALSE)</f>
        <v>0</v>
      </c>
      <c r="I7" s="514" t="str">
        <f>VLOOKUP($B7,RawRTF!$B$8:$T$100,I$4+1,FALSE)</f>
        <v>ResDHW</v>
      </c>
      <c r="J7" s="514">
        <f>VLOOKUP($B7,RawRTF!$B$8:$T$100,J$4+1,FALSE)</f>
        <v>0.33177417068635534</v>
      </c>
      <c r="K7" s="514">
        <f>VLOOKUP($B7,RawRTF!$B$8:$T$100,K$4+1,FALSE)</f>
        <v>0</v>
      </c>
      <c r="L7" s="514">
        <f>VLOOKUP($B7,RawRTF!$B$8:$T$100,L$4+1,FALSE)</f>
        <v>0</v>
      </c>
      <c r="M7" s="514">
        <f>VLOOKUP($B7,RawRTF!$B$8:$T$100,M$4+1,FALSE)</f>
        <v>0</v>
      </c>
      <c r="N7" s="514">
        <f>VLOOKUP($B7,RawRTF!$B$8:$T$100,N$4+1,FALSE)</f>
        <v>0</v>
      </c>
      <c r="O7" s="514">
        <f>VLOOKUP($B7,RawRTF!$B$8:$T$100,O$4+1,FALSE)</f>
        <v>0</v>
      </c>
      <c r="P7" s="514">
        <f>VLOOKUP($B7,RawRTF!$B$8:$T$100,P$4+1,FALSE)</f>
        <v>0</v>
      </c>
      <c r="Q7" s="514">
        <f>VLOOKUP($B7,RawRTF!$B$8:$T$100,Q$4+1,FALSE)</f>
        <v>0.12302457103498743</v>
      </c>
      <c r="R7" s="514" t="str">
        <f>IF(VLOOKUP($B7,RawRTF!$B$8:$T$100,R$4+1,FALSE)=0,"",VLOOKUP($B7,RawRTF!$B$8:$T$100,R$4+1,FALSE))</f>
        <v>ResDHW</v>
      </c>
      <c r="S7" s="514"/>
      <c r="T7" s="514"/>
      <c r="U7" s="514"/>
      <c r="V7" s="514"/>
      <c r="W7" s="514"/>
      <c r="X7" s="514"/>
      <c r="Y7" s="514"/>
      <c r="Z7" s="514"/>
      <c r="AA7" s="514"/>
      <c r="AB7" s="514"/>
      <c r="AC7" s="514"/>
      <c r="AD7" s="514"/>
      <c r="AE7" s="514"/>
      <c r="AF7" s="514"/>
      <c r="AG7" s="514"/>
      <c r="AH7" s="514"/>
      <c r="AI7" s="514"/>
      <c r="AJ7" s="514"/>
      <c r="AK7" s="514"/>
      <c r="AL7" s="514"/>
      <c r="AM7" s="514"/>
      <c r="AN7" s="514"/>
    </row>
    <row r="8" spans="1:107">
      <c r="A8" t="s">
        <v>930</v>
      </c>
      <c r="B8" t="str">
        <f t="shared" ref="B8:B12" si="0">A8&amp;C8&amp;D8</f>
        <v>Single FamilyEnergy Star Dishwasher - Any DHWWaste Water Energy</v>
      </c>
      <c r="C8" s="513" t="str">
        <f>RawRTF!C16</f>
        <v>Energy Star Dishwasher - Any DHW</v>
      </c>
      <c r="D8" s="513" t="str">
        <f>RawRTF!D16</f>
        <v>Waste Water Energy</v>
      </c>
      <c r="E8" s="514">
        <f>VLOOKUP($B8,RawRTF!$B$8:$T$100,E$4+1,FALSE)</f>
        <v>0.19001627921082875</v>
      </c>
      <c r="F8" s="514">
        <f>VLOOKUP($B8,RawRTF!$B$8:$T$100,F$4+1,FALSE)</f>
        <v>15.4</v>
      </c>
      <c r="G8" s="514">
        <f>VLOOKUP($B8,RawRTF!$B$8:$T$100,G$4+1,FALSE)</f>
        <v>0</v>
      </c>
      <c r="H8" s="514">
        <f>VLOOKUP($B8,RawRTF!$B$8:$T$100,H$4+1,FALSE)</f>
        <v>0</v>
      </c>
      <c r="I8" s="514" t="str">
        <f>VLOOKUP($B8,RawRTF!$B$8:$T$100,I$4+1,FALSE)</f>
        <v>FLAT</v>
      </c>
      <c r="J8" s="514">
        <f>VLOOKUP($B8,RawRTF!$B$8:$T$100,J$4+1,FALSE)</f>
        <v>0</v>
      </c>
      <c r="K8" s="514">
        <f>VLOOKUP($B8,RawRTF!$B$8:$T$100,K$4+1,FALSE)</f>
        <v>0</v>
      </c>
      <c r="L8" s="514">
        <f>VLOOKUP($B8,RawRTF!$B$8:$T$100,L$4+1,FALSE)</f>
        <v>0</v>
      </c>
      <c r="M8" s="514">
        <f>VLOOKUP($B8,RawRTF!$B$8:$T$100,M$4+1,FALSE)</f>
        <v>0</v>
      </c>
      <c r="N8" s="514">
        <f>VLOOKUP($B8,RawRTF!$B$8:$T$100,N$4+1,FALSE)</f>
        <v>0</v>
      </c>
      <c r="O8" s="514">
        <f>VLOOKUP($B8,RawRTF!$B$8:$T$100,O$4+1,FALSE)</f>
        <v>0</v>
      </c>
      <c r="P8" s="514">
        <f>VLOOKUP($B8,RawRTF!$B$8:$T$100,P$4+1,FALSE)</f>
        <v>0</v>
      </c>
      <c r="Q8" s="514">
        <f>VLOOKUP($B8,RawRTF!$B$8:$T$100,Q$4+1,FALSE)</f>
        <v>0</v>
      </c>
      <c r="R8" s="514" t="str">
        <f>IF(VLOOKUP($B8,RawRTF!$B$8:$T$100,R$4+1,FALSE)=0,"",VLOOKUP($B8,RawRTF!$B$8:$T$100,R$4+1,FALSE))</f>
        <v/>
      </c>
      <c r="S8" s="514"/>
      <c r="T8" s="514"/>
      <c r="U8" s="514"/>
      <c r="V8" s="514"/>
      <c r="W8" s="514"/>
      <c r="X8" s="514"/>
      <c r="Y8" s="514"/>
      <c r="Z8" s="514"/>
      <c r="AA8" s="514"/>
      <c r="AB8" s="514"/>
      <c r="AC8" s="514"/>
      <c r="AD8" s="514"/>
      <c r="AE8" s="514"/>
      <c r="AF8" s="514"/>
      <c r="AG8" s="514"/>
      <c r="AH8" s="514"/>
      <c r="AI8" s="514"/>
      <c r="AJ8" s="514"/>
      <c r="AK8" s="514"/>
      <c r="AL8" s="514"/>
      <c r="AM8" s="514"/>
      <c r="AN8" s="514"/>
    </row>
    <row r="9" spans="1:107" ht="25.5">
      <c r="A9" t="s">
        <v>932</v>
      </c>
      <c r="B9" t="str">
        <f t="shared" si="0"/>
        <v>MultifamilyEnergy Star Dishwasher - Any DHWAll Except Waste Water Energy</v>
      </c>
      <c r="C9" s="513" t="s">
        <v>938</v>
      </c>
      <c r="D9" s="513" t="s">
        <v>220</v>
      </c>
      <c r="E9" s="514">
        <f>VLOOKUP($B9,RawRTF!$B$8:$T$100,E$4+1,FALSE)</f>
        <v>3.1180591628190424</v>
      </c>
      <c r="F9" s="514">
        <f>VLOOKUP($B9,RawRTF!$B$8:$T$100,F$4+1,FALSE)</f>
        <v>15.4</v>
      </c>
      <c r="G9" s="514">
        <f>VLOOKUP($B9,RawRTF!$B$8:$T$100,G$4+1,FALSE)</f>
        <v>5.2795660553372441</v>
      </c>
      <c r="H9" s="514">
        <f>VLOOKUP($B9,RawRTF!$B$8:$T$100,H$4+1,FALSE)</f>
        <v>0</v>
      </c>
      <c r="I9" s="514" t="str">
        <f>VLOOKUP($B9,RawRTF!$B$8:$T$100,I$4+1,FALSE)</f>
        <v>ResDHW</v>
      </c>
      <c r="J9" s="514">
        <f>VLOOKUP($B9,RawRTF!$B$8:$T$100,J$4+1,FALSE)</f>
        <v>0.33177417068635534</v>
      </c>
      <c r="K9" s="514">
        <f>VLOOKUP($B9,RawRTF!$B$8:$T$100,K$4+1,FALSE)</f>
        <v>0</v>
      </c>
      <c r="L9" s="514">
        <f>VLOOKUP($B9,RawRTF!$B$8:$T$100,L$4+1,FALSE)</f>
        <v>0</v>
      </c>
      <c r="M9" s="514">
        <f>VLOOKUP($B9,RawRTF!$B$8:$T$100,M$4+1,FALSE)</f>
        <v>0</v>
      </c>
      <c r="N9" s="514">
        <f>VLOOKUP($B9,RawRTF!$B$8:$T$100,N$4+1,FALSE)</f>
        <v>0</v>
      </c>
      <c r="O9" s="514">
        <f>VLOOKUP($B9,RawRTF!$B$8:$T$100,O$4+1,FALSE)</f>
        <v>0</v>
      </c>
      <c r="P9" s="514">
        <f>VLOOKUP($B9,RawRTF!$B$8:$T$100,P$4+1,FALSE)</f>
        <v>0</v>
      </c>
      <c r="Q9" s="514">
        <f>VLOOKUP($B9,RawRTF!$B$8:$T$100,Q$4+1,FALSE)</f>
        <v>1.4554246126907009E-2</v>
      </c>
      <c r="R9" s="514" t="str">
        <f>IF(VLOOKUP($B9,RawRTF!$B$8:$T$100,R$4+1,FALSE)=0,"",VLOOKUP($B9,RawRTF!$B$8:$T$100,R$4+1,FALSE))</f>
        <v>ResDHW</v>
      </c>
      <c r="S9" s="514"/>
      <c r="T9" s="514"/>
      <c r="U9" s="514"/>
      <c r="V9" s="514"/>
      <c r="W9" s="514"/>
      <c r="X9" s="514"/>
      <c r="Y9" s="514"/>
      <c r="Z9" s="514"/>
      <c r="AA9" s="514"/>
      <c r="AB9" s="514"/>
      <c r="AC9" s="514"/>
      <c r="AD9" s="514"/>
      <c r="AE9" s="514"/>
      <c r="AF9" s="514"/>
      <c r="AG9" s="514"/>
      <c r="AH9" s="514"/>
      <c r="AI9" s="514"/>
      <c r="AJ9" s="514"/>
      <c r="AK9" s="514"/>
      <c r="AL9" s="514"/>
      <c r="AM9" s="514"/>
      <c r="AN9" s="514"/>
    </row>
    <row r="10" spans="1:107">
      <c r="A10" t="s">
        <v>932</v>
      </c>
      <c r="B10" t="str">
        <f t="shared" si="0"/>
        <v>MultifamilyEnergy Star Dishwasher - Any DHWWaste Water Energy</v>
      </c>
      <c r="C10" s="513" t="s">
        <v>938</v>
      </c>
      <c r="D10" s="513" t="s">
        <v>222</v>
      </c>
      <c r="E10" s="514">
        <f>VLOOKUP($B10,RawRTF!$B$8:$T$100,E$4+1,FALSE)</f>
        <v>0.19001627921082875</v>
      </c>
      <c r="F10" s="514">
        <f>VLOOKUP($B10,RawRTF!$B$8:$T$100,F$4+1,FALSE)</f>
        <v>15.4</v>
      </c>
      <c r="G10" s="514">
        <f>VLOOKUP($B10,RawRTF!$B$8:$T$100,G$4+1,FALSE)</f>
        <v>0</v>
      </c>
      <c r="H10" s="514">
        <f>VLOOKUP($B10,RawRTF!$B$8:$T$100,H$4+1,FALSE)</f>
        <v>0</v>
      </c>
      <c r="I10" s="514" t="str">
        <f>VLOOKUP($B10,RawRTF!$B$8:$T$100,I$4+1,FALSE)</f>
        <v>FLAT</v>
      </c>
      <c r="J10" s="514">
        <f>VLOOKUP($B10,RawRTF!$B$8:$T$100,J$4+1,FALSE)</f>
        <v>0</v>
      </c>
      <c r="K10" s="514">
        <f>VLOOKUP($B10,RawRTF!$B$8:$T$100,K$4+1,FALSE)</f>
        <v>0</v>
      </c>
      <c r="L10" s="514">
        <f>VLOOKUP($B10,RawRTF!$B$8:$T$100,L$4+1,FALSE)</f>
        <v>0</v>
      </c>
      <c r="M10" s="514">
        <f>VLOOKUP($B10,RawRTF!$B$8:$T$100,M$4+1,FALSE)</f>
        <v>0</v>
      </c>
      <c r="N10" s="514">
        <f>VLOOKUP($B10,RawRTF!$B$8:$T$100,N$4+1,FALSE)</f>
        <v>0</v>
      </c>
      <c r="O10" s="514">
        <f>VLOOKUP($B10,RawRTF!$B$8:$T$100,O$4+1,FALSE)</f>
        <v>0</v>
      </c>
      <c r="P10" s="514">
        <f>VLOOKUP($B10,RawRTF!$B$8:$T$100,P$4+1,FALSE)</f>
        <v>0</v>
      </c>
      <c r="Q10" s="514">
        <f>VLOOKUP($B10,RawRTF!$B$8:$T$100,Q$4+1,FALSE)</f>
        <v>0</v>
      </c>
      <c r="R10" s="514" t="str">
        <f>IF(VLOOKUP($B10,RawRTF!$B$8:$T$100,R$4+1,FALSE)=0,"",VLOOKUP($B10,RawRTF!$B$8:$T$100,R$4+1,FALSE))</f>
        <v/>
      </c>
      <c r="S10" s="514"/>
      <c r="T10" s="514"/>
      <c r="U10" s="514"/>
      <c r="V10" s="514"/>
      <c r="W10" s="514"/>
      <c r="X10" s="514"/>
      <c r="Y10" s="514"/>
      <c r="Z10" s="514"/>
      <c r="AA10" s="514"/>
      <c r="AB10" s="514"/>
      <c r="AC10" s="514"/>
      <c r="AD10" s="514"/>
      <c r="AE10" s="514"/>
      <c r="AF10" s="514"/>
      <c r="AG10" s="514"/>
      <c r="AH10" s="514"/>
      <c r="AI10" s="514"/>
      <c r="AJ10" s="514"/>
      <c r="AK10" s="514"/>
      <c r="AL10" s="514"/>
      <c r="AM10" s="514"/>
      <c r="AN10" s="514"/>
    </row>
    <row r="11" spans="1:107" ht="25.5">
      <c r="A11" t="s">
        <v>931</v>
      </c>
      <c r="B11" t="str">
        <f t="shared" si="0"/>
        <v>ManufacturedEnergy Star Dishwasher - Any DHWAll Except Waste Water Energy</v>
      </c>
      <c r="C11" s="513" t="s">
        <v>938</v>
      </c>
      <c r="D11" s="513" t="s">
        <v>220</v>
      </c>
      <c r="E11" s="514">
        <f>VLOOKUP($B11,RawRTF!$B$8:$T$100,E$4+1,FALSE)</f>
        <v>2.7680556420949758</v>
      </c>
      <c r="F11" s="514">
        <f>VLOOKUP($B11,RawRTF!$B$8:$T$100,F$4+1,FALSE)</f>
        <v>15.4</v>
      </c>
      <c r="G11" s="514">
        <f>VLOOKUP($B11,RawRTF!$B$8:$T$100,G$4+1,FALSE)</f>
        <v>5.2795660553372441</v>
      </c>
      <c r="H11" s="514">
        <f>VLOOKUP($B11,RawRTF!$B$8:$T$100,H$4+1,FALSE)</f>
        <v>0</v>
      </c>
      <c r="I11" s="514" t="str">
        <f>VLOOKUP($B11,RawRTF!$B$8:$T$100,I$4+1,FALSE)</f>
        <v>ResDHW</v>
      </c>
      <c r="J11" s="514">
        <f>VLOOKUP($B11,RawRTF!$B$8:$T$100,J$4+1,FALSE)</f>
        <v>0.33177417068635534</v>
      </c>
      <c r="K11" s="514">
        <f>VLOOKUP($B11,RawRTF!$B$8:$T$100,K$4+1,FALSE)</f>
        <v>0</v>
      </c>
      <c r="L11" s="514">
        <f>VLOOKUP($B11,RawRTF!$B$8:$T$100,L$4+1,FALSE)</f>
        <v>0</v>
      </c>
      <c r="M11" s="514">
        <f>VLOOKUP($B11,RawRTF!$B$8:$T$100,M$4+1,FALSE)</f>
        <v>0</v>
      </c>
      <c r="N11" s="514">
        <f>VLOOKUP($B11,RawRTF!$B$8:$T$100,N$4+1,FALSE)</f>
        <v>0</v>
      </c>
      <c r="O11" s="514">
        <f>VLOOKUP($B11,RawRTF!$B$8:$T$100,O$4+1,FALSE)</f>
        <v>0</v>
      </c>
      <c r="P11" s="514">
        <f>VLOOKUP($B11,RawRTF!$B$8:$T$100,P$4+1,FALSE)</f>
        <v>0</v>
      </c>
      <c r="Q11" s="514">
        <f>VLOOKUP($B11,RawRTF!$B$8:$T$100,Q$4+1,FALSE)</f>
        <v>3.0481534341258047E-2</v>
      </c>
      <c r="R11" s="514" t="str">
        <f>IF(VLOOKUP($B11,RawRTF!$B$8:$T$100,R$4+1,FALSE)=0,"",VLOOKUP($B11,RawRTF!$B$8:$T$100,R$4+1,FALSE))</f>
        <v>ResDHW</v>
      </c>
      <c r="S11" s="514"/>
      <c r="T11" s="514"/>
      <c r="U11" s="514"/>
      <c r="V11" s="514"/>
      <c r="W11" s="514"/>
      <c r="X11" s="514"/>
      <c r="Y11" s="514"/>
      <c r="Z11" s="514"/>
      <c r="AA11" s="514"/>
      <c r="AB11" s="514"/>
      <c r="AC11" s="514"/>
      <c r="AD11" s="514"/>
      <c r="AE11" s="514"/>
      <c r="AF11" s="514"/>
      <c r="AG11" s="514"/>
      <c r="AH11" s="514"/>
      <c r="AI11" s="514"/>
      <c r="AJ11" s="514"/>
      <c r="AK11" s="514"/>
      <c r="AL11" s="514"/>
      <c r="AM11" s="514"/>
      <c r="AN11" s="514"/>
    </row>
    <row r="12" spans="1:107">
      <c r="A12" t="s">
        <v>931</v>
      </c>
      <c r="B12" t="str">
        <f t="shared" si="0"/>
        <v>ManufacturedEnergy Star Dishwasher - Any DHWWaste Water Energy</v>
      </c>
      <c r="C12" s="513" t="s">
        <v>938</v>
      </c>
      <c r="D12" s="513" t="s">
        <v>222</v>
      </c>
      <c r="E12" s="514">
        <f>VLOOKUP($B12,RawRTF!$B$8:$T$100,E$4+1,FALSE)</f>
        <v>0.19001627921082875</v>
      </c>
      <c r="F12" s="514">
        <f>VLOOKUP($B12,RawRTF!$B$8:$T$100,F$4+1,FALSE)</f>
        <v>15.4</v>
      </c>
      <c r="G12" s="514">
        <f>VLOOKUP($B12,RawRTF!$B$8:$T$100,G$4+1,FALSE)</f>
        <v>0</v>
      </c>
      <c r="H12" s="514">
        <f>VLOOKUP($B12,RawRTF!$B$8:$T$100,H$4+1,FALSE)</f>
        <v>0</v>
      </c>
      <c r="I12" s="514" t="str">
        <f>VLOOKUP($B12,RawRTF!$B$8:$T$100,I$4+1,FALSE)</f>
        <v>FLAT</v>
      </c>
      <c r="J12" s="514">
        <f>VLOOKUP($B12,RawRTF!$B$8:$T$100,J$4+1,FALSE)</f>
        <v>0</v>
      </c>
      <c r="K12" s="514">
        <f>VLOOKUP($B12,RawRTF!$B$8:$T$100,K$4+1,FALSE)</f>
        <v>0</v>
      </c>
      <c r="L12" s="514">
        <f>VLOOKUP($B12,RawRTF!$B$8:$T$100,L$4+1,FALSE)</f>
        <v>0</v>
      </c>
      <c r="M12" s="514">
        <f>VLOOKUP($B12,RawRTF!$B$8:$T$100,M$4+1,FALSE)</f>
        <v>0</v>
      </c>
      <c r="N12" s="514">
        <f>VLOOKUP($B12,RawRTF!$B$8:$T$100,N$4+1,FALSE)</f>
        <v>0</v>
      </c>
      <c r="O12" s="514">
        <f>VLOOKUP($B12,RawRTF!$B$8:$T$100,O$4+1,FALSE)</f>
        <v>0</v>
      </c>
      <c r="P12" s="514">
        <f>VLOOKUP($B12,RawRTF!$B$8:$T$100,P$4+1,FALSE)</f>
        <v>0</v>
      </c>
      <c r="Q12" s="514">
        <f>VLOOKUP($B12,RawRTF!$B$8:$T$100,Q$4+1,FALSE)</f>
        <v>0</v>
      </c>
      <c r="R12" s="514" t="str">
        <f>IF(VLOOKUP($B12,RawRTF!$B$8:$T$100,R$4+1,FALSE)=0,"",VLOOKUP($B12,RawRTF!$B$8:$T$100,R$4+1,FALSE))</f>
        <v/>
      </c>
      <c r="S12" s="514"/>
      <c r="T12" s="514"/>
      <c r="U12" s="514"/>
      <c r="V12" s="514"/>
      <c r="W12" s="514"/>
      <c r="X12" s="514"/>
      <c r="Y12" s="514"/>
      <c r="Z12" s="514"/>
      <c r="AA12" s="514"/>
      <c r="AB12" s="514"/>
      <c r="AC12" s="514"/>
      <c r="AD12" s="514"/>
      <c r="AE12" s="514"/>
      <c r="AF12" s="514"/>
      <c r="AG12" s="514"/>
      <c r="AH12" s="514"/>
      <c r="AI12" s="514"/>
      <c r="AJ12" s="514"/>
      <c r="AK12" s="514"/>
      <c r="AL12" s="514"/>
      <c r="AM12" s="514"/>
      <c r="AN12" s="514"/>
    </row>
    <row r="13" spans="1:107">
      <c r="C13" s="513"/>
      <c r="D13" s="513"/>
      <c r="E13" s="514"/>
      <c r="F13" s="514"/>
      <c r="G13" s="514"/>
      <c r="H13" s="514"/>
      <c r="I13" s="514"/>
      <c r="J13" s="514"/>
      <c r="K13" s="514"/>
      <c r="L13" s="514"/>
      <c r="M13" s="514"/>
      <c r="N13" s="514"/>
      <c r="O13" s="514"/>
      <c r="P13" s="514"/>
      <c r="Q13" s="514"/>
      <c r="R13" s="514"/>
      <c r="S13" s="514"/>
      <c r="T13" s="514"/>
      <c r="U13" s="514"/>
      <c r="V13" s="514"/>
      <c r="W13" s="514"/>
      <c r="X13" s="514"/>
      <c r="Y13" s="514"/>
      <c r="Z13" s="514"/>
      <c r="AA13" s="514"/>
      <c r="AB13" s="514"/>
      <c r="AC13" s="514"/>
      <c r="AD13" s="514"/>
      <c r="AE13" s="514"/>
      <c r="AF13" s="514"/>
      <c r="AG13" s="514"/>
      <c r="AH13" s="514"/>
      <c r="AI13" s="514"/>
      <c r="AJ13" s="514"/>
      <c r="AK13" s="514"/>
      <c r="AL13" s="514"/>
      <c r="AM13" s="514"/>
      <c r="AN13" s="514"/>
    </row>
    <row r="14" spans="1:107">
      <c r="C14" s="513"/>
      <c r="D14" s="515"/>
      <c r="E14" s="514"/>
      <c r="F14" s="514"/>
      <c r="G14" s="514"/>
      <c r="H14" s="514"/>
      <c r="I14" s="514"/>
      <c r="J14" s="514"/>
      <c r="K14" s="514"/>
      <c r="L14" s="514"/>
      <c r="M14" s="514"/>
      <c r="N14" s="514"/>
      <c r="O14" s="514"/>
      <c r="P14" s="514"/>
      <c r="Q14" s="514"/>
      <c r="R14" s="514"/>
      <c r="S14" s="514"/>
      <c r="T14" s="514"/>
      <c r="U14" s="514"/>
      <c r="V14" s="514"/>
      <c r="W14" s="514"/>
      <c r="X14" s="514"/>
      <c r="Y14" s="514"/>
      <c r="Z14" s="514"/>
      <c r="AA14" s="514"/>
      <c r="AB14" s="514"/>
      <c r="AC14" s="514"/>
      <c r="AD14" s="514"/>
      <c r="AE14" s="514"/>
      <c r="AF14" s="514"/>
      <c r="AG14" s="514"/>
      <c r="AH14" s="514"/>
      <c r="AI14" s="514"/>
      <c r="AJ14" s="514"/>
      <c r="AK14" s="514"/>
      <c r="AL14" s="514"/>
      <c r="AM14" s="514"/>
      <c r="AN14" s="514"/>
    </row>
    <row r="15" spans="1:107">
      <c r="C15" s="513"/>
      <c r="D15" s="516"/>
      <c r="E15" s="514"/>
      <c r="F15" s="514"/>
      <c r="G15" s="514"/>
      <c r="H15" s="514"/>
      <c r="I15" s="514"/>
      <c r="J15" s="514"/>
      <c r="K15" s="514"/>
      <c r="L15" s="514"/>
      <c r="M15" s="514"/>
      <c r="N15" s="514"/>
      <c r="O15" s="514"/>
      <c r="P15" s="514"/>
      <c r="Q15" s="514"/>
      <c r="R15" s="514"/>
      <c r="S15" s="514"/>
      <c r="T15" s="514"/>
      <c r="U15" s="514"/>
      <c r="V15" s="514"/>
      <c r="W15" s="514"/>
      <c r="X15" s="514"/>
      <c r="Y15" s="514"/>
      <c r="Z15" s="514"/>
      <c r="AA15" s="514"/>
      <c r="AB15" s="514"/>
      <c r="AC15" s="514"/>
      <c r="AD15" s="514"/>
      <c r="AE15" s="514"/>
      <c r="AF15" s="514"/>
      <c r="AG15" s="514"/>
      <c r="AH15" s="514"/>
      <c r="AI15" s="514"/>
      <c r="AJ15" s="514"/>
      <c r="AK15" s="514"/>
      <c r="AL15" s="514"/>
      <c r="AM15" s="514"/>
      <c r="AN15" s="514"/>
    </row>
    <row r="16" spans="1:107">
      <c r="C16" s="513"/>
      <c r="D16" s="513"/>
      <c r="E16" s="514"/>
      <c r="F16" s="514"/>
      <c r="G16" s="514"/>
      <c r="H16" s="514"/>
      <c r="I16" s="514"/>
      <c r="J16" s="514"/>
      <c r="K16" s="514"/>
      <c r="L16" s="514"/>
      <c r="M16" s="514"/>
      <c r="N16" s="514"/>
      <c r="O16" s="514"/>
      <c r="P16" s="514"/>
      <c r="Q16" s="514"/>
      <c r="R16" s="514"/>
      <c r="S16" s="514"/>
      <c r="T16" s="514"/>
      <c r="U16" s="514"/>
      <c r="V16" s="514"/>
      <c r="W16" s="514"/>
      <c r="X16" s="514"/>
      <c r="Y16" s="514"/>
      <c r="Z16" s="514"/>
      <c r="AA16" s="514"/>
      <c r="AB16" s="514"/>
      <c r="AC16" s="514"/>
      <c r="AD16" s="514"/>
      <c r="AE16" s="514"/>
      <c r="AF16" s="514"/>
      <c r="AG16" s="514"/>
      <c r="AH16" s="514"/>
      <c r="AI16" s="514"/>
      <c r="AJ16" s="514"/>
      <c r="AK16" s="514"/>
      <c r="AL16" s="514"/>
      <c r="AM16" s="514"/>
      <c r="AN16" s="514"/>
    </row>
    <row r="17" spans="2:107">
      <c r="C17" s="513"/>
      <c r="D17" s="515"/>
      <c r="E17" s="514"/>
      <c r="F17" s="514"/>
      <c r="G17" s="514"/>
      <c r="H17" s="514"/>
      <c r="I17" s="514"/>
      <c r="J17" s="514"/>
      <c r="K17" s="514"/>
      <c r="L17" s="514"/>
      <c r="M17" s="514"/>
      <c r="N17" s="514"/>
      <c r="O17" s="514"/>
      <c r="P17" s="514"/>
      <c r="Q17" s="514"/>
      <c r="R17" s="514"/>
      <c r="S17" s="514"/>
      <c r="T17" s="514"/>
      <c r="U17" s="514"/>
      <c r="V17" s="514"/>
      <c r="W17" s="514"/>
      <c r="X17" s="514"/>
      <c r="Y17" s="514"/>
      <c r="Z17" s="514"/>
      <c r="AA17" s="514"/>
      <c r="AB17" s="514"/>
      <c r="AC17" s="514"/>
      <c r="AD17" s="514"/>
      <c r="AE17" s="514"/>
      <c r="AF17" s="514"/>
      <c r="AG17" s="514"/>
      <c r="AH17" s="514"/>
      <c r="AI17" s="514"/>
      <c r="AJ17" s="514"/>
      <c r="AK17" s="514"/>
      <c r="AL17" s="514"/>
      <c r="AM17" s="514"/>
      <c r="AN17" s="514"/>
    </row>
    <row r="18" spans="2:107">
      <c r="C18" s="513"/>
      <c r="D18" s="516"/>
      <c r="E18" s="514"/>
      <c r="F18" s="514"/>
      <c r="G18" s="514"/>
      <c r="H18" s="514"/>
      <c r="I18" s="514"/>
      <c r="J18" s="514"/>
      <c r="K18" s="514"/>
      <c r="L18" s="514"/>
      <c r="M18" s="514"/>
      <c r="N18" s="514"/>
      <c r="O18" s="514"/>
      <c r="P18" s="514"/>
      <c r="Q18" s="514"/>
      <c r="R18" s="514"/>
      <c r="S18" s="514"/>
      <c r="T18" s="514"/>
      <c r="U18" s="514"/>
      <c r="V18" s="514"/>
      <c r="W18" s="514"/>
      <c r="X18" s="514"/>
      <c r="Y18" s="514"/>
      <c r="Z18" s="514"/>
      <c r="AA18" s="514"/>
      <c r="AB18" s="514"/>
      <c r="AC18" s="514"/>
      <c r="AD18" s="514"/>
      <c r="AE18" s="514"/>
      <c r="AF18" s="514"/>
      <c r="AG18" s="514"/>
      <c r="AH18" s="514"/>
      <c r="AI18" s="514"/>
      <c r="AJ18" s="514"/>
      <c r="AK18" s="514"/>
      <c r="AL18" s="514"/>
      <c r="AM18" s="514"/>
      <c r="AN18" s="514"/>
    </row>
    <row r="19" spans="2:107">
      <c r="C19" s="513"/>
      <c r="D19" s="513"/>
      <c r="E19" s="514"/>
      <c r="F19" s="514"/>
      <c r="G19" s="514"/>
      <c r="H19" s="514"/>
      <c r="I19" s="514"/>
      <c r="J19" s="514"/>
      <c r="K19" s="514"/>
      <c r="L19" s="514"/>
      <c r="M19" s="514"/>
      <c r="N19" s="514"/>
      <c r="O19" s="514"/>
      <c r="P19" s="514"/>
      <c r="Q19" s="514"/>
      <c r="R19" s="514"/>
      <c r="S19" s="514"/>
      <c r="T19" s="514"/>
      <c r="U19" s="514"/>
      <c r="V19" s="514"/>
      <c r="W19" s="514"/>
      <c r="X19" s="514"/>
      <c r="Y19" s="514"/>
      <c r="Z19" s="514"/>
      <c r="AA19" s="514"/>
      <c r="AB19" s="514"/>
      <c r="AC19" s="514"/>
      <c r="AD19" s="514"/>
      <c r="AE19" s="514"/>
      <c r="AF19" s="514"/>
      <c r="AG19" s="514"/>
      <c r="AH19" s="514"/>
      <c r="AI19" s="514"/>
      <c r="AJ19" s="514"/>
      <c r="AK19" s="514"/>
      <c r="AL19" s="514"/>
      <c r="AM19" s="514"/>
      <c r="AN19" s="514"/>
    </row>
    <row r="20" spans="2:107">
      <c r="C20" s="513"/>
      <c r="D20" s="515"/>
      <c r="E20" s="514"/>
      <c r="F20" s="514"/>
      <c r="G20" s="514"/>
      <c r="H20" s="514"/>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514"/>
      <c r="AK20" s="514"/>
      <c r="AL20" s="514"/>
      <c r="AM20" s="514"/>
      <c r="AN20" s="514"/>
    </row>
    <row r="21" spans="2:107">
      <c r="C21" s="513"/>
      <c r="D21" s="516"/>
      <c r="E21" s="514"/>
      <c r="F21" s="514"/>
      <c r="G21" s="514"/>
      <c r="H21" s="514"/>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4"/>
      <c r="AL21" s="514"/>
      <c r="AM21" s="514"/>
      <c r="AN21" s="514"/>
    </row>
    <row r="22" spans="2:107">
      <c r="C22" s="513"/>
      <c r="D22" s="513"/>
      <c r="E22" s="514"/>
      <c r="F22" s="514"/>
      <c r="G22" s="514"/>
      <c r="H22" s="514"/>
      <c r="I22" s="514"/>
      <c r="J22" s="514"/>
      <c r="K22" s="514"/>
      <c r="L22" s="514"/>
      <c r="M22" s="514"/>
      <c r="N22" s="514"/>
      <c r="O22" s="514"/>
      <c r="P22" s="514"/>
      <c r="Q22" s="514"/>
      <c r="R22" s="514"/>
      <c r="S22" s="514"/>
      <c r="T22" s="514"/>
      <c r="U22" s="514"/>
      <c r="V22" s="514"/>
      <c r="W22" s="514"/>
      <c r="X22" s="514"/>
      <c r="Y22" s="514"/>
      <c r="Z22" s="514"/>
      <c r="AA22" s="514"/>
      <c r="AB22" s="514"/>
      <c r="AC22" s="514"/>
      <c r="AD22" s="514"/>
      <c r="AE22" s="514"/>
      <c r="AF22" s="514"/>
      <c r="AG22" s="514"/>
      <c r="AH22" s="514"/>
      <c r="AI22" s="514"/>
      <c r="AJ22" s="514"/>
      <c r="AK22" s="514"/>
      <c r="AL22" s="514"/>
      <c r="AM22" s="514"/>
      <c r="AN22" s="514"/>
    </row>
    <row r="23" spans="2:107">
      <c r="C23" s="513"/>
      <c r="D23" s="515"/>
      <c r="E23" s="514"/>
      <c r="F23" s="514"/>
      <c r="G23" s="514"/>
      <c r="H23" s="514"/>
      <c r="I23" s="514"/>
      <c r="J23" s="514"/>
      <c r="K23" s="514"/>
      <c r="L23" s="514"/>
      <c r="M23" s="514"/>
      <c r="N23" s="514"/>
      <c r="O23" s="514"/>
      <c r="P23" s="514"/>
      <c r="Q23" s="514"/>
      <c r="R23" s="514"/>
      <c r="S23" s="514"/>
      <c r="T23" s="514"/>
      <c r="U23" s="514"/>
      <c r="V23" s="514"/>
      <c r="W23" s="514"/>
      <c r="X23" s="514"/>
      <c r="Y23" s="514"/>
      <c r="Z23" s="514"/>
      <c r="AA23" s="514"/>
      <c r="AB23" s="514"/>
      <c r="AC23" s="514"/>
      <c r="AD23" s="514"/>
      <c r="AE23" s="514"/>
      <c r="AF23" s="514"/>
      <c r="AG23" s="514"/>
      <c r="AH23" s="514"/>
      <c r="AI23" s="514"/>
      <c r="AJ23" s="514"/>
      <c r="AK23" s="514"/>
      <c r="AL23" s="514"/>
      <c r="AM23" s="514"/>
      <c r="AN23" s="514"/>
    </row>
    <row r="24" spans="2:107">
      <c r="C24" s="513"/>
      <c r="D24" s="516"/>
      <c r="E24" s="514"/>
      <c r="F24" s="514"/>
      <c r="G24" s="514"/>
      <c r="H24" s="514"/>
      <c r="I24" s="514"/>
      <c r="J24" s="514"/>
      <c r="K24" s="514"/>
      <c r="L24" s="514"/>
      <c r="M24" s="514"/>
      <c r="N24" s="514"/>
      <c r="O24" s="514"/>
      <c r="P24" s="514"/>
      <c r="Q24" s="514"/>
      <c r="R24" s="514"/>
      <c r="S24" s="514"/>
      <c r="T24" s="514"/>
      <c r="U24" s="514"/>
      <c r="V24" s="514"/>
      <c r="W24" s="514"/>
      <c r="X24" s="514"/>
      <c r="Y24" s="514"/>
      <c r="Z24" s="514"/>
      <c r="AA24" s="514"/>
      <c r="AB24" s="514"/>
      <c r="AC24" s="514"/>
      <c r="AD24" s="514"/>
      <c r="AE24" s="514"/>
      <c r="AF24" s="514"/>
      <c r="AG24" s="514"/>
      <c r="AH24" s="514"/>
      <c r="AI24" s="514"/>
      <c r="AJ24" s="514"/>
      <c r="AK24" s="514"/>
      <c r="AL24" s="514"/>
      <c r="AM24" s="514"/>
      <c r="AN24" s="514"/>
    </row>
    <row r="25" spans="2:107">
      <c r="C25" s="513"/>
      <c r="D25" s="513"/>
      <c r="E25" s="514"/>
      <c r="F25" s="514"/>
      <c r="G25" s="514"/>
      <c r="H25" s="514"/>
      <c r="I25" s="514"/>
      <c r="J25" s="514"/>
      <c r="K25" s="514"/>
      <c r="L25" s="514"/>
      <c r="M25" s="514"/>
      <c r="N25" s="514"/>
      <c r="O25" s="514"/>
      <c r="P25" s="514"/>
      <c r="Q25" s="514"/>
      <c r="R25" s="514"/>
      <c r="S25" s="514"/>
      <c r="T25" s="514"/>
      <c r="U25" s="514"/>
      <c r="V25" s="514"/>
      <c r="W25" s="514"/>
      <c r="X25" s="514"/>
      <c r="Y25" s="514"/>
      <c r="Z25" s="514"/>
      <c r="AA25" s="514"/>
      <c r="AB25" s="514"/>
      <c r="AC25" s="514"/>
      <c r="AD25" s="514"/>
      <c r="AE25" s="514"/>
      <c r="AF25" s="514"/>
      <c r="AG25" s="514"/>
      <c r="AH25" s="514"/>
      <c r="AI25" s="514"/>
      <c r="AJ25" s="514"/>
      <c r="AK25" s="514"/>
      <c r="AL25" s="514"/>
      <c r="AM25" s="514"/>
      <c r="AN25" s="514"/>
    </row>
    <row r="26" spans="2:107">
      <c r="C26" s="513"/>
      <c r="D26" s="515"/>
      <c r="E26" s="514"/>
      <c r="F26" s="514"/>
      <c r="G26" s="514"/>
      <c r="H26" s="514"/>
      <c r="I26" s="514"/>
      <c r="J26" s="514"/>
      <c r="K26" s="514"/>
      <c r="L26" s="514"/>
      <c r="M26" s="514"/>
      <c r="N26" s="514"/>
      <c r="O26" s="514"/>
      <c r="P26" s="514"/>
      <c r="Q26" s="514"/>
      <c r="R26" s="514"/>
      <c r="S26" s="514"/>
      <c r="T26" s="514"/>
      <c r="U26" s="514"/>
      <c r="V26" s="514"/>
      <c r="W26" s="514"/>
      <c r="X26" s="514"/>
      <c r="Y26" s="514"/>
      <c r="Z26" s="514"/>
      <c r="AA26" s="514"/>
      <c r="AB26" s="514"/>
      <c r="AC26" s="514"/>
      <c r="AD26" s="514"/>
      <c r="AE26" s="514"/>
      <c r="AF26" s="514"/>
      <c r="AG26" s="514"/>
      <c r="AH26" s="514"/>
      <c r="AI26" s="514"/>
      <c r="AJ26" s="514"/>
      <c r="AK26" s="514"/>
      <c r="AL26" s="514"/>
      <c r="AM26" s="514"/>
      <c r="AN26" s="514"/>
    </row>
    <row r="27" spans="2:107">
      <c r="C27" s="513"/>
      <c r="D27" s="516"/>
      <c r="E27" s="514"/>
      <c r="F27" s="514"/>
      <c r="G27" s="514"/>
      <c r="H27" s="514"/>
      <c r="I27" s="514"/>
      <c r="J27" s="514"/>
      <c r="K27" s="514"/>
      <c r="L27" s="514"/>
      <c r="M27" s="514"/>
      <c r="N27" s="514"/>
      <c r="O27" s="514"/>
      <c r="P27" s="514"/>
      <c r="Q27" s="514"/>
      <c r="R27" s="514"/>
      <c r="S27" s="514"/>
      <c r="T27" s="514"/>
      <c r="U27" s="514"/>
      <c r="V27" s="514"/>
      <c r="W27" s="514"/>
      <c r="X27" s="514"/>
      <c r="Y27" s="514"/>
      <c r="Z27" s="514"/>
      <c r="AA27" s="514"/>
      <c r="AB27" s="514"/>
      <c r="AC27" s="514"/>
      <c r="AD27" s="514"/>
      <c r="AE27" s="514"/>
      <c r="AF27" s="514"/>
      <c r="AG27" s="514"/>
      <c r="AH27" s="514"/>
      <c r="AI27" s="514"/>
      <c r="AJ27" s="514"/>
      <c r="AK27" s="514"/>
      <c r="AL27" s="514"/>
      <c r="AM27" s="514"/>
      <c r="AN27" s="514"/>
    </row>
    <row r="28" spans="2:107">
      <c r="C28" s="513"/>
      <c r="D28" s="516"/>
      <c r="E28" s="514"/>
      <c r="F28" s="514"/>
      <c r="G28" s="514"/>
      <c r="H28" s="514"/>
      <c r="I28" s="514"/>
      <c r="J28" s="514"/>
      <c r="K28" s="514"/>
      <c r="L28" s="514"/>
      <c r="M28" s="514"/>
      <c r="N28" s="514"/>
      <c r="O28" s="514"/>
      <c r="P28" s="514"/>
      <c r="Q28" s="514"/>
      <c r="R28" s="514"/>
      <c r="S28" s="514"/>
      <c r="T28" s="514"/>
      <c r="U28" s="514"/>
      <c r="V28" s="514"/>
      <c r="W28" s="514"/>
      <c r="X28" s="514"/>
      <c r="Y28" s="514"/>
      <c r="Z28" s="514"/>
      <c r="AA28" s="514"/>
      <c r="AB28" s="514"/>
      <c r="AC28" s="514"/>
      <c r="AD28" s="514"/>
      <c r="AE28" s="514"/>
      <c r="AF28" s="514"/>
      <c r="AG28" s="514"/>
      <c r="AH28" s="514"/>
      <c r="AI28" s="514"/>
      <c r="AJ28" s="514"/>
      <c r="AK28" s="514"/>
      <c r="AL28" s="514"/>
      <c r="AM28" s="514"/>
      <c r="AN28" s="514"/>
    </row>
    <row r="29" spans="2:107">
      <c r="C29" s="513"/>
      <c r="D29" s="516"/>
      <c r="E29" s="514"/>
      <c r="F29" s="514"/>
      <c r="G29" s="514"/>
      <c r="H29" s="514"/>
      <c r="I29" s="514"/>
      <c r="J29" s="514"/>
      <c r="K29" s="514"/>
      <c r="L29" s="514"/>
      <c r="M29" s="514"/>
      <c r="N29" s="514"/>
      <c r="O29" s="514"/>
      <c r="P29" s="514"/>
      <c r="Q29" s="514"/>
      <c r="R29" s="514"/>
      <c r="S29" s="514"/>
      <c r="T29" s="514"/>
      <c r="U29" s="514"/>
      <c r="V29" s="514"/>
      <c r="W29" s="514"/>
      <c r="X29" s="514"/>
      <c r="Y29" s="514"/>
      <c r="Z29" s="514"/>
      <c r="AA29" s="514"/>
      <c r="AB29" s="514"/>
      <c r="AC29" s="514"/>
      <c r="AD29" s="514"/>
      <c r="AE29" s="514"/>
      <c r="AF29" s="514"/>
      <c r="AG29" s="514"/>
      <c r="AH29" s="514"/>
      <c r="AI29" s="514"/>
      <c r="AJ29" s="514"/>
      <c r="AK29" s="514"/>
      <c r="AL29" s="514"/>
      <c r="AM29" s="514"/>
      <c r="AN29" s="514"/>
    </row>
    <row r="30" spans="2:107">
      <c r="B30" s="510"/>
    </row>
    <row r="31" spans="2:107" s="34" customFormat="1">
      <c r="C31" s="119" t="s">
        <v>200</v>
      </c>
      <c r="D31" s="120"/>
      <c r="E31" s="120"/>
      <c r="F31" s="120"/>
      <c r="G31" s="120"/>
      <c r="H31" s="120"/>
      <c r="I31" s="121"/>
      <c r="J31" s="511"/>
      <c r="K31" s="620" t="s">
        <v>201</v>
      </c>
      <c r="L31" s="621"/>
      <c r="M31" s="621"/>
      <c r="N31" s="621"/>
      <c r="O31" s="621"/>
      <c r="P31" s="622"/>
      <c r="Q31" s="623" t="s">
        <v>202</v>
      </c>
      <c r="R31" s="624"/>
      <c r="S31" s="123"/>
      <c r="T31" s="124"/>
      <c r="U31" s="124"/>
      <c r="V31" s="124"/>
      <c r="W31" s="124"/>
      <c r="X31" s="124"/>
      <c r="Y31" s="124"/>
      <c r="Z31" s="125"/>
      <c r="AA31" s="126"/>
      <c r="AB31" s="124"/>
      <c r="AC31" s="124"/>
      <c r="AD31" s="124"/>
      <c r="AE31" s="124"/>
      <c r="AF31" s="124"/>
      <c r="AG31" s="127"/>
      <c r="AH31" s="127"/>
      <c r="AI31" s="127"/>
      <c r="AJ31" s="127"/>
      <c r="AK31" s="127"/>
      <c r="AL31" s="127"/>
      <c r="AM31" s="127"/>
      <c r="AN31" s="127"/>
      <c r="AO31" s="127"/>
      <c r="AP31" s="127"/>
      <c r="AQ31" s="127"/>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row>
    <row r="32" spans="2:107" ht="25.5">
      <c r="B32" s="34"/>
      <c r="C32" s="128" t="s">
        <v>203</v>
      </c>
      <c r="D32" s="128" t="s">
        <v>204</v>
      </c>
      <c r="E32" s="128" t="s">
        <v>205</v>
      </c>
      <c r="F32" s="128" t="s">
        <v>206</v>
      </c>
      <c r="G32" s="128" t="s">
        <v>207</v>
      </c>
      <c r="H32" s="128" t="s">
        <v>208</v>
      </c>
      <c r="I32" s="128" t="s">
        <v>209</v>
      </c>
      <c r="J32" s="128" t="s">
        <v>210</v>
      </c>
      <c r="K32" s="128" t="s">
        <v>211</v>
      </c>
      <c r="L32" s="128" t="s">
        <v>212</v>
      </c>
      <c r="M32" s="128" t="s">
        <v>213</v>
      </c>
      <c r="N32" s="128" t="s">
        <v>214</v>
      </c>
      <c r="O32" s="128" t="s">
        <v>215</v>
      </c>
      <c r="P32" s="128" t="s">
        <v>216</v>
      </c>
      <c r="Q32" s="512" t="s">
        <v>217</v>
      </c>
      <c r="R32" s="128" t="s">
        <v>209</v>
      </c>
    </row>
    <row r="33" spans="3:18">
      <c r="C33" s="513"/>
      <c r="D33" s="513"/>
      <c r="E33" s="514"/>
      <c r="F33" s="514"/>
      <c r="G33" s="514"/>
      <c r="H33" s="514"/>
      <c r="I33" s="514"/>
      <c r="J33" s="514"/>
      <c r="K33" s="514"/>
      <c r="L33" s="514"/>
      <c r="M33" s="514"/>
      <c r="N33" s="514"/>
      <c r="O33" s="514"/>
      <c r="P33" s="514"/>
      <c r="Q33" s="514"/>
      <c r="R33" s="514"/>
    </row>
    <row r="34" spans="3:18">
      <c r="C34" s="513"/>
      <c r="D34" s="513"/>
      <c r="E34" s="514"/>
      <c r="F34" s="514"/>
      <c r="G34" s="514"/>
      <c r="H34" s="514"/>
      <c r="I34" s="514"/>
      <c r="J34" s="514"/>
      <c r="K34" s="514"/>
      <c r="L34" s="514"/>
      <c r="M34" s="514"/>
      <c r="N34" s="514"/>
      <c r="O34" s="514"/>
      <c r="P34" s="514"/>
      <c r="Q34" s="514"/>
      <c r="R34" s="514"/>
    </row>
    <row r="35" spans="3:18">
      <c r="C35" s="513"/>
      <c r="D35" s="513"/>
      <c r="E35" s="514"/>
      <c r="F35" s="514"/>
      <c r="G35" s="514"/>
      <c r="H35" s="514"/>
      <c r="I35" s="514"/>
      <c r="J35" s="514"/>
      <c r="K35" s="514"/>
      <c r="L35" s="514"/>
      <c r="M35" s="514"/>
      <c r="N35" s="514"/>
      <c r="O35" s="514"/>
      <c r="P35" s="514"/>
      <c r="Q35" s="514"/>
      <c r="R35" s="514"/>
    </row>
    <row r="36" spans="3:18">
      <c r="C36" s="513"/>
      <c r="D36" s="513"/>
      <c r="E36" s="514"/>
      <c r="F36" s="514"/>
      <c r="G36" s="514"/>
      <c r="H36" s="514"/>
      <c r="I36" s="514"/>
      <c r="J36" s="514"/>
      <c r="K36" s="514"/>
      <c r="L36" s="514"/>
      <c r="M36" s="514"/>
      <c r="N36" s="514"/>
      <c r="O36" s="514"/>
      <c r="P36" s="514"/>
      <c r="Q36" s="514"/>
      <c r="R36" s="514"/>
    </row>
    <row r="37" spans="3:18">
      <c r="C37" s="513"/>
      <c r="D37" s="513"/>
      <c r="E37" s="514"/>
      <c r="F37" s="514"/>
      <c r="G37" s="514"/>
      <c r="H37" s="514"/>
      <c r="I37" s="514"/>
      <c r="J37" s="514"/>
      <c r="K37" s="514"/>
      <c r="L37" s="514"/>
      <c r="M37" s="514"/>
      <c r="N37" s="514"/>
      <c r="O37" s="514"/>
      <c r="P37" s="514"/>
      <c r="Q37" s="514"/>
      <c r="R37" s="514"/>
    </row>
    <row r="38" spans="3:18">
      <c r="C38" s="513"/>
      <c r="D38" s="513"/>
      <c r="E38" s="514"/>
      <c r="F38" s="514"/>
      <c r="G38" s="514"/>
      <c r="H38" s="514"/>
      <c r="I38" s="514"/>
      <c r="J38" s="514"/>
      <c r="K38" s="514"/>
      <c r="L38" s="514"/>
      <c r="M38" s="514"/>
      <c r="N38" s="514"/>
      <c r="O38" s="514"/>
      <c r="P38" s="514"/>
      <c r="Q38" s="514"/>
      <c r="R38" s="514"/>
    </row>
    <row r="39" spans="3:18">
      <c r="C39" s="513"/>
      <c r="D39" s="513"/>
      <c r="E39" s="514"/>
      <c r="F39" s="514"/>
      <c r="G39" s="514"/>
      <c r="H39" s="514"/>
      <c r="I39" s="514"/>
      <c r="J39" s="514"/>
      <c r="K39" s="514"/>
      <c r="L39" s="514"/>
      <c r="M39" s="514"/>
      <c r="N39" s="514"/>
      <c r="O39" s="514"/>
      <c r="P39" s="514"/>
      <c r="Q39" s="514"/>
      <c r="R39" s="514"/>
    </row>
    <row r="40" spans="3:18">
      <c r="C40" s="513"/>
      <c r="D40" s="515"/>
      <c r="E40" s="514"/>
      <c r="F40" s="514"/>
      <c r="G40" s="514"/>
      <c r="H40" s="514"/>
      <c r="I40" s="514"/>
      <c r="J40" s="514"/>
      <c r="K40" s="514"/>
      <c r="L40" s="514"/>
      <c r="M40" s="514"/>
      <c r="N40" s="514"/>
      <c r="O40" s="514"/>
      <c r="P40" s="514"/>
      <c r="Q40" s="514"/>
      <c r="R40" s="514"/>
    </row>
    <row r="41" spans="3:18">
      <c r="C41" s="513"/>
      <c r="D41" s="516"/>
      <c r="E41" s="514"/>
      <c r="F41" s="514"/>
      <c r="G41" s="514"/>
      <c r="H41" s="514"/>
      <c r="I41" s="514"/>
      <c r="J41" s="514"/>
      <c r="K41" s="514"/>
      <c r="L41" s="514"/>
      <c r="M41" s="514"/>
      <c r="N41" s="514"/>
      <c r="O41" s="514"/>
      <c r="P41" s="514"/>
      <c r="Q41" s="514"/>
      <c r="R41" s="514"/>
    </row>
    <row r="42" spans="3:18">
      <c r="C42" s="513"/>
      <c r="D42" s="513"/>
      <c r="E42" s="514"/>
      <c r="F42" s="514"/>
      <c r="G42" s="514"/>
      <c r="H42" s="514"/>
      <c r="I42" s="514"/>
      <c r="J42" s="514"/>
      <c r="K42" s="514"/>
      <c r="L42" s="514"/>
      <c r="M42" s="514"/>
      <c r="N42" s="514"/>
      <c r="O42" s="514"/>
      <c r="P42" s="514"/>
      <c r="Q42" s="514"/>
      <c r="R42" s="514"/>
    </row>
    <row r="43" spans="3:18">
      <c r="C43" s="513"/>
      <c r="D43" s="515"/>
      <c r="E43" s="514"/>
      <c r="F43" s="514"/>
      <c r="G43" s="514"/>
      <c r="H43" s="514"/>
      <c r="I43" s="514"/>
      <c r="J43" s="514"/>
      <c r="K43" s="514"/>
      <c r="L43" s="514"/>
      <c r="M43" s="514"/>
      <c r="N43" s="514"/>
      <c r="O43" s="514"/>
      <c r="P43" s="514"/>
      <c r="Q43" s="514"/>
      <c r="R43" s="514"/>
    </row>
    <row r="44" spans="3:18">
      <c r="C44" s="513"/>
      <c r="D44" s="516"/>
      <c r="E44" s="514"/>
      <c r="F44" s="514"/>
      <c r="G44" s="514"/>
      <c r="H44" s="514"/>
      <c r="I44" s="514"/>
      <c r="J44" s="514"/>
      <c r="K44" s="514"/>
      <c r="L44" s="514"/>
      <c r="M44" s="514"/>
      <c r="N44" s="514"/>
      <c r="O44" s="514"/>
      <c r="P44" s="514"/>
      <c r="Q44" s="514"/>
      <c r="R44" s="514"/>
    </row>
    <row r="45" spans="3:18">
      <c r="C45" s="513"/>
      <c r="D45" s="513"/>
      <c r="E45" s="514"/>
      <c r="F45" s="514"/>
      <c r="G45" s="514"/>
      <c r="H45" s="514"/>
      <c r="I45" s="514"/>
      <c r="J45" s="514"/>
      <c r="K45" s="514"/>
      <c r="L45" s="514"/>
      <c r="M45" s="514"/>
      <c r="N45" s="514"/>
      <c r="O45" s="514"/>
      <c r="P45" s="514"/>
      <c r="Q45" s="514"/>
      <c r="R45" s="514"/>
    </row>
    <row r="46" spans="3:18">
      <c r="C46" s="513"/>
      <c r="D46" s="515"/>
      <c r="E46" s="514"/>
      <c r="F46" s="514"/>
      <c r="G46" s="514"/>
      <c r="H46" s="514"/>
      <c r="I46" s="514"/>
      <c r="J46" s="514"/>
      <c r="K46" s="514"/>
      <c r="L46" s="514"/>
      <c r="M46" s="514"/>
      <c r="N46" s="514"/>
      <c r="O46" s="514"/>
      <c r="P46" s="514"/>
      <c r="Q46" s="514"/>
      <c r="R46" s="514"/>
    </row>
    <row r="47" spans="3:18">
      <c r="C47" s="513"/>
      <c r="D47" s="516"/>
      <c r="E47" s="514"/>
      <c r="F47" s="514"/>
      <c r="G47" s="514"/>
      <c r="H47" s="514"/>
      <c r="I47" s="514"/>
      <c r="J47" s="514"/>
      <c r="K47" s="514"/>
      <c r="L47" s="514"/>
      <c r="M47" s="514"/>
      <c r="N47" s="514"/>
      <c r="O47" s="514"/>
      <c r="P47" s="514"/>
      <c r="Q47" s="514"/>
      <c r="R47" s="514"/>
    </row>
    <row r="48" spans="3:18">
      <c r="C48" s="513"/>
      <c r="D48" s="513"/>
      <c r="E48" s="514"/>
      <c r="F48" s="514"/>
      <c r="G48" s="514"/>
      <c r="H48" s="514"/>
      <c r="I48" s="514"/>
      <c r="J48" s="514"/>
      <c r="K48" s="514"/>
      <c r="L48" s="514"/>
      <c r="M48" s="514"/>
      <c r="N48" s="514"/>
      <c r="O48" s="514"/>
      <c r="P48" s="514"/>
      <c r="Q48" s="514"/>
      <c r="R48" s="514"/>
    </row>
    <row r="49" spans="3:18">
      <c r="C49" s="513"/>
      <c r="D49" s="515"/>
      <c r="E49" s="514"/>
      <c r="F49" s="514"/>
      <c r="G49" s="514"/>
      <c r="H49" s="514"/>
      <c r="I49" s="514"/>
      <c r="J49" s="514"/>
      <c r="K49" s="514"/>
      <c r="L49" s="514"/>
      <c r="M49" s="514"/>
      <c r="N49" s="514"/>
      <c r="O49" s="514"/>
      <c r="P49" s="514"/>
      <c r="Q49" s="514"/>
      <c r="R49" s="514"/>
    </row>
    <row r="50" spans="3:18">
      <c r="C50" s="513"/>
      <c r="D50" s="516"/>
      <c r="E50" s="514"/>
      <c r="F50" s="514"/>
      <c r="G50" s="514"/>
      <c r="H50" s="514"/>
      <c r="I50" s="514"/>
      <c r="J50" s="514"/>
      <c r="K50" s="514"/>
      <c r="L50" s="514"/>
      <c r="M50" s="514"/>
      <c r="N50" s="514"/>
      <c r="O50" s="514"/>
      <c r="P50" s="514"/>
      <c r="Q50" s="514"/>
      <c r="R50" s="514"/>
    </row>
    <row r="51" spans="3:18">
      <c r="C51" s="513"/>
      <c r="D51" s="513"/>
      <c r="E51" s="514"/>
      <c r="F51" s="514"/>
      <c r="G51" s="514"/>
      <c r="H51" s="514"/>
      <c r="I51" s="514"/>
      <c r="J51" s="514"/>
      <c r="K51" s="514"/>
      <c r="L51" s="514"/>
      <c r="M51" s="514"/>
      <c r="N51" s="514"/>
      <c r="O51" s="514"/>
      <c r="P51" s="514"/>
      <c r="Q51" s="514"/>
      <c r="R51" s="514"/>
    </row>
    <row r="52" spans="3:18">
      <c r="C52" s="513"/>
      <c r="D52" s="515"/>
      <c r="E52" s="514"/>
      <c r="F52" s="514"/>
      <c r="G52" s="514"/>
      <c r="H52" s="514"/>
      <c r="I52" s="514"/>
      <c r="J52" s="514"/>
      <c r="K52" s="514"/>
      <c r="L52" s="514"/>
      <c r="M52" s="514"/>
      <c r="N52" s="514"/>
      <c r="O52" s="514"/>
      <c r="P52" s="514"/>
      <c r="Q52" s="514"/>
      <c r="R52" s="514"/>
    </row>
    <row r="53" spans="3:18">
      <c r="C53" s="513"/>
      <c r="D53" s="516"/>
      <c r="E53" s="514"/>
      <c r="F53" s="514"/>
      <c r="G53" s="514"/>
      <c r="H53" s="514"/>
      <c r="I53" s="514"/>
      <c r="J53" s="514"/>
      <c r="K53" s="514"/>
      <c r="L53" s="514"/>
      <c r="M53" s="514"/>
      <c r="N53" s="514"/>
      <c r="O53" s="514"/>
      <c r="P53" s="514"/>
      <c r="Q53" s="514"/>
      <c r="R53" s="514"/>
    </row>
  </sheetData>
  <mergeCells count="4">
    <mergeCell ref="K5:P5"/>
    <mergeCell ref="Q5:R5"/>
    <mergeCell ref="K31:P31"/>
    <mergeCell ref="Q31:R31"/>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sheetPr codeName="Sheet18">
    <tabColor rgb="FFFFC000"/>
  </sheetPr>
  <dimension ref="A1:DC193"/>
  <sheetViews>
    <sheetView topLeftCell="H1" zoomScale="90" zoomScaleNormal="90" workbookViewId="0">
      <selection activeCell="Q1" sqref="Q1"/>
    </sheetView>
  </sheetViews>
  <sheetFormatPr defaultRowHeight="12.75"/>
  <cols>
    <col min="1" max="2" width="9.140625" style="34"/>
    <col min="3" max="3" width="77" style="34" customWidth="1"/>
    <col min="4" max="4" width="43.42578125" style="34" customWidth="1"/>
    <col min="5" max="5" width="17.28515625" style="34" bestFit="1" customWidth="1"/>
    <col min="6" max="6" width="12" style="34" bestFit="1" customWidth="1"/>
    <col min="7" max="7" width="12.5703125" style="34" customWidth="1"/>
    <col min="8" max="8" width="13.7109375" style="34" customWidth="1"/>
    <col min="9" max="9" width="17.28515625" style="34" bestFit="1" customWidth="1"/>
    <col min="10" max="10" width="15.5703125" style="34" bestFit="1" customWidth="1"/>
    <col min="11" max="11" width="15.28515625" style="34" bestFit="1" customWidth="1"/>
    <col min="12" max="12" width="14.28515625" style="34" bestFit="1" customWidth="1"/>
    <col min="13" max="13" width="14.28515625" style="34" customWidth="1"/>
    <col min="14" max="14" width="12.5703125" style="34" customWidth="1"/>
    <col min="15" max="15" width="10.28515625" style="34" bestFit="1" customWidth="1"/>
    <col min="16" max="17" width="10.85546875" style="34" bestFit="1" customWidth="1"/>
    <col min="18" max="18" width="13.42578125" style="34" customWidth="1"/>
    <col min="19" max="19" width="11.85546875" style="34" bestFit="1" customWidth="1"/>
    <col min="20" max="20" width="11" style="34" bestFit="1" customWidth="1"/>
    <col min="21" max="21" width="14.28515625" style="34" bestFit="1" customWidth="1"/>
    <col min="22" max="22" width="10.7109375" style="34" customWidth="1"/>
    <col min="23" max="23" width="13.85546875" style="34" bestFit="1" customWidth="1"/>
    <col min="24" max="24" width="11.7109375" style="34" bestFit="1" customWidth="1"/>
    <col min="25" max="25" width="15.28515625" style="34" bestFit="1" customWidth="1"/>
    <col min="26" max="28" width="12.28515625" style="34" bestFit="1" customWidth="1"/>
    <col min="29" max="29" width="12.5703125" style="34" bestFit="1" customWidth="1"/>
    <col min="30" max="32" width="14.28515625" style="34" bestFit="1" customWidth="1"/>
    <col min="33" max="33" width="13.7109375" style="34" bestFit="1" customWidth="1"/>
    <col min="34" max="34" width="14" style="34" bestFit="1" customWidth="1"/>
    <col min="35" max="35" width="12.85546875" style="34" bestFit="1" customWidth="1"/>
    <col min="36" max="36" width="15.28515625" style="34" bestFit="1" customWidth="1"/>
    <col min="37" max="37" width="12.28515625" style="34" bestFit="1" customWidth="1"/>
    <col min="38" max="38" width="10.85546875" style="34" bestFit="1" customWidth="1"/>
    <col min="39" max="39" width="12.28515625" style="34" bestFit="1" customWidth="1"/>
    <col min="40" max="40" width="12.5703125" style="34" bestFit="1" customWidth="1"/>
    <col min="41" max="45" width="12.85546875" style="34" customWidth="1"/>
    <col min="46" max="46" width="12.5703125" style="34" customWidth="1"/>
    <col min="47" max="47" width="12.28515625" style="34" customWidth="1"/>
    <col min="48" max="48" width="12.7109375" style="34" customWidth="1"/>
    <col min="49" max="49" width="11.85546875" style="34" customWidth="1"/>
    <col min="50" max="50" width="12.5703125" style="34" bestFit="1" customWidth="1"/>
    <col min="51" max="51" width="13.42578125" style="34" customWidth="1"/>
    <col min="52" max="52" width="15.7109375" style="34" bestFit="1" customWidth="1"/>
    <col min="53" max="53" width="11" style="34" bestFit="1" customWidth="1"/>
    <col min="54" max="54" width="14.28515625" style="34" bestFit="1" customWidth="1"/>
    <col min="55" max="55" width="14.7109375" style="34" bestFit="1" customWidth="1"/>
    <col min="56" max="56" width="15" style="34" bestFit="1" customWidth="1"/>
    <col min="57" max="57" width="12.5703125" style="34" bestFit="1" customWidth="1"/>
    <col min="58" max="58" width="13.5703125" style="34" customWidth="1"/>
    <col min="59" max="60" width="14.5703125" style="34" bestFit="1" customWidth="1"/>
    <col min="61" max="61" width="14.85546875" style="34" bestFit="1" customWidth="1"/>
    <col min="62" max="62" width="12.5703125" style="34" bestFit="1" customWidth="1"/>
    <col min="63" max="63" width="13.28515625" style="34" bestFit="1" customWidth="1"/>
    <col min="64" max="64" width="14" style="34" bestFit="1" customWidth="1"/>
    <col min="65" max="65" width="13.28515625" style="34" bestFit="1" customWidth="1"/>
    <col min="66" max="66" width="11.140625" style="34" bestFit="1" customWidth="1"/>
    <col min="67" max="67" width="16.85546875" style="34" bestFit="1" customWidth="1"/>
    <col min="68" max="68" width="14.7109375" style="34" customWidth="1"/>
    <col min="69" max="69" width="12" style="34" customWidth="1"/>
    <col min="70" max="70" width="14" style="34" customWidth="1"/>
    <col min="71" max="71" width="12.5703125" style="34" customWidth="1"/>
    <col min="72" max="72" width="11.28515625" style="34" customWidth="1"/>
    <col min="73" max="73" width="14.42578125" style="34" customWidth="1"/>
    <col min="74" max="74" width="15.7109375" style="34" customWidth="1"/>
    <col min="75" max="75" width="12.85546875" style="34" customWidth="1"/>
    <col min="76" max="76" width="13" style="34" customWidth="1"/>
    <col min="77" max="77" width="11.7109375" style="34" customWidth="1"/>
    <col min="78" max="78" width="14" style="34" customWidth="1"/>
    <col min="79" max="79" width="14.85546875" style="34" customWidth="1"/>
    <col min="80" max="80" width="11.85546875" style="34" customWidth="1"/>
    <col min="81" max="81" width="13.85546875" style="34" customWidth="1"/>
    <col min="82" max="82" width="13.7109375" style="34" customWidth="1"/>
    <col min="83" max="83" width="13" style="34" customWidth="1"/>
    <col min="84" max="84" width="12.42578125" style="34" customWidth="1"/>
    <col min="85" max="85" width="13" style="34" customWidth="1"/>
    <col min="86" max="86" width="12.7109375" style="34" hidden="1" customWidth="1"/>
    <col min="87" max="87" width="12.42578125" style="34" hidden="1" customWidth="1"/>
    <col min="88" max="88" width="10.28515625" style="34" hidden="1" customWidth="1"/>
    <col min="89" max="92" width="9.85546875" style="34" hidden="1" customWidth="1"/>
    <col min="93" max="93" width="9.85546875" style="34" customWidth="1"/>
    <col min="94" max="101" width="10.7109375" style="34" customWidth="1"/>
    <col min="102" max="102" width="16.5703125" style="34" customWidth="1"/>
    <col min="103" max="107" width="10.7109375" style="34" customWidth="1"/>
    <col min="108" max="16384" width="9.140625" style="34"/>
  </cols>
  <sheetData>
    <row r="1" spans="1:107">
      <c r="C1" s="107" t="s">
        <v>197</v>
      </c>
      <c r="D1" s="108"/>
      <c r="E1" s="108"/>
      <c r="F1" s="108"/>
      <c r="G1" s="108"/>
      <c r="H1" s="108"/>
      <c r="I1" s="108"/>
      <c r="J1" s="109"/>
      <c r="K1" s="110"/>
      <c r="L1" s="110"/>
      <c r="M1" s="110"/>
      <c r="N1" s="110"/>
      <c r="O1" s="110"/>
      <c r="P1" s="111"/>
      <c r="Q1" s="112"/>
      <c r="R1" s="111"/>
      <c r="S1" s="111"/>
      <c r="T1" s="111"/>
      <c r="U1" s="109"/>
      <c r="V1" s="109"/>
      <c r="W1" s="109"/>
      <c r="X1" s="111"/>
      <c r="Y1" s="109"/>
      <c r="Z1" s="109"/>
      <c r="AA1" s="109"/>
      <c r="AB1" s="109"/>
      <c r="AC1" s="109"/>
      <c r="AD1" s="109"/>
      <c r="AE1" s="109"/>
      <c r="AF1" s="109"/>
      <c r="AG1" s="109"/>
      <c r="AH1" s="109"/>
      <c r="AI1" s="109"/>
      <c r="AJ1" s="109"/>
      <c r="AK1" s="109"/>
      <c r="AL1" s="109"/>
      <c r="AM1" s="109"/>
      <c r="AN1" s="109"/>
      <c r="AO1" s="109"/>
      <c r="AP1" s="109"/>
      <c r="AQ1" s="109"/>
      <c r="AR1" s="113"/>
      <c r="AS1" s="109"/>
      <c r="AT1" s="109"/>
      <c r="AU1" s="109"/>
      <c r="AV1" s="109"/>
      <c r="AW1" s="109"/>
      <c r="AX1" s="113"/>
      <c r="AY1" s="109"/>
      <c r="AZ1" s="109"/>
      <c r="BA1" s="109"/>
      <c r="BB1" s="109"/>
      <c r="BC1" s="109"/>
      <c r="BD1" s="109"/>
      <c r="BE1" s="109"/>
      <c r="BF1" s="109"/>
      <c r="BG1" s="109"/>
      <c r="BH1" s="109"/>
      <c r="BI1" s="109"/>
      <c r="BJ1" s="109"/>
      <c r="BK1" s="109"/>
      <c r="BL1" s="109"/>
      <c r="BM1" s="109"/>
      <c r="BN1" s="109"/>
      <c r="BO1" s="114"/>
      <c r="BP1" s="109"/>
      <c r="BQ1" s="109"/>
      <c r="BR1" s="109"/>
      <c r="BS1" s="109"/>
      <c r="BT1" s="109"/>
      <c r="BU1" s="109"/>
      <c r="BV1" s="109"/>
      <c r="BW1" s="109"/>
      <c r="BX1" s="109"/>
      <c r="BY1" s="109"/>
      <c r="BZ1" s="109"/>
      <c r="CA1" s="109"/>
      <c r="CB1" s="109"/>
      <c r="CC1" s="109"/>
      <c r="CD1" s="109"/>
      <c r="CE1" s="109"/>
      <c r="CF1" s="109"/>
      <c r="CG1" s="109"/>
      <c r="CH1" s="109"/>
      <c r="CI1" s="109"/>
      <c r="CJ1" s="109"/>
      <c r="CK1" s="109"/>
      <c r="CL1" s="109"/>
      <c r="CM1" s="109"/>
      <c r="CN1" s="109"/>
      <c r="CO1" s="109"/>
      <c r="CP1" s="109"/>
      <c r="CQ1" s="109"/>
      <c r="CR1" s="113"/>
      <c r="CS1" s="109"/>
      <c r="CT1" s="109"/>
      <c r="CU1" s="109"/>
      <c r="CV1" s="109"/>
      <c r="CW1" s="109"/>
      <c r="CX1" s="109"/>
      <c r="CY1" s="109"/>
      <c r="CZ1" s="109"/>
      <c r="DA1" s="109"/>
      <c r="DB1" s="109"/>
      <c r="DC1" s="109"/>
    </row>
    <row r="2" spans="1:107">
      <c r="C2" s="115" t="s">
        <v>198</v>
      </c>
      <c r="D2" s="109"/>
      <c r="E2" s="109"/>
      <c r="F2" s="109"/>
      <c r="G2" s="109"/>
      <c r="H2" s="109"/>
      <c r="I2" s="109"/>
      <c r="J2" s="109"/>
      <c r="K2" s="110"/>
      <c r="L2" s="110"/>
      <c r="M2" s="110"/>
      <c r="N2" s="110"/>
      <c r="O2" s="110"/>
      <c r="P2" s="111"/>
      <c r="Q2" s="111"/>
      <c r="R2" s="111"/>
      <c r="S2" s="111"/>
      <c r="T2" s="111"/>
      <c r="U2" s="109"/>
      <c r="V2" s="109"/>
      <c r="W2" s="109"/>
      <c r="X2" s="111"/>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13"/>
      <c r="BE2" s="109"/>
      <c r="BF2" s="109"/>
      <c r="BG2" s="109"/>
      <c r="BH2" s="109"/>
      <c r="BI2" s="109"/>
      <c r="BJ2" s="109"/>
      <c r="BK2" s="109"/>
      <c r="BL2" s="109"/>
      <c r="BM2" s="109"/>
      <c r="BN2" s="109"/>
      <c r="BO2" s="109"/>
      <c r="BP2" s="109"/>
      <c r="BQ2" s="109"/>
      <c r="BR2" s="109"/>
      <c r="BS2" s="109"/>
      <c r="BT2" s="109"/>
      <c r="BU2" s="109"/>
      <c r="BV2" s="109"/>
      <c r="BW2" s="109"/>
      <c r="BX2" s="109"/>
      <c r="BY2" s="109"/>
      <c r="BZ2" s="109"/>
      <c r="CA2" s="109"/>
      <c r="CB2" s="109"/>
      <c r="CC2" s="109"/>
      <c r="CD2" s="109"/>
      <c r="CE2" s="109"/>
      <c r="CF2" s="109"/>
      <c r="CG2" s="109"/>
      <c r="CH2" s="109"/>
      <c r="CI2" s="109"/>
      <c r="CJ2" s="109"/>
      <c r="CK2" s="109"/>
      <c r="CL2" s="109"/>
      <c r="CM2" s="109"/>
      <c r="CN2" s="109"/>
      <c r="CO2" s="109"/>
      <c r="CP2" s="109"/>
      <c r="CQ2" s="109"/>
      <c r="CR2" s="109"/>
      <c r="CS2" s="109"/>
      <c r="CT2" s="109"/>
      <c r="CU2" s="109"/>
      <c r="CV2" s="109"/>
      <c r="CW2" s="109"/>
      <c r="CX2" s="109"/>
      <c r="CY2" s="109"/>
      <c r="CZ2" s="109"/>
      <c r="DA2" s="109"/>
      <c r="DB2" s="109"/>
      <c r="DC2" s="109"/>
    </row>
    <row r="3" spans="1:107">
      <c r="C3" s="115" t="s">
        <v>199</v>
      </c>
      <c r="E3" s="115">
        <v>2012</v>
      </c>
      <c r="L3" s="116"/>
      <c r="M3" s="117"/>
      <c r="CQ3" s="117"/>
      <c r="CR3" s="117"/>
    </row>
    <row r="5" spans="1:107">
      <c r="C5" s="118">
        <v>1</v>
      </c>
      <c r="D5" s="118">
        <v>2</v>
      </c>
      <c r="E5" s="118">
        <v>3</v>
      </c>
      <c r="F5" s="118">
        <v>4</v>
      </c>
      <c r="G5" s="118">
        <v>5</v>
      </c>
      <c r="H5" s="118">
        <v>6</v>
      </c>
      <c r="I5" s="118">
        <v>7</v>
      </c>
      <c r="J5" s="118">
        <v>8</v>
      </c>
      <c r="K5" s="118">
        <v>9</v>
      </c>
      <c r="L5" s="118">
        <v>10</v>
      </c>
      <c r="M5" s="118">
        <v>11</v>
      </c>
      <c r="N5" s="118">
        <v>12</v>
      </c>
      <c r="O5" s="118">
        <v>13</v>
      </c>
      <c r="P5" s="118">
        <v>14</v>
      </c>
      <c r="Q5" s="118">
        <v>15</v>
      </c>
      <c r="R5" s="118">
        <v>16</v>
      </c>
      <c r="S5" s="118">
        <v>17</v>
      </c>
      <c r="T5" s="118">
        <v>18</v>
      </c>
      <c r="U5" s="118">
        <v>19</v>
      </c>
      <c r="V5" s="118">
        <v>20</v>
      </c>
      <c r="W5" s="118">
        <v>21</v>
      </c>
      <c r="X5" s="118">
        <v>22</v>
      </c>
      <c r="Y5" s="118">
        <v>23</v>
      </c>
      <c r="Z5" s="118">
        <v>24</v>
      </c>
      <c r="AA5" s="118">
        <v>25</v>
      </c>
      <c r="AB5" s="118">
        <v>26</v>
      </c>
      <c r="AC5" s="118">
        <v>27</v>
      </c>
      <c r="AD5" s="118">
        <v>28</v>
      </c>
      <c r="AE5" s="118">
        <v>29</v>
      </c>
      <c r="AF5" s="118">
        <v>30</v>
      </c>
      <c r="AG5" s="118">
        <v>31</v>
      </c>
      <c r="AH5" s="118">
        <v>32</v>
      </c>
      <c r="AI5" s="118">
        <v>33</v>
      </c>
      <c r="AJ5" s="118">
        <v>34</v>
      </c>
      <c r="AK5" s="118">
        <v>35</v>
      </c>
      <c r="AL5" s="118">
        <v>36</v>
      </c>
      <c r="AM5" s="118">
        <v>37</v>
      </c>
      <c r="AN5" s="118">
        <v>38</v>
      </c>
      <c r="AO5" s="118">
        <v>39</v>
      </c>
      <c r="AP5" s="118">
        <v>40</v>
      </c>
      <c r="AQ5" s="118">
        <v>41</v>
      </c>
      <c r="AR5" s="118">
        <v>42</v>
      </c>
      <c r="AS5" s="118">
        <v>43</v>
      </c>
      <c r="AT5" s="118">
        <v>44</v>
      </c>
      <c r="AU5" s="118">
        <v>45</v>
      </c>
      <c r="AV5" s="118">
        <v>46</v>
      </c>
      <c r="AW5" s="118">
        <v>47</v>
      </c>
      <c r="AX5" s="118">
        <v>48</v>
      </c>
      <c r="AY5" s="118">
        <v>49</v>
      </c>
      <c r="AZ5" s="118">
        <v>50</v>
      </c>
      <c r="BA5" s="118">
        <v>51</v>
      </c>
      <c r="BB5" s="118">
        <v>52</v>
      </c>
      <c r="BC5" s="118">
        <v>53</v>
      </c>
      <c r="BD5" s="118">
        <v>54</v>
      </c>
      <c r="BE5" s="118">
        <v>55</v>
      </c>
      <c r="BF5" s="118">
        <v>56</v>
      </c>
      <c r="BG5" s="118">
        <v>57</v>
      </c>
      <c r="BH5" s="118">
        <v>58</v>
      </c>
      <c r="BI5" s="118">
        <v>59</v>
      </c>
      <c r="BJ5" s="118">
        <v>60</v>
      </c>
      <c r="BK5" s="118">
        <v>61</v>
      </c>
      <c r="BL5" s="118">
        <v>62</v>
      </c>
      <c r="BM5" s="118">
        <v>63</v>
      </c>
      <c r="BN5" s="118">
        <v>64</v>
      </c>
      <c r="BO5" s="118">
        <v>65</v>
      </c>
      <c r="BP5" s="118">
        <v>66</v>
      </c>
      <c r="BQ5" s="118">
        <v>67</v>
      </c>
      <c r="BR5" s="118">
        <v>68</v>
      </c>
      <c r="BS5" s="118">
        <v>69</v>
      </c>
      <c r="BT5" s="118">
        <v>70</v>
      </c>
      <c r="BU5" s="118">
        <v>71</v>
      </c>
      <c r="BV5" s="118">
        <v>72</v>
      </c>
      <c r="BW5" s="118">
        <v>73</v>
      </c>
      <c r="BX5" s="118">
        <v>74</v>
      </c>
      <c r="BY5" s="118">
        <v>75</v>
      </c>
      <c r="BZ5" s="118">
        <v>76</v>
      </c>
      <c r="CA5" s="118">
        <v>77</v>
      </c>
      <c r="CB5" s="118">
        <v>78</v>
      </c>
      <c r="CC5" s="118">
        <v>79</v>
      </c>
      <c r="CD5" s="118">
        <v>80</v>
      </c>
      <c r="CE5" s="118">
        <v>81</v>
      </c>
      <c r="CF5" s="118">
        <v>82</v>
      </c>
      <c r="CG5" s="118">
        <v>83</v>
      </c>
      <c r="CH5" s="118">
        <v>84</v>
      </c>
      <c r="CI5" s="118">
        <v>85</v>
      </c>
      <c r="CJ5" s="118">
        <v>86</v>
      </c>
      <c r="CK5" s="118">
        <v>87</v>
      </c>
      <c r="CL5" s="118">
        <v>88</v>
      </c>
      <c r="CM5" s="118">
        <v>89</v>
      </c>
      <c r="CN5" s="118">
        <v>90</v>
      </c>
      <c r="CO5" s="118">
        <v>91</v>
      </c>
      <c r="CP5" s="118">
        <v>92</v>
      </c>
      <c r="CQ5" s="118">
        <v>93</v>
      </c>
      <c r="CR5" s="118">
        <v>94</v>
      </c>
      <c r="CS5" s="118">
        <v>95</v>
      </c>
      <c r="CT5" s="118">
        <v>96</v>
      </c>
      <c r="CU5" s="118">
        <v>97</v>
      </c>
      <c r="CV5" s="118">
        <v>98</v>
      </c>
      <c r="CW5" s="118">
        <v>99</v>
      </c>
      <c r="CX5" s="118">
        <v>100</v>
      </c>
      <c r="CY5" s="118">
        <v>101</v>
      </c>
      <c r="CZ5" s="118">
        <v>102</v>
      </c>
      <c r="DA5" s="118">
        <v>103</v>
      </c>
      <c r="DB5" s="118">
        <v>104</v>
      </c>
      <c r="DC5" s="118">
        <v>105</v>
      </c>
    </row>
    <row r="6" spans="1:107">
      <c r="C6" s="119" t="s">
        <v>200</v>
      </c>
      <c r="D6" s="120"/>
      <c r="E6" s="120"/>
      <c r="F6" s="120"/>
      <c r="G6" s="120"/>
      <c r="H6" s="120"/>
      <c r="I6" s="121"/>
      <c r="J6" s="122"/>
      <c r="K6" s="626" t="s">
        <v>201</v>
      </c>
      <c r="L6" s="627"/>
      <c r="M6" s="627"/>
      <c r="N6" s="627"/>
      <c r="O6" s="627"/>
      <c r="P6" s="628"/>
      <c r="Q6" s="629" t="s">
        <v>202</v>
      </c>
      <c r="R6" s="630"/>
      <c r="S6" s="123"/>
      <c r="T6" s="124"/>
      <c r="U6" s="124"/>
      <c r="V6" s="124"/>
      <c r="W6" s="124"/>
      <c r="X6" s="124"/>
      <c r="Y6" s="124"/>
      <c r="Z6" s="125"/>
      <c r="AA6" s="126"/>
      <c r="AB6" s="124"/>
      <c r="AC6" s="124"/>
      <c r="AD6" s="124"/>
      <c r="AE6" s="124"/>
      <c r="AF6" s="124"/>
      <c r="AG6" s="127"/>
      <c r="AH6" s="127"/>
      <c r="AI6" s="127"/>
      <c r="AJ6" s="127"/>
      <c r="AK6" s="127"/>
      <c r="AL6" s="127"/>
      <c r="AM6" s="127"/>
      <c r="AN6" s="127"/>
      <c r="AO6" s="127"/>
      <c r="AP6" s="127"/>
      <c r="AQ6" s="127"/>
      <c r="AR6" s="109"/>
      <c r="AS6" s="109"/>
      <c r="AT6" s="109"/>
      <c r="AU6" s="109"/>
      <c r="AV6" s="109"/>
      <c r="AW6" s="109"/>
      <c r="AX6" s="109"/>
      <c r="AY6" s="109"/>
      <c r="AZ6" s="109"/>
      <c r="BA6" s="109"/>
      <c r="BB6" s="109"/>
      <c r="BC6" s="109"/>
      <c r="BD6" s="109"/>
      <c r="BE6" s="109"/>
      <c r="BF6" s="109"/>
      <c r="BG6" s="109"/>
      <c r="BH6" s="109"/>
      <c r="BI6" s="109"/>
      <c r="BJ6" s="109"/>
      <c r="BK6" s="109"/>
      <c r="BL6" s="109"/>
      <c r="BM6" s="109"/>
      <c r="BN6" s="109"/>
      <c r="BO6" s="109"/>
      <c r="BP6" s="109"/>
      <c r="BQ6" s="109"/>
      <c r="BR6" s="109"/>
      <c r="BS6" s="109"/>
      <c r="BT6" s="109"/>
      <c r="BU6" s="109"/>
      <c r="BV6" s="109"/>
      <c r="BW6" s="109"/>
      <c r="BX6" s="109"/>
      <c r="BY6" s="109"/>
      <c r="BZ6" s="109"/>
      <c r="CA6" s="109"/>
      <c r="CB6" s="109"/>
      <c r="CC6" s="109"/>
      <c r="CD6" s="109"/>
      <c r="CE6" s="109"/>
      <c r="CF6" s="109"/>
      <c r="CG6" s="109"/>
      <c r="CH6" s="109"/>
      <c r="CI6" s="109"/>
      <c r="CJ6" s="109"/>
      <c r="CK6" s="109"/>
      <c r="CL6" s="109"/>
      <c r="CM6" s="109"/>
      <c r="CN6" s="109"/>
      <c r="CO6" s="109"/>
      <c r="CP6" s="109"/>
      <c r="CQ6" s="109"/>
      <c r="CR6" s="109"/>
      <c r="CS6" s="109"/>
      <c r="CT6" s="109"/>
      <c r="CU6" s="109"/>
      <c r="CV6" s="109"/>
      <c r="CW6" s="109"/>
      <c r="CX6" s="109"/>
      <c r="CY6" s="109"/>
      <c r="CZ6" s="109"/>
      <c r="DA6" s="109"/>
      <c r="DB6" s="109"/>
      <c r="DC6" s="109"/>
    </row>
    <row r="7" spans="1:107" ht="25.5">
      <c r="A7" s="34" t="s">
        <v>928</v>
      </c>
      <c r="B7" s="34" t="s">
        <v>937</v>
      </c>
      <c r="C7" s="128" t="s">
        <v>203</v>
      </c>
      <c r="D7" s="128" t="s">
        <v>204</v>
      </c>
      <c r="E7" s="128" t="s">
        <v>205</v>
      </c>
      <c r="F7" s="128" t="s">
        <v>206</v>
      </c>
      <c r="G7" s="128" t="s">
        <v>207</v>
      </c>
      <c r="H7" s="129" t="s">
        <v>208</v>
      </c>
      <c r="I7" s="130" t="s">
        <v>209</v>
      </c>
      <c r="J7" s="131" t="s">
        <v>210</v>
      </c>
      <c r="K7" s="131" t="s">
        <v>211</v>
      </c>
      <c r="L7" s="131" t="s">
        <v>212</v>
      </c>
      <c r="M7" s="131" t="s">
        <v>213</v>
      </c>
      <c r="N7" s="131" t="s">
        <v>214</v>
      </c>
      <c r="O7" s="131" t="s">
        <v>215</v>
      </c>
      <c r="P7" s="131" t="s">
        <v>216</v>
      </c>
      <c r="Q7" s="132" t="s">
        <v>217</v>
      </c>
      <c r="R7" s="131" t="s">
        <v>209</v>
      </c>
      <c r="S7" s="133"/>
      <c r="T7" s="133"/>
      <c r="U7" s="133"/>
      <c r="V7" s="133"/>
      <c r="W7" s="133"/>
      <c r="X7" s="133"/>
      <c r="Y7" s="133"/>
      <c r="Z7" s="133"/>
      <c r="AA7" s="133"/>
      <c r="AB7" s="133"/>
      <c r="AC7" s="133"/>
      <c r="AD7" s="133"/>
      <c r="AE7" s="133"/>
      <c r="AF7" s="133"/>
      <c r="AG7" s="127"/>
      <c r="AH7" s="127"/>
      <c r="AI7" s="127"/>
      <c r="AJ7" s="127"/>
      <c r="AK7" s="127"/>
      <c r="AL7" s="127"/>
      <c r="AM7" s="127"/>
      <c r="AN7" s="127"/>
      <c r="AO7" s="127"/>
      <c r="AP7" s="127"/>
      <c r="AQ7" s="127"/>
      <c r="AR7" s="109"/>
      <c r="AS7" s="109"/>
      <c r="AT7" s="109"/>
      <c r="AU7" s="109"/>
      <c r="AV7" s="109"/>
      <c r="AW7" s="109"/>
      <c r="AX7" s="109"/>
      <c r="AY7" s="109"/>
      <c r="AZ7" s="109"/>
      <c r="BA7" s="109"/>
      <c r="BB7" s="109"/>
      <c r="BC7" s="109"/>
      <c r="BD7" s="109"/>
      <c r="BE7" s="109"/>
      <c r="BF7" s="109"/>
      <c r="BG7" s="109"/>
      <c r="BH7" s="109"/>
      <c r="BI7" s="109"/>
      <c r="BJ7" s="109"/>
      <c r="BK7" s="109"/>
      <c r="BL7" s="109"/>
      <c r="BM7" s="109"/>
      <c r="BN7" s="109"/>
      <c r="BO7" s="109"/>
      <c r="BP7" s="109"/>
      <c r="BQ7" s="109"/>
      <c r="BR7" s="109"/>
      <c r="BS7" s="109"/>
      <c r="BT7" s="109"/>
      <c r="BU7" s="109"/>
      <c r="BV7" s="109"/>
      <c r="BW7" s="109"/>
      <c r="BX7" s="109"/>
      <c r="BY7" s="109"/>
      <c r="BZ7" s="109"/>
      <c r="CA7" s="109"/>
      <c r="CB7" s="109"/>
      <c r="CC7" s="109"/>
      <c r="CD7" s="109"/>
      <c r="CE7" s="109"/>
      <c r="CF7" s="109"/>
      <c r="CG7" s="109"/>
      <c r="CH7" s="109"/>
      <c r="CI7" s="109"/>
      <c r="CJ7" s="109"/>
      <c r="CK7" s="109"/>
      <c r="CL7" s="109"/>
      <c r="CM7" s="109"/>
      <c r="CN7" s="109"/>
      <c r="CO7" s="109"/>
      <c r="CP7" s="109"/>
      <c r="CQ7" s="109"/>
      <c r="CR7" s="109"/>
      <c r="CS7" s="109"/>
      <c r="CT7" s="109"/>
      <c r="CU7" s="109"/>
      <c r="CV7" s="109"/>
      <c r="CW7" s="109"/>
      <c r="CX7" s="109"/>
      <c r="CY7" s="109"/>
      <c r="CZ7" s="109"/>
      <c r="DA7" s="109"/>
      <c r="DB7" s="109"/>
      <c r="DC7" s="109"/>
    </row>
    <row r="8" spans="1:107">
      <c r="A8" s="34" t="s">
        <v>930</v>
      </c>
      <c r="B8" s="34" t="str">
        <f>A8&amp;C8&amp;D8</f>
        <v>Single FamilyEnergy Star Dishwasher - Electric DHWAll Except Waste Water Energy</v>
      </c>
      <c r="C8" s="134" t="str">
        <f>'SF Measure Development'!AW18</f>
        <v>Energy Star Dishwasher - Electric DHW</v>
      </c>
      <c r="D8" s="135" t="str">
        <f>'SF Measure Development'!AX18</f>
        <v>All Except Waste Water Energy</v>
      </c>
      <c r="E8" s="136">
        <f>'SF Measure Development'!AY18</f>
        <v>3.437889966239311</v>
      </c>
      <c r="F8" s="137">
        <v>15.4</v>
      </c>
      <c r="G8" s="138">
        <f>'SF Measure Development'!BA18</f>
        <v>5.2795660553372441</v>
      </c>
      <c r="H8" s="137">
        <f>'SF Measure Development'!BB18</f>
        <v>0</v>
      </c>
      <c r="I8" s="139" t="str">
        <f>'SF Measure Development'!BC18</f>
        <v>ResDHW</v>
      </c>
      <c r="J8" s="140">
        <f>'SF Measure Development'!BD18</f>
        <v>0.33177417068635534</v>
      </c>
      <c r="K8" s="34">
        <f>'SF Measure Development'!BE18</f>
        <v>0</v>
      </c>
      <c r="L8" s="34">
        <f>'SF Measure Development'!BF18</f>
        <v>0</v>
      </c>
      <c r="M8" s="34">
        <f>'SF Measure Development'!BG18</f>
        <v>0</v>
      </c>
      <c r="N8" s="34">
        <f>'SF Measure Development'!BH18</f>
        <v>0</v>
      </c>
      <c r="O8" s="34">
        <f>'SF Measure Development'!BI18</f>
        <v>0</v>
      </c>
      <c r="P8" s="34">
        <f>'SF Measure Development'!BJ18</f>
        <v>0</v>
      </c>
      <c r="Q8" s="138">
        <f>'SF Measure Development'!BK18</f>
        <v>0</v>
      </c>
      <c r="R8" s="141" t="str">
        <f>'SF Measure Development'!BL18</f>
        <v>ResDHW</v>
      </c>
      <c r="T8" s="142"/>
      <c r="U8" s="138"/>
    </row>
    <row r="9" spans="1:107">
      <c r="A9" s="34" t="s">
        <v>930</v>
      </c>
      <c r="B9" s="34" t="str">
        <f t="shared" ref="B9:B43" si="0">A9&amp;C9&amp;D9</f>
        <v>Single FamilyEnergy Star Dishwasher - Gas DHWAll Except Waste Water Energy</v>
      </c>
      <c r="C9" s="134" t="str">
        <f>'SF Measure Development'!AW19</f>
        <v>Energy Star Dishwasher - Gas DHW</v>
      </c>
      <c r="D9" s="135" t="str">
        <f>'SF Measure Development'!AX19</f>
        <v>All Except Waste Water Energy</v>
      </c>
      <c r="E9" s="136">
        <f>'SF Measure Development'!AY19</f>
        <v>-2.5966534945204671</v>
      </c>
      <c r="F9" s="137">
        <v>15.4</v>
      </c>
      <c r="G9" s="138">
        <f>'SF Measure Development'!BA19</f>
        <v>5.2795660553372441</v>
      </c>
      <c r="H9" s="137">
        <f>'SF Measure Development'!BB19</f>
        <v>0</v>
      </c>
      <c r="I9" s="139" t="str">
        <f>'SF Measure Development'!BC19</f>
        <v>ResDHW</v>
      </c>
      <c r="J9" s="140">
        <f>'SF Measure Development'!BD19</f>
        <v>0.33177417068635534</v>
      </c>
      <c r="K9" s="34">
        <f>'SF Measure Development'!BE19</f>
        <v>0</v>
      </c>
      <c r="L9" s="34">
        <f>'SF Measure Development'!BF19</f>
        <v>0</v>
      </c>
      <c r="M9" s="34">
        <f>'SF Measure Development'!BG19</f>
        <v>0</v>
      </c>
      <c r="N9" s="34">
        <f>'SF Measure Development'!BH19</f>
        <v>0</v>
      </c>
      <c r="O9" s="34">
        <f>'SF Measure Development'!BI19</f>
        <v>0</v>
      </c>
      <c r="P9" s="34">
        <f>'SF Measure Development'!BJ19</f>
        <v>0</v>
      </c>
      <c r="Q9" s="138">
        <f>'SF Measure Development'!BK19</f>
        <v>0.27460841748881126</v>
      </c>
      <c r="R9" s="141" t="str">
        <f>'SF Measure Development'!BL19</f>
        <v>ResDHW</v>
      </c>
      <c r="T9" s="142"/>
      <c r="U9" s="138"/>
    </row>
    <row r="10" spans="1:107">
      <c r="A10" s="34" t="s">
        <v>930</v>
      </c>
      <c r="B10" s="34" t="str">
        <f t="shared" si="0"/>
        <v>Single FamilyEnergy Star Dishwasher - Any DHWAll Except Waste Water Energy</v>
      </c>
      <c r="C10" s="134" t="str">
        <f>'SF Measure Development'!AW20</f>
        <v>Energy Star Dishwasher - Any DHW</v>
      </c>
      <c r="D10" s="135" t="str">
        <f>'SF Measure Development'!AX20</f>
        <v>All Except Waste Water Energy</v>
      </c>
      <c r="E10" s="136">
        <f>'SF Measure Development'!AY20</f>
        <v>0.73441449581893048</v>
      </c>
      <c r="F10" s="137">
        <v>15.4</v>
      </c>
      <c r="G10" s="138">
        <f>'SF Measure Development'!BA20</f>
        <v>5.2795660553372441</v>
      </c>
      <c r="H10" s="137">
        <f>'SF Measure Development'!BB20</f>
        <v>0</v>
      </c>
      <c r="I10" s="139" t="str">
        <f>'SF Measure Development'!BC20</f>
        <v>ResDHW</v>
      </c>
      <c r="J10" s="140">
        <f>'SF Measure Development'!BD20</f>
        <v>0.33177417068635534</v>
      </c>
      <c r="K10" s="34">
        <f>'SF Measure Development'!BE20</f>
        <v>0</v>
      </c>
      <c r="L10" s="34">
        <f>'SF Measure Development'!BF20</f>
        <v>0</v>
      </c>
      <c r="M10" s="34">
        <f>'SF Measure Development'!BG20</f>
        <v>0</v>
      </c>
      <c r="N10" s="34">
        <f>'SF Measure Development'!BH20</f>
        <v>0</v>
      </c>
      <c r="O10" s="34">
        <f>'SF Measure Development'!BI20</f>
        <v>0</v>
      </c>
      <c r="P10" s="34">
        <f>'SF Measure Development'!BJ20</f>
        <v>0</v>
      </c>
      <c r="Q10" s="138">
        <f>'SF Measure Development'!BK20</f>
        <v>0.12302457103498743</v>
      </c>
      <c r="R10" s="141" t="str">
        <f>'SF Measure Development'!BL20</f>
        <v>ResDHW</v>
      </c>
      <c r="T10" s="142"/>
      <c r="U10" s="138"/>
    </row>
    <row r="11" spans="1:107">
      <c r="A11" s="34" t="s">
        <v>930</v>
      </c>
      <c r="B11" s="34" t="str">
        <f t="shared" si="0"/>
        <v>Single FamilyCEE Tier 1 Dishwasher - Electric DHWAll Except Waste Water Energy</v>
      </c>
      <c r="C11" s="134" t="str">
        <f>'SF Measure Development'!AW21</f>
        <v>CEE Tier 1 Dishwasher - Electric DHW</v>
      </c>
      <c r="D11" s="135" t="str">
        <f>'SF Measure Development'!AX21</f>
        <v>All Except Waste Water Energy</v>
      </c>
      <c r="E11" s="136">
        <f>'SF Measure Development'!AY21</f>
        <v>4.0066399782535598</v>
      </c>
      <c r="F11" s="137">
        <v>15.4</v>
      </c>
      <c r="G11" s="138">
        <f>'SF Measure Development'!BA21</f>
        <v>6.1994832121220673</v>
      </c>
      <c r="H11" s="137">
        <f>'SF Measure Development'!BB21</f>
        <v>0</v>
      </c>
      <c r="I11" s="139" t="str">
        <f>'SF Measure Development'!BC21</f>
        <v>ResDHW</v>
      </c>
      <c r="J11" s="140">
        <f>'SF Measure Development'!BD21</f>
        <v>0.34363012309752472</v>
      </c>
      <c r="K11" s="34">
        <f>'SF Measure Development'!BE21</f>
        <v>0</v>
      </c>
      <c r="L11" s="34">
        <f>'SF Measure Development'!BF21</f>
        <v>0</v>
      </c>
      <c r="M11" s="34">
        <f>'SF Measure Development'!BG21</f>
        <v>0</v>
      </c>
      <c r="N11" s="34">
        <f>'SF Measure Development'!BH21</f>
        <v>0</v>
      </c>
      <c r="O11" s="34">
        <f>'SF Measure Development'!BI21</f>
        <v>0</v>
      </c>
      <c r="P11" s="34">
        <f>'SF Measure Development'!BJ21</f>
        <v>0</v>
      </c>
      <c r="Q11" s="138">
        <f>'SF Measure Development'!BK21</f>
        <v>0</v>
      </c>
      <c r="R11" s="141" t="str">
        <f>'SF Measure Development'!BL21</f>
        <v>ResDHW</v>
      </c>
      <c r="T11" s="142"/>
      <c r="U11" s="138"/>
    </row>
    <row r="12" spans="1:107">
      <c r="A12" s="34" t="s">
        <v>930</v>
      </c>
      <c r="B12" s="34" t="str">
        <f t="shared" si="0"/>
        <v>Single FamilyCEE Tier 1 Dishwasher - Gas DHWAll Except Waste Water Energy</v>
      </c>
      <c r="C12" s="134" t="str">
        <f>'SF Measure Development'!AW22</f>
        <v>CEE Tier 1 Dishwasher - Gas DHW</v>
      </c>
      <c r="D12" s="135" t="str">
        <f>'SF Measure Development'!AX22</f>
        <v>All Except Waste Water Energy</v>
      </c>
      <c r="E12" s="136">
        <f>'SF Measure Development'!AY22</f>
        <v>-2.2435479371239353</v>
      </c>
      <c r="F12" s="137">
        <v>15.4</v>
      </c>
      <c r="G12" s="138">
        <f>'SF Measure Development'!BA22</f>
        <v>6.1994832121220673</v>
      </c>
      <c r="H12" s="137">
        <f>'SF Measure Development'!BB22</f>
        <v>0</v>
      </c>
      <c r="I12" s="139" t="str">
        <f>'SF Measure Development'!BC22</f>
        <v>ResDHW</v>
      </c>
      <c r="J12" s="140">
        <f>'SF Measure Development'!BD22</f>
        <v>0.34363012309752472</v>
      </c>
      <c r="K12" s="34">
        <f>'SF Measure Development'!BE22</f>
        <v>0</v>
      </c>
      <c r="L12" s="34">
        <f>'SF Measure Development'!BF22</f>
        <v>0</v>
      </c>
      <c r="M12" s="34">
        <f>'SF Measure Development'!BG22</f>
        <v>0</v>
      </c>
      <c r="N12" s="34">
        <f>'SF Measure Development'!BH22</f>
        <v>0</v>
      </c>
      <c r="O12" s="34">
        <f>'SF Measure Development'!BI22</f>
        <v>0</v>
      </c>
      <c r="P12" s="34">
        <f>'SF Measure Development'!BJ22</f>
        <v>0</v>
      </c>
      <c r="Q12" s="138">
        <f>'SF Measure Development'!BK22</f>
        <v>0.28442155129220126</v>
      </c>
      <c r="R12" s="141" t="str">
        <f>'SF Measure Development'!BL22</f>
        <v>ResDHW</v>
      </c>
      <c r="T12" s="142"/>
      <c r="U12" s="138"/>
    </row>
    <row r="13" spans="1:107">
      <c r="A13" s="34" t="s">
        <v>930</v>
      </c>
      <c r="B13" s="34" t="str">
        <f t="shared" si="0"/>
        <v>Single FamilyCEE Tier 1 Dishwasher - Any DHWAll Except Waste Water Energy</v>
      </c>
      <c r="C13" s="134" t="str">
        <f>'SF Measure Development'!AW23</f>
        <v>CEE Tier 1 Dishwasher - Any DHW</v>
      </c>
      <c r="D13" s="135" t="str">
        <f>'SF Measure Development'!AX23</f>
        <v>All Except Waste Water Energy</v>
      </c>
      <c r="E13" s="136">
        <f>'SF Measure Development'!AY23</f>
        <v>1.2065557921644423</v>
      </c>
      <c r="F13" s="137">
        <v>15.4</v>
      </c>
      <c r="G13" s="138">
        <f>'SF Measure Development'!BA23</f>
        <v>6.1994832121220673</v>
      </c>
      <c r="H13" s="137">
        <f>'SF Measure Development'!BB23</f>
        <v>0</v>
      </c>
      <c r="I13" s="139" t="str">
        <f>'SF Measure Development'!BC23</f>
        <v>ResDHW</v>
      </c>
      <c r="J13" s="140">
        <f>'SF Measure Development'!BD23</f>
        <v>0.34363012309752472</v>
      </c>
      <c r="K13" s="34">
        <f>'SF Measure Development'!BE23</f>
        <v>0</v>
      </c>
      <c r="L13" s="34">
        <f>'SF Measure Development'!BF23</f>
        <v>0</v>
      </c>
      <c r="M13" s="34">
        <f>'SF Measure Development'!BG23</f>
        <v>0</v>
      </c>
      <c r="N13" s="34">
        <f>'SF Measure Development'!BH23</f>
        <v>0</v>
      </c>
      <c r="O13" s="34">
        <f>'SF Measure Development'!BI23</f>
        <v>0</v>
      </c>
      <c r="P13" s="34">
        <f>'SF Measure Development'!BJ23</f>
        <v>0</v>
      </c>
      <c r="Q13" s="138">
        <f>'SF Measure Development'!BK23</f>
        <v>0.12742085497890615</v>
      </c>
      <c r="R13" s="141" t="str">
        <f>'SF Measure Development'!BL23</f>
        <v>ResDHW</v>
      </c>
      <c r="T13" s="142"/>
      <c r="U13" s="138"/>
    </row>
    <row r="14" spans="1:107">
      <c r="A14" s="34" t="s">
        <v>930</v>
      </c>
      <c r="B14" s="34" t="str">
        <f t="shared" si="0"/>
        <v>Single FamilyEnergy Star Dishwasher - Electric DHWWaste Water Energy</v>
      </c>
      <c r="C14" s="134" t="str">
        <f>'SF Measure Development'!AW24</f>
        <v>Energy Star Dishwasher - Electric DHW</v>
      </c>
      <c r="D14" s="135" t="str">
        <f>'SF Measure Development'!AX24</f>
        <v>Waste Water Energy</v>
      </c>
      <c r="E14" s="136">
        <f>'SF Measure Development'!AY24</f>
        <v>0.19001627921082875</v>
      </c>
      <c r="F14" s="137">
        <v>15.4</v>
      </c>
      <c r="G14" s="138">
        <f>'SF Measure Development'!BA24</f>
        <v>0</v>
      </c>
      <c r="H14" s="137">
        <f>'SF Measure Development'!BB24</f>
        <v>0</v>
      </c>
      <c r="I14" s="139" t="str">
        <f>'SF Measure Development'!BC24</f>
        <v>FLAT</v>
      </c>
      <c r="J14" s="140">
        <f>'SF Measure Development'!BD24</f>
        <v>0</v>
      </c>
      <c r="K14" s="34">
        <f>'SF Measure Development'!BE24</f>
        <v>0</v>
      </c>
      <c r="L14" s="34">
        <f>'SF Measure Development'!BF24</f>
        <v>0</v>
      </c>
      <c r="M14" s="34">
        <f>'SF Measure Development'!BG24</f>
        <v>0</v>
      </c>
      <c r="N14" s="34">
        <f>'SF Measure Development'!BH24</f>
        <v>0</v>
      </c>
      <c r="O14" s="34">
        <f>'SF Measure Development'!BI24</f>
        <v>0</v>
      </c>
      <c r="P14" s="34">
        <f>'SF Measure Development'!BJ24</f>
        <v>0</v>
      </c>
      <c r="Q14" s="138">
        <f>'SF Measure Development'!BK24</f>
        <v>0</v>
      </c>
      <c r="R14" s="141">
        <f>'SF Measure Development'!BL24</f>
        <v>0</v>
      </c>
      <c r="T14" s="142"/>
      <c r="U14" s="138"/>
    </row>
    <row r="15" spans="1:107">
      <c r="A15" s="34" t="s">
        <v>930</v>
      </c>
      <c r="B15" s="34" t="str">
        <f t="shared" si="0"/>
        <v>Single FamilyEnergy Star Dishwasher - Gas DHWWaste Water Energy</v>
      </c>
      <c r="C15" s="134" t="str">
        <f>'SF Measure Development'!AW25</f>
        <v>Energy Star Dishwasher - Gas DHW</v>
      </c>
      <c r="D15" s="135" t="str">
        <f>'SF Measure Development'!AX25</f>
        <v>Waste Water Energy</v>
      </c>
      <c r="E15" s="136">
        <f>'SF Measure Development'!AY25</f>
        <v>0.19001627921082875</v>
      </c>
      <c r="F15" s="137">
        <v>15.4</v>
      </c>
      <c r="G15" s="138">
        <f>'SF Measure Development'!BA25</f>
        <v>0</v>
      </c>
      <c r="H15" s="137">
        <f>'SF Measure Development'!BB25</f>
        <v>0</v>
      </c>
      <c r="I15" s="139" t="str">
        <f>'SF Measure Development'!BC25</f>
        <v>FLAT</v>
      </c>
      <c r="J15" s="140">
        <f>'SF Measure Development'!BD25</f>
        <v>0</v>
      </c>
      <c r="K15" s="34">
        <f>'SF Measure Development'!BE25</f>
        <v>0</v>
      </c>
      <c r="L15" s="34">
        <f>'SF Measure Development'!BF25</f>
        <v>0</v>
      </c>
      <c r="M15" s="34">
        <f>'SF Measure Development'!BG25</f>
        <v>0</v>
      </c>
      <c r="N15" s="34">
        <f>'SF Measure Development'!BH25</f>
        <v>0</v>
      </c>
      <c r="O15" s="34">
        <f>'SF Measure Development'!BI25</f>
        <v>0</v>
      </c>
      <c r="P15" s="34">
        <f>'SF Measure Development'!BJ25</f>
        <v>0</v>
      </c>
      <c r="Q15" s="138">
        <f>'SF Measure Development'!BK25</f>
        <v>0</v>
      </c>
      <c r="R15" s="141">
        <f>'SF Measure Development'!BL25</f>
        <v>0</v>
      </c>
      <c r="T15" s="142"/>
      <c r="U15" s="138"/>
    </row>
    <row r="16" spans="1:107">
      <c r="A16" s="34" t="s">
        <v>930</v>
      </c>
      <c r="B16" s="34" t="str">
        <f t="shared" si="0"/>
        <v>Single FamilyEnergy Star Dishwasher - Any DHWWaste Water Energy</v>
      </c>
      <c r="C16" s="134" t="str">
        <f>'SF Measure Development'!AW26</f>
        <v>Energy Star Dishwasher - Any DHW</v>
      </c>
      <c r="D16" s="135" t="str">
        <f>'SF Measure Development'!AX26</f>
        <v>Waste Water Energy</v>
      </c>
      <c r="E16" s="136">
        <f>'SF Measure Development'!AY26</f>
        <v>0.19001627921082875</v>
      </c>
      <c r="F16" s="137">
        <v>15.4</v>
      </c>
      <c r="G16" s="138">
        <f>'SF Measure Development'!BA26</f>
        <v>0</v>
      </c>
      <c r="H16" s="137">
        <f>'SF Measure Development'!BB26</f>
        <v>0</v>
      </c>
      <c r="I16" s="139" t="str">
        <f>'SF Measure Development'!BC26</f>
        <v>FLAT</v>
      </c>
      <c r="J16" s="140">
        <f>'SF Measure Development'!BD26</f>
        <v>0</v>
      </c>
      <c r="K16" s="34">
        <f>'SF Measure Development'!BE26</f>
        <v>0</v>
      </c>
      <c r="L16" s="34">
        <f>'SF Measure Development'!BF26</f>
        <v>0</v>
      </c>
      <c r="M16" s="34">
        <f>'SF Measure Development'!BG26</f>
        <v>0</v>
      </c>
      <c r="N16" s="34">
        <f>'SF Measure Development'!BH26</f>
        <v>0</v>
      </c>
      <c r="O16" s="34">
        <f>'SF Measure Development'!BI26</f>
        <v>0</v>
      </c>
      <c r="P16" s="34">
        <f>'SF Measure Development'!BJ26</f>
        <v>0</v>
      </c>
      <c r="Q16" s="138">
        <f>'SF Measure Development'!BK26</f>
        <v>0</v>
      </c>
      <c r="R16" s="141">
        <f>'SF Measure Development'!BL26</f>
        <v>0</v>
      </c>
    </row>
    <row r="17" spans="1:18">
      <c r="A17" s="34" t="s">
        <v>930</v>
      </c>
      <c r="B17" s="34" t="str">
        <f t="shared" si="0"/>
        <v>Single FamilyCEE Tier 1 Dishwasher - Electric DHWWaste Water Energy</v>
      </c>
      <c r="C17" s="134" t="str">
        <f>'SF Measure Development'!AW27</f>
        <v>CEE Tier 1 Dishwasher - Electric DHW</v>
      </c>
      <c r="D17" s="135" t="str">
        <f>'SF Measure Development'!AX27</f>
        <v>Waste Water Energy</v>
      </c>
      <c r="E17" s="136">
        <f>'SF Measure Development'!AY27</f>
        <v>0.19680651233539828</v>
      </c>
      <c r="F17" s="137">
        <v>15.4</v>
      </c>
      <c r="G17" s="138">
        <f>'SF Measure Development'!BA27</f>
        <v>0</v>
      </c>
      <c r="H17" s="137">
        <f>'SF Measure Development'!BB27</f>
        <v>0</v>
      </c>
      <c r="I17" s="139" t="str">
        <f>'SF Measure Development'!BC27</f>
        <v>FLAT</v>
      </c>
      <c r="J17" s="140">
        <f>'SF Measure Development'!BD27</f>
        <v>0</v>
      </c>
      <c r="K17" s="34">
        <f>'SF Measure Development'!BE27</f>
        <v>0</v>
      </c>
      <c r="L17" s="34">
        <f>'SF Measure Development'!BF27</f>
        <v>0</v>
      </c>
      <c r="M17" s="34">
        <f>'SF Measure Development'!BG27</f>
        <v>0</v>
      </c>
      <c r="N17" s="34">
        <f>'SF Measure Development'!BH27</f>
        <v>0</v>
      </c>
      <c r="O17" s="34">
        <f>'SF Measure Development'!BI27</f>
        <v>0</v>
      </c>
      <c r="P17" s="34">
        <f>'SF Measure Development'!BJ27</f>
        <v>0</v>
      </c>
      <c r="Q17" s="138">
        <f>'SF Measure Development'!BK27</f>
        <v>0</v>
      </c>
      <c r="R17" s="141">
        <f>'SF Measure Development'!BL27</f>
        <v>0</v>
      </c>
    </row>
    <row r="18" spans="1:18">
      <c r="A18" s="34" t="s">
        <v>930</v>
      </c>
      <c r="B18" s="34" t="str">
        <f t="shared" si="0"/>
        <v>Single FamilyCEE Tier 1 Dishwasher - Gas DHWWaste Water Energy</v>
      </c>
      <c r="C18" s="134" t="str">
        <f>'SF Measure Development'!AW28</f>
        <v>CEE Tier 1 Dishwasher - Gas DHW</v>
      </c>
      <c r="D18" s="135" t="str">
        <f>'SF Measure Development'!AX28</f>
        <v>Waste Water Energy</v>
      </c>
      <c r="E18" s="136">
        <f>'SF Measure Development'!AY28</f>
        <v>0.19680651233539828</v>
      </c>
      <c r="F18" s="137">
        <v>15.4</v>
      </c>
      <c r="G18" s="138">
        <f>'SF Measure Development'!BA28</f>
        <v>0</v>
      </c>
      <c r="H18" s="137">
        <f>'SF Measure Development'!BB28</f>
        <v>0</v>
      </c>
      <c r="I18" s="139" t="str">
        <f>'SF Measure Development'!BC28</f>
        <v>FLAT</v>
      </c>
      <c r="J18" s="140">
        <f>'SF Measure Development'!BD28</f>
        <v>0</v>
      </c>
      <c r="K18" s="34">
        <f>'SF Measure Development'!BE28</f>
        <v>0</v>
      </c>
      <c r="L18" s="34">
        <f>'SF Measure Development'!BF28</f>
        <v>0</v>
      </c>
      <c r="M18" s="34">
        <f>'SF Measure Development'!BG28</f>
        <v>0</v>
      </c>
      <c r="N18" s="34">
        <f>'SF Measure Development'!BH28</f>
        <v>0</v>
      </c>
      <c r="O18" s="34">
        <f>'SF Measure Development'!BI28</f>
        <v>0</v>
      </c>
      <c r="P18" s="34">
        <f>'SF Measure Development'!BJ28</f>
        <v>0</v>
      </c>
      <c r="Q18" s="138">
        <f>'SF Measure Development'!BK28</f>
        <v>0</v>
      </c>
      <c r="R18" s="141">
        <f>'SF Measure Development'!BL28</f>
        <v>0</v>
      </c>
    </row>
    <row r="19" spans="1:18">
      <c r="A19" s="34" t="s">
        <v>930</v>
      </c>
      <c r="B19" s="34" t="str">
        <f t="shared" si="0"/>
        <v>Single FamilyCEE Tier 1 Dishwasher - Any DHWWaste Water Energy</v>
      </c>
      <c r="C19" s="134" t="str">
        <f>'SF Measure Development'!AW29</f>
        <v>CEE Tier 1 Dishwasher - Any DHW</v>
      </c>
      <c r="D19" s="135" t="str">
        <f>'SF Measure Development'!AX29</f>
        <v>Waste Water Energy</v>
      </c>
      <c r="E19" s="136">
        <f>'SF Measure Development'!AY29</f>
        <v>0.19680651233539828</v>
      </c>
      <c r="F19" s="137">
        <v>15.4</v>
      </c>
      <c r="G19" s="138">
        <f>'SF Measure Development'!BA29</f>
        <v>0</v>
      </c>
      <c r="H19" s="137">
        <f>'SF Measure Development'!BB29</f>
        <v>0</v>
      </c>
      <c r="I19" s="139" t="str">
        <f>'SF Measure Development'!BC29</f>
        <v>FLAT</v>
      </c>
      <c r="J19" s="140">
        <f>'SF Measure Development'!BD29</f>
        <v>0</v>
      </c>
      <c r="K19" s="34">
        <f>'SF Measure Development'!BE29</f>
        <v>0</v>
      </c>
      <c r="L19" s="34">
        <f>'SF Measure Development'!BF29</f>
        <v>0</v>
      </c>
      <c r="M19" s="34">
        <f>'SF Measure Development'!BG29</f>
        <v>0</v>
      </c>
      <c r="N19" s="34">
        <f>'SF Measure Development'!BH29</f>
        <v>0</v>
      </c>
      <c r="O19" s="34">
        <f>'SF Measure Development'!BI29</f>
        <v>0</v>
      </c>
      <c r="P19" s="34">
        <f>'SF Measure Development'!BJ29</f>
        <v>0</v>
      </c>
      <c r="Q19" s="138">
        <f>'SF Measure Development'!BK29</f>
        <v>0</v>
      </c>
      <c r="R19" s="141">
        <f>'SF Measure Development'!BL29</f>
        <v>0</v>
      </c>
    </row>
    <row r="20" spans="1:18">
      <c r="A20" s="34" t="s">
        <v>932</v>
      </c>
      <c r="B20" s="34" t="str">
        <f t="shared" si="0"/>
        <v>MultifamilyEnergy Star Dishwasher - Electric DHWAll Except Waste Water Energy</v>
      </c>
      <c r="C20" s="134" t="str">
        <f>'MF Measure Development'!AW18</f>
        <v>Energy Star Dishwasher - Electric DHW</v>
      </c>
      <c r="D20" s="134" t="str">
        <f>'MF Measure Development'!AX18</f>
        <v>All Except Waste Water Energy</v>
      </c>
      <c r="E20" s="134">
        <f>'MF Measure Development'!AY18</f>
        <v>3.437889966239311</v>
      </c>
      <c r="F20" s="134">
        <f>'MF Measure Development'!AZ18</f>
        <v>15.4</v>
      </c>
      <c r="G20" s="134">
        <f>'MF Measure Development'!BA18</f>
        <v>5.2795660553372441</v>
      </c>
      <c r="H20" s="134">
        <f>'MF Measure Development'!BB18</f>
        <v>0</v>
      </c>
      <c r="I20" s="134" t="str">
        <f>'MF Measure Development'!BC18</f>
        <v>ResDHW</v>
      </c>
      <c r="J20" s="134">
        <f>'MF Measure Development'!BD18</f>
        <v>0.33177417068635534</v>
      </c>
      <c r="K20" s="134">
        <f>'MF Measure Development'!BE18</f>
        <v>0</v>
      </c>
      <c r="L20" s="134">
        <f>'MF Measure Development'!BF18</f>
        <v>0</v>
      </c>
      <c r="M20" s="134">
        <f>'MF Measure Development'!BG18</f>
        <v>0</v>
      </c>
      <c r="N20" s="134">
        <f>'MF Measure Development'!BH18</f>
        <v>0</v>
      </c>
      <c r="O20" s="134">
        <f>'MF Measure Development'!BI18</f>
        <v>0</v>
      </c>
      <c r="P20" s="134">
        <f>'MF Measure Development'!BJ18</f>
        <v>0</v>
      </c>
      <c r="Q20" s="134">
        <f>'MF Measure Development'!BK18</f>
        <v>0</v>
      </c>
      <c r="R20" s="134" t="str">
        <f>'MF Measure Development'!BL18</f>
        <v>ResDHW</v>
      </c>
    </row>
    <row r="21" spans="1:18">
      <c r="A21" s="34" t="s">
        <v>932</v>
      </c>
      <c r="B21" s="34" t="str">
        <f t="shared" si="0"/>
        <v>MultifamilyEnergy Star Dishwasher - Gas DHWAll Except Waste Water Energy</v>
      </c>
      <c r="C21" s="134" t="str">
        <f>'MF Measure Development'!AW19</f>
        <v>Energy Star Dishwasher - Gas DHW</v>
      </c>
      <c r="D21" s="134" t="str">
        <f>'MF Measure Development'!AX19</f>
        <v>All Except Waste Water Energy</v>
      </c>
      <c r="E21" s="134">
        <f>'MF Measure Development'!AY19</f>
        <v>-2.5966534945204671</v>
      </c>
      <c r="F21" s="134">
        <f>'MF Measure Development'!AZ19</f>
        <v>15.4</v>
      </c>
      <c r="G21" s="134">
        <f>'MF Measure Development'!BA19</f>
        <v>5.2795660553372441</v>
      </c>
      <c r="H21" s="134">
        <f>'MF Measure Development'!BB19</f>
        <v>0</v>
      </c>
      <c r="I21" s="134" t="str">
        <f>'MF Measure Development'!BC19</f>
        <v>ResDHW</v>
      </c>
      <c r="J21" s="134">
        <f>'MF Measure Development'!BD19</f>
        <v>0.33177417068635534</v>
      </c>
      <c r="K21" s="134">
        <f>'MF Measure Development'!BE19</f>
        <v>0</v>
      </c>
      <c r="L21" s="134">
        <f>'MF Measure Development'!BF19</f>
        <v>0</v>
      </c>
      <c r="M21" s="134">
        <f>'MF Measure Development'!BG19</f>
        <v>0</v>
      </c>
      <c r="N21" s="134">
        <f>'MF Measure Development'!BH19</f>
        <v>0</v>
      </c>
      <c r="O21" s="134">
        <f>'MF Measure Development'!BI19</f>
        <v>0</v>
      </c>
      <c r="P21" s="134">
        <f>'MF Measure Development'!BJ19</f>
        <v>0</v>
      </c>
      <c r="Q21" s="134">
        <f>'MF Measure Development'!BK19</f>
        <v>0.27460841748881126</v>
      </c>
      <c r="R21" s="134" t="str">
        <f>'MF Measure Development'!BL19</f>
        <v>ResDHW</v>
      </c>
    </row>
    <row r="22" spans="1:18">
      <c r="A22" s="34" t="s">
        <v>932</v>
      </c>
      <c r="B22" s="34" t="str">
        <f t="shared" si="0"/>
        <v>MultifamilyEnergy Star Dishwasher - Any DHWAll Except Waste Water Energy</v>
      </c>
      <c r="C22" s="134" t="str">
        <f>'MF Measure Development'!AW20</f>
        <v>Energy Star Dishwasher - Any DHW</v>
      </c>
      <c r="D22" s="134" t="str">
        <f>'MF Measure Development'!AX20</f>
        <v>All Except Waste Water Energy</v>
      </c>
      <c r="E22" s="134">
        <f>'MF Measure Development'!AY20</f>
        <v>3.1180591628190424</v>
      </c>
      <c r="F22" s="134">
        <f>'MF Measure Development'!AZ20</f>
        <v>15.4</v>
      </c>
      <c r="G22" s="134">
        <f>'MF Measure Development'!BA20</f>
        <v>5.2795660553372441</v>
      </c>
      <c r="H22" s="134">
        <f>'MF Measure Development'!BB20</f>
        <v>0</v>
      </c>
      <c r="I22" s="134" t="str">
        <f>'MF Measure Development'!BC20</f>
        <v>ResDHW</v>
      </c>
      <c r="J22" s="134">
        <f>'MF Measure Development'!BD20</f>
        <v>0.33177417068635534</v>
      </c>
      <c r="K22" s="134">
        <f>'MF Measure Development'!BE20</f>
        <v>0</v>
      </c>
      <c r="L22" s="134">
        <f>'MF Measure Development'!BF20</f>
        <v>0</v>
      </c>
      <c r="M22" s="134">
        <f>'MF Measure Development'!BG20</f>
        <v>0</v>
      </c>
      <c r="N22" s="134">
        <f>'MF Measure Development'!BH20</f>
        <v>0</v>
      </c>
      <c r="O22" s="134">
        <f>'MF Measure Development'!BI20</f>
        <v>0</v>
      </c>
      <c r="P22" s="134">
        <f>'MF Measure Development'!BJ20</f>
        <v>0</v>
      </c>
      <c r="Q22" s="134">
        <f>'MF Measure Development'!BK20</f>
        <v>1.4554246126907009E-2</v>
      </c>
      <c r="R22" s="134" t="str">
        <f>'MF Measure Development'!BL20</f>
        <v>ResDHW</v>
      </c>
    </row>
    <row r="23" spans="1:18" customFormat="1">
      <c r="A23" s="34" t="s">
        <v>932</v>
      </c>
      <c r="B23" s="34" t="str">
        <f t="shared" si="0"/>
        <v>MultifamilyCEE Tier 1 Dishwasher - Electric DHWAll Except Waste Water Energy</v>
      </c>
      <c r="C23" s="134" t="str">
        <f>'MF Measure Development'!AW21</f>
        <v>CEE Tier 1 Dishwasher - Electric DHW</v>
      </c>
      <c r="D23" s="134" t="str">
        <f>'MF Measure Development'!AX21</f>
        <v>All Except Waste Water Energy</v>
      </c>
      <c r="E23" s="134">
        <f>'MF Measure Development'!AY21</f>
        <v>4.0066399782535598</v>
      </c>
      <c r="F23" s="134">
        <f>'MF Measure Development'!AZ21</f>
        <v>15.4</v>
      </c>
      <c r="G23" s="134">
        <f>'MF Measure Development'!BA21</f>
        <v>6.1994832121220673</v>
      </c>
      <c r="H23" s="134">
        <f>'MF Measure Development'!BB21</f>
        <v>0</v>
      </c>
      <c r="I23" s="134" t="str">
        <f>'MF Measure Development'!BC21</f>
        <v>ResDHW</v>
      </c>
      <c r="J23" s="134">
        <f>'MF Measure Development'!BD21</f>
        <v>0.34363012309752472</v>
      </c>
      <c r="K23" s="134">
        <f>'MF Measure Development'!BE21</f>
        <v>0</v>
      </c>
      <c r="L23" s="134">
        <f>'MF Measure Development'!BF21</f>
        <v>0</v>
      </c>
      <c r="M23" s="134">
        <f>'MF Measure Development'!BG21</f>
        <v>0</v>
      </c>
      <c r="N23" s="134">
        <f>'MF Measure Development'!BH21</f>
        <v>0</v>
      </c>
      <c r="O23" s="134">
        <f>'MF Measure Development'!BI21</f>
        <v>0</v>
      </c>
      <c r="P23" s="134">
        <f>'MF Measure Development'!BJ21</f>
        <v>0</v>
      </c>
      <c r="Q23" s="134">
        <f>'MF Measure Development'!BK21</f>
        <v>0</v>
      </c>
      <c r="R23" s="134" t="str">
        <f>'MF Measure Development'!BL21</f>
        <v>ResDHW</v>
      </c>
    </row>
    <row r="24" spans="1:18" customFormat="1">
      <c r="A24" s="34" t="s">
        <v>932</v>
      </c>
      <c r="B24" s="34" t="str">
        <f t="shared" si="0"/>
        <v>MultifamilyCEE Tier 1 Dishwasher - Gas DHWAll Except Waste Water Energy</v>
      </c>
      <c r="C24" s="134" t="str">
        <f>'MF Measure Development'!AW22</f>
        <v>CEE Tier 1 Dishwasher - Gas DHW</v>
      </c>
      <c r="D24" s="134" t="str">
        <f>'MF Measure Development'!AX22</f>
        <v>All Except Waste Water Energy</v>
      </c>
      <c r="E24" s="134">
        <f>'MF Measure Development'!AY22</f>
        <v>-2.2435479371239353</v>
      </c>
      <c r="F24" s="134">
        <f>'MF Measure Development'!AZ22</f>
        <v>15.4</v>
      </c>
      <c r="G24" s="134">
        <f>'MF Measure Development'!BA22</f>
        <v>6.1994832121220673</v>
      </c>
      <c r="H24" s="134">
        <f>'MF Measure Development'!BB22</f>
        <v>0</v>
      </c>
      <c r="I24" s="134" t="str">
        <f>'MF Measure Development'!BC22</f>
        <v>ResDHW</v>
      </c>
      <c r="J24" s="134">
        <f>'MF Measure Development'!BD22</f>
        <v>0.34363012309752472</v>
      </c>
      <c r="K24" s="134">
        <f>'MF Measure Development'!BE22</f>
        <v>0</v>
      </c>
      <c r="L24" s="134">
        <f>'MF Measure Development'!BF22</f>
        <v>0</v>
      </c>
      <c r="M24" s="134">
        <f>'MF Measure Development'!BG22</f>
        <v>0</v>
      </c>
      <c r="N24" s="134">
        <f>'MF Measure Development'!BH22</f>
        <v>0</v>
      </c>
      <c r="O24" s="134">
        <f>'MF Measure Development'!BI22</f>
        <v>0</v>
      </c>
      <c r="P24" s="134">
        <f>'MF Measure Development'!BJ22</f>
        <v>0</v>
      </c>
      <c r="Q24" s="134">
        <f>'MF Measure Development'!BK22</f>
        <v>0.28442155129220126</v>
      </c>
      <c r="R24" s="134" t="str">
        <f>'MF Measure Development'!BL22</f>
        <v>ResDHW</v>
      </c>
    </row>
    <row r="25" spans="1:18" customFormat="1">
      <c r="A25" s="34" t="s">
        <v>932</v>
      </c>
      <c r="B25" s="34" t="str">
        <f t="shared" si="0"/>
        <v>MultifamilyCEE Tier 1 Dishwasher - Any DHWAll Except Waste Water Energy</v>
      </c>
      <c r="C25" s="134" t="str">
        <f>'MF Measure Development'!AW23</f>
        <v>CEE Tier 1 Dishwasher - Any DHW</v>
      </c>
      <c r="D25" s="134" t="str">
        <f>'MF Measure Development'!AX23</f>
        <v>All Except Waste Water Energy</v>
      </c>
      <c r="E25" s="134">
        <f>'MF Measure Development'!AY23</f>
        <v>3.6753800187385526</v>
      </c>
      <c r="F25" s="134">
        <f>'MF Measure Development'!AZ23</f>
        <v>15.4</v>
      </c>
      <c r="G25" s="134">
        <f>'MF Measure Development'!BA23</f>
        <v>6.1994832121220673</v>
      </c>
      <c r="H25" s="134">
        <f>'MF Measure Development'!BB23</f>
        <v>0</v>
      </c>
      <c r="I25" s="134" t="str">
        <f>'MF Measure Development'!BC23</f>
        <v>ResDHW</v>
      </c>
      <c r="J25" s="134">
        <f>'MF Measure Development'!BD23</f>
        <v>0.34363012309752472</v>
      </c>
      <c r="K25" s="134">
        <f>'MF Measure Development'!BE23</f>
        <v>0</v>
      </c>
      <c r="L25" s="134">
        <f>'MF Measure Development'!BF23</f>
        <v>0</v>
      </c>
      <c r="M25" s="134">
        <f>'MF Measure Development'!BG23</f>
        <v>0</v>
      </c>
      <c r="N25" s="134">
        <f>'MF Measure Development'!BH23</f>
        <v>0</v>
      </c>
      <c r="O25" s="134">
        <f>'MF Measure Development'!BI23</f>
        <v>0</v>
      </c>
      <c r="P25" s="134">
        <f>'MF Measure Development'!BJ23</f>
        <v>0</v>
      </c>
      <c r="Q25" s="134">
        <f>'MF Measure Development'!BK23</f>
        <v>1.5074342218486679E-2</v>
      </c>
      <c r="R25" s="134" t="str">
        <f>'MF Measure Development'!BL23</f>
        <v>ResDHW</v>
      </c>
    </row>
    <row r="26" spans="1:18" customFormat="1">
      <c r="A26" s="34" t="s">
        <v>932</v>
      </c>
      <c r="B26" s="34" t="str">
        <f t="shared" si="0"/>
        <v>MultifamilyEnergy Star Dishwasher - Electric DHWWaste Water Energy</v>
      </c>
      <c r="C26" s="134" t="str">
        <f>'MF Measure Development'!AW24</f>
        <v>Energy Star Dishwasher - Electric DHW</v>
      </c>
      <c r="D26" s="134" t="str">
        <f>'MF Measure Development'!AX24</f>
        <v>Waste Water Energy</v>
      </c>
      <c r="E26" s="134">
        <f>'MF Measure Development'!AY24</f>
        <v>0.19001627921082875</v>
      </c>
      <c r="F26" s="134">
        <f>'MF Measure Development'!AZ24</f>
        <v>15.4</v>
      </c>
      <c r="G26" s="134">
        <f>'MF Measure Development'!BA24</f>
        <v>0</v>
      </c>
      <c r="H26" s="134">
        <f>'MF Measure Development'!BB24</f>
        <v>0</v>
      </c>
      <c r="I26" s="134" t="str">
        <f>'MF Measure Development'!BC24</f>
        <v>FLAT</v>
      </c>
      <c r="J26" s="134">
        <f>'MF Measure Development'!BD24</f>
        <v>0</v>
      </c>
      <c r="K26" s="134">
        <f>'MF Measure Development'!BE24</f>
        <v>0</v>
      </c>
      <c r="L26" s="134">
        <f>'MF Measure Development'!BF24</f>
        <v>0</v>
      </c>
      <c r="M26" s="134">
        <f>'MF Measure Development'!BG24</f>
        <v>0</v>
      </c>
      <c r="N26" s="134">
        <f>'MF Measure Development'!BH24</f>
        <v>0</v>
      </c>
      <c r="O26" s="134">
        <f>'MF Measure Development'!BI24</f>
        <v>0</v>
      </c>
      <c r="P26" s="134">
        <f>'MF Measure Development'!BJ24</f>
        <v>0</v>
      </c>
      <c r="Q26" s="134">
        <f>'MF Measure Development'!BK24</f>
        <v>0</v>
      </c>
      <c r="R26" s="134">
        <f>'MF Measure Development'!BL24</f>
        <v>0</v>
      </c>
    </row>
    <row r="27" spans="1:18" customFormat="1">
      <c r="A27" s="34" t="s">
        <v>932</v>
      </c>
      <c r="B27" s="34" t="str">
        <f t="shared" si="0"/>
        <v>MultifamilyEnergy Star Dishwasher - Gas DHWWaste Water Energy</v>
      </c>
      <c r="C27" s="134" t="str">
        <f>'MF Measure Development'!AW25</f>
        <v>Energy Star Dishwasher - Gas DHW</v>
      </c>
      <c r="D27" s="134" t="str">
        <f>'MF Measure Development'!AX25</f>
        <v>Waste Water Energy</v>
      </c>
      <c r="E27" s="134">
        <f>'MF Measure Development'!AY25</f>
        <v>0.19001627921082875</v>
      </c>
      <c r="F27" s="134">
        <f>'MF Measure Development'!AZ25</f>
        <v>15.4</v>
      </c>
      <c r="G27" s="134">
        <f>'MF Measure Development'!BA25</f>
        <v>0</v>
      </c>
      <c r="H27" s="134">
        <f>'MF Measure Development'!BB25</f>
        <v>0</v>
      </c>
      <c r="I27" s="134" t="str">
        <f>'MF Measure Development'!BC25</f>
        <v>FLAT</v>
      </c>
      <c r="J27" s="134">
        <f>'MF Measure Development'!BD25</f>
        <v>0</v>
      </c>
      <c r="K27" s="134">
        <f>'MF Measure Development'!BE25</f>
        <v>0</v>
      </c>
      <c r="L27" s="134">
        <f>'MF Measure Development'!BF25</f>
        <v>0</v>
      </c>
      <c r="M27" s="134">
        <f>'MF Measure Development'!BG25</f>
        <v>0</v>
      </c>
      <c r="N27" s="134">
        <f>'MF Measure Development'!BH25</f>
        <v>0</v>
      </c>
      <c r="O27" s="134">
        <f>'MF Measure Development'!BI25</f>
        <v>0</v>
      </c>
      <c r="P27" s="134">
        <f>'MF Measure Development'!BJ25</f>
        <v>0</v>
      </c>
      <c r="Q27" s="134">
        <f>'MF Measure Development'!BK25</f>
        <v>0</v>
      </c>
      <c r="R27" s="134">
        <f>'MF Measure Development'!BL25</f>
        <v>0</v>
      </c>
    </row>
    <row r="28" spans="1:18" customFormat="1">
      <c r="A28" s="34" t="s">
        <v>932</v>
      </c>
      <c r="B28" s="34" t="str">
        <f t="shared" si="0"/>
        <v>MultifamilyEnergy Star Dishwasher - Any DHWWaste Water Energy</v>
      </c>
      <c r="C28" s="134" t="str">
        <f>'MF Measure Development'!AW26</f>
        <v>Energy Star Dishwasher - Any DHW</v>
      </c>
      <c r="D28" s="134" t="str">
        <f>'MF Measure Development'!AX26</f>
        <v>Waste Water Energy</v>
      </c>
      <c r="E28" s="134">
        <f>'MF Measure Development'!AY26</f>
        <v>0.19001627921082875</v>
      </c>
      <c r="F28" s="134">
        <f>'MF Measure Development'!AZ26</f>
        <v>15.4</v>
      </c>
      <c r="G28" s="134">
        <f>'MF Measure Development'!BA26</f>
        <v>0</v>
      </c>
      <c r="H28" s="134">
        <f>'MF Measure Development'!BB26</f>
        <v>0</v>
      </c>
      <c r="I28" s="134" t="str">
        <f>'MF Measure Development'!BC26</f>
        <v>FLAT</v>
      </c>
      <c r="J28" s="134">
        <f>'MF Measure Development'!BD26</f>
        <v>0</v>
      </c>
      <c r="K28" s="134">
        <f>'MF Measure Development'!BE26</f>
        <v>0</v>
      </c>
      <c r="L28" s="134">
        <f>'MF Measure Development'!BF26</f>
        <v>0</v>
      </c>
      <c r="M28" s="134">
        <f>'MF Measure Development'!BG26</f>
        <v>0</v>
      </c>
      <c r="N28" s="134">
        <f>'MF Measure Development'!BH26</f>
        <v>0</v>
      </c>
      <c r="O28" s="134">
        <f>'MF Measure Development'!BI26</f>
        <v>0</v>
      </c>
      <c r="P28" s="134">
        <f>'MF Measure Development'!BJ26</f>
        <v>0</v>
      </c>
      <c r="Q28" s="134">
        <f>'MF Measure Development'!BK26</f>
        <v>0</v>
      </c>
      <c r="R28" s="134">
        <f>'MF Measure Development'!BL26</f>
        <v>0</v>
      </c>
    </row>
    <row r="29" spans="1:18" customFormat="1">
      <c r="A29" s="34" t="s">
        <v>932</v>
      </c>
      <c r="B29" s="34" t="str">
        <f t="shared" si="0"/>
        <v>MultifamilyCEE Tier 1 Dishwasher - Electric DHWWaste Water Energy</v>
      </c>
      <c r="C29" s="134" t="str">
        <f>'MF Measure Development'!AW27</f>
        <v>CEE Tier 1 Dishwasher - Electric DHW</v>
      </c>
      <c r="D29" s="134" t="str">
        <f>'MF Measure Development'!AX27</f>
        <v>Waste Water Energy</v>
      </c>
      <c r="E29" s="134">
        <f>'MF Measure Development'!AY27</f>
        <v>0.19680651233539828</v>
      </c>
      <c r="F29" s="134">
        <f>'MF Measure Development'!AZ27</f>
        <v>15.4</v>
      </c>
      <c r="G29" s="134">
        <f>'MF Measure Development'!BA27</f>
        <v>0</v>
      </c>
      <c r="H29" s="134">
        <f>'MF Measure Development'!BB27</f>
        <v>0</v>
      </c>
      <c r="I29" s="134" t="str">
        <f>'MF Measure Development'!BC27</f>
        <v>FLAT</v>
      </c>
      <c r="J29" s="134">
        <f>'MF Measure Development'!BD27</f>
        <v>0</v>
      </c>
      <c r="K29" s="134">
        <f>'MF Measure Development'!BE27</f>
        <v>0</v>
      </c>
      <c r="L29" s="134">
        <f>'MF Measure Development'!BF27</f>
        <v>0</v>
      </c>
      <c r="M29" s="134">
        <f>'MF Measure Development'!BG27</f>
        <v>0</v>
      </c>
      <c r="N29" s="134">
        <f>'MF Measure Development'!BH27</f>
        <v>0</v>
      </c>
      <c r="O29" s="134">
        <f>'MF Measure Development'!BI27</f>
        <v>0</v>
      </c>
      <c r="P29" s="134">
        <f>'MF Measure Development'!BJ27</f>
        <v>0</v>
      </c>
      <c r="Q29" s="134">
        <f>'MF Measure Development'!BK27</f>
        <v>0</v>
      </c>
      <c r="R29" s="134">
        <f>'MF Measure Development'!BL27</f>
        <v>0</v>
      </c>
    </row>
    <row r="30" spans="1:18" customFormat="1">
      <c r="A30" s="34" t="s">
        <v>932</v>
      </c>
      <c r="B30" s="34" t="str">
        <f t="shared" si="0"/>
        <v>MultifamilyCEE Tier 1 Dishwasher - Gas DHWWaste Water Energy</v>
      </c>
      <c r="C30" s="134" t="str">
        <f>'MF Measure Development'!AW28</f>
        <v>CEE Tier 1 Dishwasher - Gas DHW</v>
      </c>
      <c r="D30" s="134" t="str">
        <f>'MF Measure Development'!AX28</f>
        <v>Waste Water Energy</v>
      </c>
      <c r="E30" s="134">
        <f>'MF Measure Development'!AY28</f>
        <v>0.19680651233539828</v>
      </c>
      <c r="F30" s="134">
        <f>'MF Measure Development'!AZ28</f>
        <v>15.4</v>
      </c>
      <c r="G30" s="134">
        <f>'MF Measure Development'!BA28</f>
        <v>0</v>
      </c>
      <c r="H30" s="134">
        <f>'MF Measure Development'!BB28</f>
        <v>0</v>
      </c>
      <c r="I30" s="134" t="str">
        <f>'MF Measure Development'!BC28</f>
        <v>FLAT</v>
      </c>
      <c r="J30" s="134">
        <f>'MF Measure Development'!BD28</f>
        <v>0</v>
      </c>
      <c r="K30" s="134">
        <f>'MF Measure Development'!BE28</f>
        <v>0</v>
      </c>
      <c r="L30" s="134">
        <f>'MF Measure Development'!BF28</f>
        <v>0</v>
      </c>
      <c r="M30" s="134">
        <f>'MF Measure Development'!BG28</f>
        <v>0</v>
      </c>
      <c r="N30" s="134">
        <f>'MF Measure Development'!BH28</f>
        <v>0</v>
      </c>
      <c r="O30" s="134">
        <f>'MF Measure Development'!BI28</f>
        <v>0</v>
      </c>
      <c r="P30" s="134">
        <f>'MF Measure Development'!BJ28</f>
        <v>0</v>
      </c>
      <c r="Q30" s="134">
        <f>'MF Measure Development'!BK28</f>
        <v>0</v>
      </c>
      <c r="R30" s="134">
        <f>'MF Measure Development'!BL28</f>
        <v>0</v>
      </c>
    </row>
    <row r="31" spans="1:18" customFormat="1">
      <c r="A31" s="34" t="s">
        <v>932</v>
      </c>
      <c r="B31" s="34" t="str">
        <f t="shared" si="0"/>
        <v>MultifamilyCEE Tier 1 Dishwasher - Any DHWWaste Water Energy</v>
      </c>
      <c r="C31" s="134" t="str">
        <f>'MF Measure Development'!AW29</f>
        <v>CEE Tier 1 Dishwasher - Any DHW</v>
      </c>
      <c r="D31" s="134" t="str">
        <f>'MF Measure Development'!AX29</f>
        <v>Waste Water Energy</v>
      </c>
      <c r="E31" s="134">
        <f>'MF Measure Development'!AY29</f>
        <v>0.19680651233539828</v>
      </c>
      <c r="F31" s="134">
        <f>'MF Measure Development'!AZ29</f>
        <v>15.4</v>
      </c>
      <c r="G31" s="134">
        <f>'MF Measure Development'!BA29</f>
        <v>0</v>
      </c>
      <c r="H31" s="134">
        <f>'MF Measure Development'!BB29</f>
        <v>0</v>
      </c>
      <c r="I31" s="134" t="str">
        <f>'MF Measure Development'!BC29</f>
        <v>FLAT</v>
      </c>
      <c r="J31" s="134">
        <f>'MF Measure Development'!BD29</f>
        <v>0</v>
      </c>
      <c r="K31" s="134">
        <f>'MF Measure Development'!BE29</f>
        <v>0</v>
      </c>
      <c r="L31" s="134">
        <f>'MF Measure Development'!BF29</f>
        <v>0</v>
      </c>
      <c r="M31" s="134">
        <f>'MF Measure Development'!BG29</f>
        <v>0</v>
      </c>
      <c r="N31" s="134">
        <f>'MF Measure Development'!BH29</f>
        <v>0</v>
      </c>
      <c r="O31" s="134">
        <f>'MF Measure Development'!BI29</f>
        <v>0</v>
      </c>
      <c r="P31" s="134">
        <f>'MF Measure Development'!BJ29</f>
        <v>0</v>
      </c>
      <c r="Q31" s="134">
        <f>'MF Measure Development'!BK29</f>
        <v>0</v>
      </c>
      <c r="R31" s="134">
        <f>'MF Measure Development'!BL29</f>
        <v>0</v>
      </c>
    </row>
    <row r="32" spans="1:18" customFormat="1">
      <c r="A32" t="s">
        <v>931</v>
      </c>
      <c r="B32" s="34" t="str">
        <f t="shared" si="0"/>
        <v>ManufacturedEnergy Star Dishwasher - Electric DHWAll Except Waste Water Energy</v>
      </c>
      <c r="C32" s="134" t="str">
        <f>'MH Measure Development'!AW18</f>
        <v>Energy Star Dishwasher - Electric DHW</v>
      </c>
      <c r="D32" s="134" t="str">
        <f>'MH Measure Development'!AX18</f>
        <v>All Except Waste Water Energy</v>
      </c>
      <c r="E32" s="134">
        <f>'MH Measure Development'!AY18</f>
        <v>3.437889966239311</v>
      </c>
      <c r="F32" s="134">
        <f>'MH Measure Development'!AZ18</f>
        <v>15.4</v>
      </c>
      <c r="G32" s="134">
        <f>'MH Measure Development'!BA18</f>
        <v>5.2795660553372441</v>
      </c>
      <c r="H32" s="134">
        <f>'MH Measure Development'!BB18</f>
        <v>0</v>
      </c>
      <c r="I32" s="134" t="str">
        <f>'MH Measure Development'!BC18</f>
        <v>ResDHW</v>
      </c>
      <c r="J32" s="134">
        <f>'MH Measure Development'!BD18</f>
        <v>0.33177417068635534</v>
      </c>
      <c r="K32" s="134">
        <f>'MH Measure Development'!BE18</f>
        <v>0</v>
      </c>
      <c r="L32" s="134">
        <f>'MH Measure Development'!BF18</f>
        <v>0</v>
      </c>
      <c r="M32" s="134">
        <f>'MH Measure Development'!BG18</f>
        <v>0</v>
      </c>
      <c r="N32" s="134">
        <f>'MH Measure Development'!BH18</f>
        <v>0</v>
      </c>
      <c r="O32" s="134">
        <f>'MH Measure Development'!BI18</f>
        <v>0</v>
      </c>
      <c r="P32" s="134">
        <f>'MH Measure Development'!BJ18</f>
        <v>0</v>
      </c>
      <c r="Q32" s="134">
        <f>'MH Measure Development'!BK18</f>
        <v>0</v>
      </c>
      <c r="R32" s="134" t="str">
        <f>'MH Measure Development'!BL18</f>
        <v>ResDHW</v>
      </c>
    </row>
    <row r="33" spans="1:18" customFormat="1">
      <c r="A33" t="s">
        <v>931</v>
      </c>
      <c r="B33" s="34" t="str">
        <f t="shared" si="0"/>
        <v>ManufacturedEnergy Star Dishwasher - Gas DHWAll Except Waste Water Energy</v>
      </c>
      <c r="C33" s="134" t="str">
        <f>'MH Measure Development'!AW19</f>
        <v>Energy Star Dishwasher - Gas DHW</v>
      </c>
      <c r="D33" s="134" t="str">
        <f>'MH Measure Development'!AX19</f>
        <v>All Except Waste Water Energy</v>
      </c>
      <c r="E33" s="134">
        <f>'MH Measure Development'!AY19</f>
        <v>-2.5966534945204671</v>
      </c>
      <c r="F33" s="134">
        <f>'MH Measure Development'!AZ19</f>
        <v>15.4</v>
      </c>
      <c r="G33" s="134">
        <f>'MH Measure Development'!BA19</f>
        <v>5.2795660553372441</v>
      </c>
      <c r="H33" s="134">
        <f>'MH Measure Development'!BB19</f>
        <v>0</v>
      </c>
      <c r="I33" s="134" t="str">
        <f>'MH Measure Development'!BC19</f>
        <v>ResDHW</v>
      </c>
      <c r="J33" s="134">
        <f>'MH Measure Development'!BD19</f>
        <v>0.33177417068635534</v>
      </c>
      <c r="K33" s="134">
        <f>'MH Measure Development'!BE19</f>
        <v>0</v>
      </c>
      <c r="L33" s="134">
        <f>'MH Measure Development'!BF19</f>
        <v>0</v>
      </c>
      <c r="M33" s="134">
        <f>'MH Measure Development'!BG19</f>
        <v>0</v>
      </c>
      <c r="N33" s="134">
        <f>'MH Measure Development'!BH19</f>
        <v>0</v>
      </c>
      <c r="O33" s="134">
        <f>'MH Measure Development'!BI19</f>
        <v>0</v>
      </c>
      <c r="P33" s="134">
        <f>'MH Measure Development'!BJ19</f>
        <v>0</v>
      </c>
      <c r="Q33" s="134">
        <f>'MH Measure Development'!BK19</f>
        <v>0.27460841748881126</v>
      </c>
      <c r="R33" s="134" t="str">
        <f>'MH Measure Development'!BL19</f>
        <v>ResDHW</v>
      </c>
    </row>
    <row r="34" spans="1:18" customFormat="1">
      <c r="A34" t="s">
        <v>931</v>
      </c>
      <c r="B34" s="34" t="str">
        <f t="shared" si="0"/>
        <v>ManufacturedEnergy Star Dishwasher - Any DHWAll Except Waste Water Energy</v>
      </c>
      <c r="C34" s="134" t="str">
        <f>'MH Measure Development'!AW20</f>
        <v>Energy Star Dishwasher - Any DHW</v>
      </c>
      <c r="D34" s="134" t="str">
        <f>'MH Measure Development'!AX20</f>
        <v>All Except Waste Water Energy</v>
      </c>
      <c r="E34" s="134">
        <f>'MH Measure Development'!AY20</f>
        <v>2.7680556420949758</v>
      </c>
      <c r="F34" s="134">
        <f>'MH Measure Development'!AZ20</f>
        <v>15.4</v>
      </c>
      <c r="G34" s="134">
        <f>'MH Measure Development'!BA20</f>
        <v>5.2795660553372441</v>
      </c>
      <c r="H34" s="134">
        <f>'MH Measure Development'!BB20</f>
        <v>0</v>
      </c>
      <c r="I34" s="134" t="str">
        <f>'MH Measure Development'!BC20</f>
        <v>ResDHW</v>
      </c>
      <c r="J34" s="134">
        <f>'MH Measure Development'!BD20</f>
        <v>0.33177417068635534</v>
      </c>
      <c r="K34" s="134">
        <f>'MH Measure Development'!BE20</f>
        <v>0</v>
      </c>
      <c r="L34" s="134">
        <f>'MH Measure Development'!BF20</f>
        <v>0</v>
      </c>
      <c r="M34" s="134">
        <f>'MH Measure Development'!BG20</f>
        <v>0</v>
      </c>
      <c r="N34" s="134">
        <f>'MH Measure Development'!BH20</f>
        <v>0</v>
      </c>
      <c r="O34" s="134">
        <f>'MH Measure Development'!BI20</f>
        <v>0</v>
      </c>
      <c r="P34" s="134">
        <f>'MH Measure Development'!BJ20</f>
        <v>0</v>
      </c>
      <c r="Q34" s="134">
        <f>'MH Measure Development'!BK20</f>
        <v>3.0481534341258047E-2</v>
      </c>
      <c r="R34" s="134" t="str">
        <f>'MH Measure Development'!BL20</f>
        <v>ResDHW</v>
      </c>
    </row>
    <row r="35" spans="1:18" customFormat="1">
      <c r="A35" t="s">
        <v>931</v>
      </c>
      <c r="B35" s="34" t="str">
        <f t="shared" si="0"/>
        <v>ManufacturedCEE Tier 1 Dishwasher - Electric DHWAll Except Waste Water Energy</v>
      </c>
      <c r="C35" s="134" t="str">
        <f>'MH Measure Development'!AW21</f>
        <v>CEE Tier 1 Dishwasher - Electric DHW</v>
      </c>
      <c r="D35" s="134" t="str">
        <f>'MH Measure Development'!AX21</f>
        <v>All Except Waste Water Energy</v>
      </c>
      <c r="E35" s="134">
        <f>'MH Measure Development'!AY21</f>
        <v>4.0066399782535598</v>
      </c>
      <c r="F35" s="134">
        <f>'MH Measure Development'!AZ21</f>
        <v>15.4</v>
      </c>
      <c r="G35" s="134">
        <f>'MH Measure Development'!BA21</f>
        <v>6.1994832121220673</v>
      </c>
      <c r="H35" s="134">
        <f>'MH Measure Development'!BB21</f>
        <v>0</v>
      </c>
      <c r="I35" s="134" t="str">
        <f>'MH Measure Development'!BC21</f>
        <v>ResDHW</v>
      </c>
      <c r="J35" s="134">
        <f>'MH Measure Development'!BD21</f>
        <v>0.34363012309752472</v>
      </c>
      <c r="K35" s="134">
        <f>'MH Measure Development'!BE21</f>
        <v>0</v>
      </c>
      <c r="L35" s="134">
        <f>'MH Measure Development'!BF21</f>
        <v>0</v>
      </c>
      <c r="M35" s="134">
        <f>'MH Measure Development'!BG21</f>
        <v>0</v>
      </c>
      <c r="N35" s="134">
        <f>'MH Measure Development'!BH21</f>
        <v>0</v>
      </c>
      <c r="O35" s="134">
        <f>'MH Measure Development'!BI21</f>
        <v>0</v>
      </c>
      <c r="P35" s="134">
        <f>'MH Measure Development'!BJ21</f>
        <v>0</v>
      </c>
      <c r="Q35" s="134">
        <f>'MH Measure Development'!BK21</f>
        <v>0</v>
      </c>
      <c r="R35" s="134" t="str">
        <f>'MH Measure Development'!BL21</f>
        <v>ResDHW</v>
      </c>
    </row>
    <row r="36" spans="1:18" customFormat="1">
      <c r="A36" t="s">
        <v>931</v>
      </c>
      <c r="B36" s="34" t="str">
        <f t="shared" si="0"/>
        <v>ManufacturedCEE Tier 1 Dishwasher - Gas DHWAll Except Waste Water Energy</v>
      </c>
      <c r="C36" s="134" t="str">
        <f>'MH Measure Development'!AW22</f>
        <v>CEE Tier 1 Dishwasher - Gas DHW</v>
      </c>
      <c r="D36" s="134" t="str">
        <f>'MH Measure Development'!AX22</f>
        <v>All Except Waste Water Energy</v>
      </c>
      <c r="E36" s="134">
        <f>'MH Measure Development'!AY22</f>
        <v>-2.2435479371239353</v>
      </c>
      <c r="F36" s="134">
        <f>'MH Measure Development'!AZ22</f>
        <v>15.4</v>
      </c>
      <c r="G36" s="134">
        <f>'MH Measure Development'!BA22</f>
        <v>6.1994832121220673</v>
      </c>
      <c r="H36" s="134">
        <f>'MH Measure Development'!BB22</f>
        <v>0</v>
      </c>
      <c r="I36" s="134" t="str">
        <f>'MH Measure Development'!BC22</f>
        <v>ResDHW</v>
      </c>
      <c r="J36" s="134">
        <f>'MH Measure Development'!BD22</f>
        <v>0.34363012309752472</v>
      </c>
      <c r="K36" s="134">
        <f>'MH Measure Development'!BE22</f>
        <v>0</v>
      </c>
      <c r="L36" s="134">
        <f>'MH Measure Development'!BF22</f>
        <v>0</v>
      </c>
      <c r="M36" s="134">
        <f>'MH Measure Development'!BG22</f>
        <v>0</v>
      </c>
      <c r="N36" s="134">
        <f>'MH Measure Development'!BH22</f>
        <v>0</v>
      </c>
      <c r="O36" s="134">
        <f>'MH Measure Development'!BI22</f>
        <v>0</v>
      </c>
      <c r="P36" s="134">
        <f>'MH Measure Development'!BJ22</f>
        <v>0</v>
      </c>
      <c r="Q36" s="134">
        <f>'MH Measure Development'!BK22</f>
        <v>0.28442155129220126</v>
      </c>
      <c r="R36" s="134" t="str">
        <f>'MH Measure Development'!BL22</f>
        <v>ResDHW</v>
      </c>
    </row>
    <row r="37" spans="1:18" customFormat="1">
      <c r="A37" t="s">
        <v>931</v>
      </c>
      <c r="B37" s="34" t="str">
        <f t="shared" si="0"/>
        <v>ManufacturedCEE Tier 1 Dishwasher - Any DHWAll Except Waste Water Energy</v>
      </c>
      <c r="C37" s="134" t="str">
        <f>'MH Measure Development'!AW23</f>
        <v>CEE Tier 1 Dishwasher - Any DHW</v>
      </c>
      <c r="D37" s="134" t="str">
        <f>'MH Measure Development'!AX23</f>
        <v>All Except Waste Water Energy</v>
      </c>
      <c r="E37" s="134">
        <f>'MH Measure Development'!AY23</f>
        <v>3.312869119646658</v>
      </c>
      <c r="F37" s="134">
        <f>'MH Measure Development'!AZ23</f>
        <v>15.4</v>
      </c>
      <c r="G37" s="134">
        <f>'MH Measure Development'!BA23</f>
        <v>6.1994832121220673</v>
      </c>
      <c r="H37" s="134">
        <f>'MH Measure Development'!BB23</f>
        <v>0</v>
      </c>
      <c r="I37" s="134" t="str">
        <f>'MH Measure Development'!BC23</f>
        <v>ResDHW</v>
      </c>
      <c r="J37" s="134">
        <f>'MH Measure Development'!BD23</f>
        <v>0.34363012309752472</v>
      </c>
      <c r="K37" s="134">
        <f>'MH Measure Development'!BE23</f>
        <v>0</v>
      </c>
      <c r="L37" s="134">
        <f>'MH Measure Development'!BF23</f>
        <v>0</v>
      </c>
      <c r="M37" s="134">
        <f>'MH Measure Development'!BG23</f>
        <v>0</v>
      </c>
      <c r="N37" s="134">
        <f>'MH Measure Development'!BH23</f>
        <v>0</v>
      </c>
      <c r="O37" s="134">
        <f>'MH Measure Development'!BI23</f>
        <v>0</v>
      </c>
      <c r="P37" s="134">
        <f>'MH Measure Development'!BJ23</f>
        <v>0</v>
      </c>
      <c r="Q37" s="134">
        <f>'MH Measure Development'!BK23</f>
        <v>3.1570792193434338E-2</v>
      </c>
      <c r="R37" s="134" t="str">
        <f>'MH Measure Development'!BL23</f>
        <v>ResDHW</v>
      </c>
    </row>
    <row r="38" spans="1:18" customFormat="1">
      <c r="A38" t="s">
        <v>931</v>
      </c>
      <c r="B38" s="34" t="str">
        <f t="shared" si="0"/>
        <v>ManufacturedEnergy Star Dishwasher - Electric DHWWaste Water Energy</v>
      </c>
      <c r="C38" s="134" t="str">
        <f>'MH Measure Development'!AW24</f>
        <v>Energy Star Dishwasher - Electric DHW</v>
      </c>
      <c r="D38" s="134" t="str">
        <f>'MH Measure Development'!AX24</f>
        <v>Waste Water Energy</v>
      </c>
      <c r="E38" s="134">
        <f>'MH Measure Development'!AY24</f>
        <v>0.19001627921082875</v>
      </c>
      <c r="F38" s="134">
        <f>'MH Measure Development'!AZ24</f>
        <v>15.4</v>
      </c>
      <c r="G38" s="134">
        <f>'MH Measure Development'!BA24</f>
        <v>0</v>
      </c>
      <c r="H38" s="134">
        <f>'MH Measure Development'!BB24</f>
        <v>0</v>
      </c>
      <c r="I38" s="134" t="str">
        <f>'MH Measure Development'!BC24</f>
        <v>FLAT</v>
      </c>
      <c r="J38" s="134">
        <f>'MH Measure Development'!BD24</f>
        <v>0</v>
      </c>
      <c r="K38" s="134">
        <f>'MH Measure Development'!BE24</f>
        <v>0</v>
      </c>
      <c r="L38" s="134">
        <f>'MH Measure Development'!BF24</f>
        <v>0</v>
      </c>
      <c r="M38" s="134">
        <f>'MH Measure Development'!BG24</f>
        <v>0</v>
      </c>
      <c r="N38" s="134">
        <f>'MH Measure Development'!BH24</f>
        <v>0</v>
      </c>
      <c r="O38" s="134">
        <f>'MH Measure Development'!BI24</f>
        <v>0</v>
      </c>
      <c r="P38" s="134">
        <f>'MH Measure Development'!BJ24</f>
        <v>0</v>
      </c>
      <c r="Q38" s="134">
        <f>'MH Measure Development'!BK24</f>
        <v>0</v>
      </c>
      <c r="R38" s="134">
        <f>'MH Measure Development'!BL24</f>
        <v>0</v>
      </c>
    </row>
    <row r="39" spans="1:18" customFormat="1">
      <c r="A39" t="s">
        <v>931</v>
      </c>
      <c r="B39" s="34" t="str">
        <f t="shared" si="0"/>
        <v>ManufacturedEnergy Star Dishwasher - Gas DHWWaste Water Energy</v>
      </c>
      <c r="C39" s="134" t="str">
        <f>'MH Measure Development'!AW25</f>
        <v>Energy Star Dishwasher - Gas DHW</v>
      </c>
      <c r="D39" s="134" t="str">
        <f>'MH Measure Development'!AX25</f>
        <v>Waste Water Energy</v>
      </c>
      <c r="E39" s="134">
        <f>'MH Measure Development'!AY25</f>
        <v>0.19001627921082875</v>
      </c>
      <c r="F39" s="134">
        <f>'MH Measure Development'!AZ25</f>
        <v>15.4</v>
      </c>
      <c r="G39" s="134">
        <f>'MH Measure Development'!BA25</f>
        <v>0</v>
      </c>
      <c r="H39" s="134">
        <f>'MH Measure Development'!BB25</f>
        <v>0</v>
      </c>
      <c r="I39" s="134" t="str">
        <f>'MH Measure Development'!BC25</f>
        <v>FLAT</v>
      </c>
      <c r="J39" s="134">
        <f>'MH Measure Development'!BD25</f>
        <v>0</v>
      </c>
      <c r="K39" s="134">
        <f>'MH Measure Development'!BE25</f>
        <v>0</v>
      </c>
      <c r="L39" s="134">
        <f>'MH Measure Development'!BF25</f>
        <v>0</v>
      </c>
      <c r="M39" s="134">
        <f>'MH Measure Development'!BG25</f>
        <v>0</v>
      </c>
      <c r="N39" s="134">
        <f>'MH Measure Development'!BH25</f>
        <v>0</v>
      </c>
      <c r="O39" s="134">
        <f>'MH Measure Development'!BI25</f>
        <v>0</v>
      </c>
      <c r="P39" s="134">
        <f>'MH Measure Development'!BJ25</f>
        <v>0</v>
      </c>
      <c r="Q39" s="134">
        <f>'MH Measure Development'!BK25</f>
        <v>0</v>
      </c>
      <c r="R39" s="134">
        <f>'MH Measure Development'!BL25</f>
        <v>0</v>
      </c>
    </row>
    <row r="40" spans="1:18" customFormat="1">
      <c r="A40" t="s">
        <v>931</v>
      </c>
      <c r="B40" s="34" t="str">
        <f t="shared" si="0"/>
        <v>ManufacturedEnergy Star Dishwasher - Any DHWWaste Water Energy</v>
      </c>
      <c r="C40" s="134" t="str">
        <f>'MH Measure Development'!AW26</f>
        <v>Energy Star Dishwasher - Any DHW</v>
      </c>
      <c r="D40" s="134" t="str">
        <f>'MH Measure Development'!AX26</f>
        <v>Waste Water Energy</v>
      </c>
      <c r="E40" s="134">
        <f>'MH Measure Development'!AY26</f>
        <v>0.19001627921082875</v>
      </c>
      <c r="F40" s="134">
        <f>'MH Measure Development'!AZ26</f>
        <v>15.4</v>
      </c>
      <c r="G40" s="134">
        <f>'MH Measure Development'!BA26</f>
        <v>0</v>
      </c>
      <c r="H40" s="134">
        <f>'MH Measure Development'!BB26</f>
        <v>0</v>
      </c>
      <c r="I40" s="134" t="str">
        <f>'MH Measure Development'!BC26</f>
        <v>FLAT</v>
      </c>
      <c r="J40" s="134">
        <f>'MH Measure Development'!BD26</f>
        <v>0</v>
      </c>
      <c r="K40" s="134">
        <f>'MH Measure Development'!BE26</f>
        <v>0</v>
      </c>
      <c r="L40" s="134">
        <f>'MH Measure Development'!BF26</f>
        <v>0</v>
      </c>
      <c r="M40" s="134">
        <f>'MH Measure Development'!BG26</f>
        <v>0</v>
      </c>
      <c r="N40" s="134">
        <f>'MH Measure Development'!BH26</f>
        <v>0</v>
      </c>
      <c r="O40" s="134">
        <f>'MH Measure Development'!BI26</f>
        <v>0</v>
      </c>
      <c r="P40" s="134">
        <f>'MH Measure Development'!BJ26</f>
        <v>0</v>
      </c>
      <c r="Q40" s="134">
        <f>'MH Measure Development'!BK26</f>
        <v>0</v>
      </c>
      <c r="R40" s="134">
        <f>'MH Measure Development'!BL26</f>
        <v>0</v>
      </c>
    </row>
    <row r="41" spans="1:18" customFormat="1">
      <c r="A41" t="s">
        <v>931</v>
      </c>
      <c r="B41" s="34" t="str">
        <f t="shared" si="0"/>
        <v>ManufacturedCEE Tier 1 Dishwasher - Electric DHWWaste Water Energy</v>
      </c>
      <c r="C41" s="134" t="str">
        <f>'MH Measure Development'!AW27</f>
        <v>CEE Tier 1 Dishwasher - Electric DHW</v>
      </c>
      <c r="D41" s="134" t="str">
        <f>'MH Measure Development'!AX27</f>
        <v>Waste Water Energy</v>
      </c>
      <c r="E41" s="134">
        <f>'MH Measure Development'!AY27</f>
        <v>0.19680651233539828</v>
      </c>
      <c r="F41" s="134">
        <f>'MH Measure Development'!AZ27</f>
        <v>15.4</v>
      </c>
      <c r="G41" s="134">
        <f>'MH Measure Development'!BA27</f>
        <v>0</v>
      </c>
      <c r="H41" s="134">
        <f>'MH Measure Development'!BB27</f>
        <v>0</v>
      </c>
      <c r="I41" s="134" t="str">
        <f>'MH Measure Development'!BC27</f>
        <v>FLAT</v>
      </c>
      <c r="J41" s="134">
        <f>'MH Measure Development'!BD27</f>
        <v>0</v>
      </c>
      <c r="K41" s="134">
        <f>'MH Measure Development'!BE27</f>
        <v>0</v>
      </c>
      <c r="L41" s="134">
        <f>'MH Measure Development'!BF27</f>
        <v>0</v>
      </c>
      <c r="M41" s="134">
        <f>'MH Measure Development'!BG27</f>
        <v>0</v>
      </c>
      <c r="N41" s="134">
        <f>'MH Measure Development'!BH27</f>
        <v>0</v>
      </c>
      <c r="O41" s="134">
        <f>'MH Measure Development'!BI27</f>
        <v>0</v>
      </c>
      <c r="P41" s="134">
        <f>'MH Measure Development'!BJ27</f>
        <v>0</v>
      </c>
      <c r="Q41" s="134">
        <f>'MH Measure Development'!BK27</f>
        <v>0</v>
      </c>
      <c r="R41" s="134">
        <f>'MH Measure Development'!BL27</f>
        <v>0</v>
      </c>
    </row>
    <row r="42" spans="1:18" customFormat="1">
      <c r="A42" t="s">
        <v>931</v>
      </c>
      <c r="B42" s="34" t="str">
        <f t="shared" si="0"/>
        <v>ManufacturedCEE Tier 1 Dishwasher - Gas DHWWaste Water Energy</v>
      </c>
      <c r="C42" s="134" t="str">
        <f>'MH Measure Development'!AW28</f>
        <v>CEE Tier 1 Dishwasher - Gas DHW</v>
      </c>
      <c r="D42" s="134" t="str">
        <f>'MH Measure Development'!AX28</f>
        <v>Waste Water Energy</v>
      </c>
      <c r="E42" s="134">
        <f>'MH Measure Development'!AY28</f>
        <v>0.19680651233539828</v>
      </c>
      <c r="F42" s="134">
        <f>'MH Measure Development'!AZ28</f>
        <v>15.4</v>
      </c>
      <c r="G42" s="134">
        <f>'MH Measure Development'!BA28</f>
        <v>0</v>
      </c>
      <c r="H42" s="134">
        <f>'MH Measure Development'!BB28</f>
        <v>0</v>
      </c>
      <c r="I42" s="134" t="str">
        <f>'MH Measure Development'!BC28</f>
        <v>FLAT</v>
      </c>
      <c r="J42" s="134">
        <f>'MH Measure Development'!BD28</f>
        <v>0</v>
      </c>
      <c r="K42" s="134">
        <f>'MH Measure Development'!BE28</f>
        <v>0</v>
      </c>
      <c r="L42" s="134">
        <f>'MH Measure Development'!BF28</f>
        <v>0</v>
      </c>
      <c r="M42" s="134">
        <f>'MH Measure Development'!BG28</f>
        <v>0</v>
      </c>
      <c r="N42" s="134">
        <f>'MH Measure Development'!BH28</f>
        <v>0</v>
      </c>
      <c r="O42" s="134">
        <f>'MH Measure Development'!BI28</f>
        <v>0</v>
      </c>
      <c r="P42" s="134">
        <f>'MH Measure Development'!BJ28</f>
        <v>0</v>
      </c>
      <c r="Q42" s="134">
        <f>'MH Measure Development'!BK28</f>
        <v>0</v>
      </c>
      <c r="R42" s="134">
        <f>'MH Measure Development'!BL28</f>
        <v>0</v>
      </c>
    </row>
    <row r="43" spans="1:18" customFormat="1">
      <c r="A43" t="s">
        <v>931</v>
      </c>
      <c r="B43" s="34" t="str">
        <f t="shared" si="0"/>
        <v>ManufacturedCEE Tier 1 Dishwasher - Any DHWWaste Water Energy</v>
      </c>
      <c r="C43" s="134" t="str">
        <f>'MH Measure Development'!AW29</f>
        <v>CEE Tier 1 Dishwasher - Any DHW</v>
      </c>
      <c r="D43" s="134" t="str">
        <f>'MH Measure Development'!AX29</f>
        <v>Waste Water Energy</v>
      </c>
      <c r="E43" s="134">
        <f>'MH Measure Development'!AY29</f>
        <v>0.19680651233539828</v>
      </c>
      <c r="F43" s="134">
        <f>'MH Measure Development'!AZ29</f>
        <v>15.4</v>
      </c>
      <c r="G43" s="134">
        <f>'MH Measure Development'!BA29</f>
        <v>0</v>
      </c>
      <c r="H43" s="134">
        <f>'MH Measure Development'!BB29</f>
        <v>0</v>
      </c>
      <c r="I43" s="134" t="str">
        <f>'MH Measure Development'!BC29</f>
        <v>FLAT</v>
      </c>
      <c r="J43" s="134">
        <f>'MH Measure Development'!BD29</f>
        <v>0</v>
      </c>
      <c r="K43" s="134">
        <f>'MH Measure Development'!BE29</f>
        <v>0</v>
      </c>
      <c r="L43" s="134">
        <f>'MH Measure Development'!BF29</f>
        <v>0</v>
      </c>
      <c r="M43" s="134">
        <f>'MH Measure Development'!BG29</f>
        <v>0</v>
      </c>
      <c r="N43" s="134">
        <f>'MH Measure Development'!BH29</f>
        <v>0</v>
      </c>
      <c r="O43" s="134">
        <f>'MH Measure Development'!BI29</f>
        <v>0</v>
      </c>
      <c r="P43" s="134">
        <f>'MH Measure Development'!BJ29</f>
        <v>0</v>
      </c>
      <c r="Q43" s="134">
        <f>'MH Measure Development'!BK29</f>
        <v>0</v>
      </c>
      <c r="R43" s="134">
        <f>'MH Measure Development'!BL29</f>
        <v>0</v>
      </c>
    </row>
    <row r="44" spans="1:18" customFormat="1">
      <c r="C44" s="134"/>
      <c r="D44" s="134"/>
      <c r="E44" s="134"/>
      <c r="F44" s="134"/>
      <c r="G44" s="134"/>
      <c r="H44" s="134"/>
      <c r="I44" s="134"/>
      <c r="J44" s="134"/>
      <c r="K44" s="134"/>
      <c r="L44" s="134"/>
      <c r="M44" s="134"/>
      <c r="N44" s="134"/>
      <c r="O44" s="134"/>
      <c r="P44" s="134"/>
      <c r="Q44" s="134"/>
      <c r="R44" s="134"/>
    </row>
    <row r="45" spans="1:18" customFormat="1"/>
    <row r="46" spans="1:18" customFormat="1"/>
    <row r="47" spans="1:18" customFormat="1"/>
    <row r="48" spans="1:1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spans="5:103">
      <c r="E177" s="143"/>
      <c r="F177" s="143"/>
      <c r="G177" s="143"/>
      <c r="H177" s="143"/>
      <c r="I177" s="143"/>
      <c r="J177" s="143"/>
      <c r="K177" s="143"/>
      <c r="L177" s="143"/>
      <c r="M177" s="143"/>
      <c r="N177" s="143"/>
      <c r="O177" s="143"/>
      <c r="P177" s="143"/>
      <c r="Q177" s="143"/>
      <c r="R177" s="143"/>
      <c r="S177" s="143"/>
      <c r="T177" s="143"/>
      <c r="U177" s="143"/>
      <c r="V177" s="143"/>
      <c r="W177" s="143"/>
      <c r="X177" s="143"/>
      <c r="Y177" s="143"/>
      <c r="Z177" s="143"/>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c r="CN177" s="143"/>
      <c r="CO177" s="143"/>
      <c r="CP177" s="143"/>
      <c r="CQ177" s="143"/>
      <c r="CR177" s="143"/>
      <c r="CS177" s="143"/>
      <c r="CT177" s="143"/>
      <c r="CU177" s="143"/>
      <c r="CV177" s="143"/>
      <c r="CW177" s="143"/>
      <c r="CX177" s="143"/>
      <c r="CY177" s="143"/>
    </row>
    <row r="178" spans="5:103">
      <c r="E178" s="143"/>
      <c r="F178" s="143"/>
      <c r="G178" s="143"/>
      <c r="H178" s="143"/>
      <c r="I178" s="143"/>
      <c r="J178" s="143"/>
      <c r="K178" s="143"/>
      <c r="L178" s="143"/>
      <c r="M178" s="143"/>
      <c r="N178" s="143"/>
      <c r="O178" s="143"/>
      <c r="P178" s="143"/>
      <c r="Q178" s="143"/>
      <c r="R178" s="143"/>
      <c r="S178" s="143"/>
      <c r="T178" s="143"/>
      <c r="U178" s="143"/>
      <c r="V178" s="143"/>
      <c r="W178" s="143"/>
      <c r="X178" s="143"/>
      <c r="Y178" s="143"/>
      <c r="Z178" s="143"/>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c r="CN178" s="143"/>
      <c r="CO178" s="143"/>
      <c r="CP178" s="143"/>
      <c r="CQ178" s="143"/>
      <c r="CR178" s="143"/>
      <c r="CS178" s="143"/>
      <c r="CT178" s="143"/>
      <c r="CU178" s="143"/>
      <c r="CV178" s="143"/>
      <c r="CW178" s="143"/>
      <c r="CX178" s="143"/>
      <c r="CY178" s="143"/>
    </row>
    <row r="179" spans="5:103">
      <c r="E179" s="143"/>
      <c r="F179" s="143"/>
      <c r="G179" s="143"/>
      <c r="H179" s="143"/>
      <c r="I179" s="143"/>
      <c r="J179" s="143"/>
      <c r="K179" s="143"/>
      <c r="L179" s="143"/>
      <c r="M179" s="143"/>
      <c r="N179" s="143"/>
      <c r="O179" s="143"/>
      <c r="P179" s="143"/>
      <c r="Q179" s="143"/>
      <c r="R179" s="143"/>
      <c r="S179" s="143"/>
      <c r="T179" s="143"/>
      <c r="U179" s="143"/>
      <c r="V179" s="143"/>
      <c r="W179" s="143"/>
      <c r="X179" s="143"/>
      <c r="Y179" s="143"/>
      <c r="Z179" s="143"/>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c r="CN179" s="143"/>
      <c r="CO179" s="143"/>
      <c r="CP179" s="143"/>
      <c r="CQ179" s="143"/>
      <c r="CR179" s="143"/>
      <c r="CS179" s="143"/>
      <c r="CT179" s="143"/>
      <c r="CU179" s="143"/>
      <c r="CV179" s="143"/>
      <c r="CW179" s="143"/>
      <c r="CX179" s="143"/>
      <c r="CY179" s="143"/>
    </row>
    <row r="180" spans="5:103">
      <c r="E180" s="143"/>
      <c r="F180" s="143"/>
      <c r="G180" s="143"/>
      <c r="H180" s="143"/>
      <c r="I180" s="143"/>
      <c r="J180" s="143"/>
      <c r="K180" s="143"/>
      <c r="L180" s="143"/>
      <c r="M180" s="143"/>
      <c r="N180" s="143"/>
      <c r="O180" s="143"/>
      <c r="P180" s="143"/>
      <c r="Q180" s="143"/>
      <c r="R180" s="143"/>
      <c r="S180" s="143"/>
      <c r="T180" s="143"/>
      <c r="U180" s="143"/>
      <c r="V180" s="143"/>
      <c r="W180" s="143"/>
      <c r="X180" s="143"/>
      <c r="Y180" s="143"/>
      <c r="Z180" s="143"/>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c r="CN180" s="143"/>
      <c r="CO180" s="143"/>
      <c r="CP180" s="143"/>
      <c r="CQ180" s="143"/>
      <c r="CR180" s="143"/>
      <c r="CS180" s="143"/>
      <c r="CT180" s="143"/>
      <c r="CU180" s="143"/>
      <c r="CV180" s="143"/>
      <c r="CW180" s="143"/>
      <c r="CX180" s="143"/>
      <c r="CY180" s="143"/>
    </row>
    <row r="181" spans="5:103">
      <c r="E181" s="143"/>
      <c r="F181" s="143"/>
      <c r="G181" s="143"/>
      <c r="H181" s="143"/>
      <c r="I181" s="143"/>
      <c r="J181" s="143"/>
      <c r="K181" s="143"/>
      <c r="L181" s="143"/>
      <c r="M181" s="143"/>
      <c r="N181" s="143"/>
      <c r="O181" s="143"/>
      <c r="P181" s="143"/>
      <c r="Q181" s="143"/>
      <c r="R181" s="143"/>
      <c r="S181" s="143"/>
      <c r="T181" s="143"/>
      <c r="U181" s="143"/>
      <c r="V181" s="143"/>
      <c r="W181" s="143"/>
      <c r="X181" s="143"/>
      <c r="Y181" s="143"/>
      <c r="Z181" s="143"/>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c r="CN181" s="143"/>
      <c r="CO181" s="143"/>
      <c r="CP181" s="143"/>
      <c r="CQ181" s="143"/>
      <c r="CR181" s="143"/>
      <c r="CS181" s="143"/>
      <c r="CT181" s="143"/>
      <c r="CU181" s="143"/>
      <c r="CV181" s="143"/>
      <c r="CW181" s="143"/>
      <c r="CX181" s="143"/>
      <c r="CY181" s="143"/>
    </row>
    <row r="182" spans="5:103">
      <c r="E182" s="143"/>
      <c r="F182" s="143"/>
      <c r="G182" s="143"/>
      <c r="H182" s="143"/>
      <c r="I182" s="143"/>
      <c r="J182" s="143"/>
      <c r="K182" s="143"/>
      <c r="L182" s="143"/>
      <c r="M182" s="143"/>
      <c r="N182" s="143"/>
      <c r="O182" s="143"/>
      <c r="P182" s="143"/>
      <c r="Q182" s="143"/>
      <c r="R182" s="143"/>
      <c r="S182" s="143"/>
      <c r="T182" s="143"/>
      <c r="U182" s="143"/>
      <c r="V182" s="143"/>
      <c r="W182" s="143"/>
      <c r="X182" s="143"/>
      <c r="Y182" s="143"/>
      <c r="Z182" s="143"/>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c r="CN182" s="143"/>
      <c r="CO182" s="143"/>
      <c r="CP182" s="143"/>
      <c r="CQ182" s="143"/>
      <c r="CR182" s="143"/>
      <c r="CS182" s="143"/>
      <c r="CT182" s="143"/>
      <c r="CU182" s="143"/>
      <c r="CV182" s="143"/>
      <c r="CW182" s="143"/>
      <c r="CX182" s="143"/>
      <c r="CY182" s="143"/>
    </row>
    <row r="183" spans="5:103">
      <c r="E183" s="143"/>
      <c r="F183" s="143"/>
      <c r="G183" s="143"/>
      <c r="H183" s="143"/>
      <c r="I183" s="143"/>
      <c r="J183" s="143"/>
      <c r="K183" s="143"/>
      <c r="L183" s="143"/>
      <c r="M183" s="143"/>
      <c r="N183" s="143"/>
      <c r="O183" s="143"/>
      <c r="P183" s="143"/>
      <c r="Q183" s="143"/>
      <c r="R183" s="143"/>
      <c r="S183" s="143"/>
      <c r="T183" s="143"/>
      <c r="U183" s="143"/>
      <c r="V183" s="143"/>
      <c r="W183" s="143"/>
      <c r="X183" s="143"/>
      <c r="Y183" s="143"/>
      <c r="Z183" s="14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c r="CN183" s="143"/>
      <c r="CO183" s="143"/>
      <c r="CP183" s="143"/>
      <c r="CQ183" s="143"/>
      <c r="CR183" s="143"/>
      <c r="CS183" s="143"/>
      <c r="CT183" s="143"/>
      <c r="CU183" s="143"/>
      <c r="CV183" s="143"/>
      <c r="CW183" s="143"/>
      <c r="CX183" s="143"/>
      <c r="CY183" s="143"/>
    </row>
    <row r="184" spans="5:103">
      <c r="E184" s="143"/>
      <c r="F184" s="143"/>
      <c r="G184" s="143"/>
      <c r="H184" s="143"/>
      <c r="I184" s="143"/>
      <c r="J184" s="143"/>
      <c r="K184" s="143"/>
      <c r="L184" s="143"/>
      <c r="M184" s="143"/>
      <c r="N184" s="143"/>
      <c r="O184" s="143"/>
      <c r="P184" s="143"/>
      <c r="Q184" s="143"/>
      <c r="R184" s="143"/>
      <c r="S184" s="143"/>
      <c r="T184" s="143"/>
      <c r="U184" s="143"/>
      <c r="V184" s="143"/>
      <c r="W184" s="143"/>
      <c r="X184" s="143"/>
      <c r="Y184" s="143"/>
      <c r="Z184" s="143"/>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c r="CN184" s="143"/>
      <c r="CO184" s="143"/>
      <c r="CP184" s="143"/>
      <c r="CQ184" s="143"/>
      <c r="CR184" s="143"/>
      <c r="CS184" s="143"/>
      <c r="CT184" s="143"/>
      <c r="CU184" s="143"/>
      <c r="CV184" s="143"/>
      <c r="CW184" s="143"/>
      <c r="CX184" s="143"/>
      <c r="CY184" s="143"/>
    </row>
    <row r="185" spans="5:103">
      <c r="E185" s="143"/>
      <c r="F185" s="143"/>
      <c r="G185" s="143"/>
      <c r="H185" s="143"/>
      <c r="I185" s="143"/>
      <c r="J185" s="143"/>
      <c r="K185" s="143"/>
      <c r="L185" s="143"/>
      <c r="M185" s="143"/>
      <c r="N185" s="143"/>
      <c r="O185" s="143"/>
      <c r="P185" s="143"/>
      <c r="Q185" s="143"/>
      <c r="R185" s="143"/>
      <c r="S185" s="143"/>
      <c r="T185" s="143"/>
      <c r="U185" s="143"/>
      <c r="V185" s="143"/>
      <c r="W185" s="143"/>
      <c r="X185" s="143"/>
      <c r="Y185" s="143"/>
      <c r="Z185" s="143"/>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c r="CN185" s="143"/>
      <c r="CO185" s="143"/>
      <c r="CP185" s="143"/>
      <c r="CQ185" s="143"/>
      <c r="CR185" s="143"/>
      <c r="CS185" s="143"/>
      <c r="CT185" s="143"/>
      <c r="CU185" s="143"/>
      <c r="CV185" s="143"/>
      <c r="CW185" s="143"/>
      <c r="CX185" s="143"/>
      <c r="CY185" s="143"/>
    </row>
    <row r="186" spans="5:103">
      <c r="E186" s="143"/>
      <c r="F186" s="143"/>
      <c r="G186" s="143"/>
      <c r="H186" s="143"/>
      <c r="I186" s="143"/>
      <c r="J186" s="143"/>
      <c r="K186" s="143"/>
      <c r="L186" s="143"/>
      <c r="M186" s="143"/>
      <c r="N186" s="143"/>
      <c r="O186" s="143"/>
      <c r="P186" s="143"/>
      <c r="Q186" s="143"/>
      <c r="R186" s="143"/>
      <c r="S186" s="143"/>
      <c r="T186" s="143"/>
      <c r="U186" s="143"/>
      <c r="V186" s="143"/>
      <c r="W186" s="143"/>
      <c r="X186" s="143"/>
      <c r="Y186" s="143"/>
      <c r="Z186" s="143"/>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c r="CN186" s="143"/>
      <c r="CO186" s="143"/>
      <c r="CP186" s="143"/>
      <c r="CQ186" s="143"/>
      <c r="CR186" s="143"/>
      <c r="CS186" s="143"/>
      <c r="CT186" s="143"/>
      <c r="CU186" s="143"/>
      <c r="CV186" s="143"/>
      <c r="CW186" s="143"/>
      <c r="CX186" s="143"/>
      <c r="CY186" s="143"/>
    </row>
    <row r="187" spans="5:103">
      <c r="E187" s="143"/>
      <c r="F187" s="143"/>
      <c r="G187" s="143"/>
      <c r="H187" s="143"/>
      <c r="I187" s="143"/>
      <c r="J187" s="143"/>
      <c r="K187" s="143"/>
      <c r="L187" s="143"/>
      <c r="M187" s="143"/>
      <c r="N187" s="143"/>
      <c r="O187" s="143"/>
      <c r="P187" s="143"/>
      <c r="Q187" s="143"/>
      <c r="R187" s="143"/>
      <c r="S187" s="143"/>
      <c r="T187" s="143"/>
      <c r="U187" s="143"/>
      <c r="V187" s="143"/>
      <c r="W187" s="143"/>
      <c r="X187" s="143"/>
      <c r="Y187" s="143"/>
      <c r="Z187" s="143"/>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c r="CN187" s="143"/>
      <c r="CO187" s="143"/>
      <c r="CP187" s="143"/>
      <c r="CQ187" s="143"/>
      <c r="CR187" s="143"/>
      <c r="CS187" s="143"/>
      <c r="CT187" s="143"/>
      <c r="CU187" s="143"/>
      <c r="CV187" s="143"/>
      <c r="CW187" s="143"/>
      <c r="CX187" s="143"/>
      <c r="CY187" s="143"/>
    </row>
    <row r="188" spans="5:103">
      <c r="E188" s="143"/>
      <c r="F188" s="143"/>
      <c r="G188" s="143"/>
      <c r="H188" s="143"/>
      <c r="I188" s="143"/>
      <c r="J188" s="143"/>
      <c r="K188" s="143"/>
      <c r="L188" s="143"/>
      <c r="M188" s="143"/>
      <c r="N188" s="143"/>
      <c r="O188" s="143"/>
      <c r="P188" s="143"/>
      <c r="Q188" s="143"/>
      <c r="R188" s="143"/>
      <c r="S188" s="143"/>
      <c r="T188" s="143"/>
      <c r="U188" s="143"/>
      <c r="V188" s="143"/>
      <c r="W188" s="143"/>
      <c r="X188" s="143"/>
      <c r="Y188" s="143"/>
      <c r="Z188" s="143"/>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c r="CN188" s="143"/>
      <c r="CO188" s="143"/>
      <c r="CP188" s="143"/>
      <c r="CQ188" s="143"/>
      <c r="CR188" s="143"/>
      <c r="CS188" s="143"/>
      <c r="CT188" s="143"/>
      <c r="CU188" s="143"/>
      <c r="CV188" s="143"/>
      <c r="CW188" s="143"/>
      <c r="CX188" s="143"/>
      <c r="CY188" s="143"/>
    </row>
    <row r="189" spans="5:103">
      <c r="E189" s="143"/>
      <c r="F189" s="143"/>
      <c r="G189" s="143"/>
      <c r="H189" s="143"/>
      <c r="I189" s="143"/>
      <c r="J189" s="143"/>
      <c r="K189" s="143"/>
      <c r="L189" s="143"/>
      <c r="M189" s="143"/>
      <c r="N189" s="143"/>
      <c r="O189" s="143"/>
      <c r="P189" s="143"/>
      <c r="Q189" s="143"/>
      <c r="R189" s="143"/>
      <c r="S189" s="143"/>
      <c r="T189" s="143"/>
      <c r="U189" s="143"/>
      <c r="V189" s="143"/>
      <c r="W189" s="143"/>
      <c r="X189" s="143"/>
      <c r="Y189" s="143"/>
      <c r="Z189" s="143"/>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c r="CN189" s="143"/>
      <c r="CO189" s="143"/>
      <c r="CP189" s="143"/>
      <c r="CQ189" s="143"/>
      <c r="CR189" s="143"/>
      <c r="CS189" s="143"/>
      <c r="CT189" s="143"/>
      <c r="CU189" s="143"/>
      <c r="CV189" s="143"/>
      <c r="CW189" s="143"/>
      <c r="CX189" s="143"/>
      <c r="CY189" s="143"/>
    </row>
    <row r="190" spans="5:103">
      <c r="E190" s="143"/>
      <c r="F190" s="143"/>
      <c r="G190" s="143"/>
      <c r="H190" s="143"/>
      <c r="I190" s="143"/>
      <c r="J190" s="143"/>
      <c r="K190" s="143"/>
      <c r="L190" s="143"/>
      <c r="M190" s="143"/>
      <c r="N190" s="143"/>
      <c r="O190" s="143"/>
      <c r="P190" s="143"/>
      <c r="Q190" s="143"/>
      <c r="R190" s="143"/>
      <c r="S190" s="143"/>
      <c r="T190" s="143"/>
      <c r="U190" s="143"/>
      <c r="V190" s="143"/>
      <c r="W190" s="143"/>
      <c r="X190" s="143"/>
      <c r="Y190" s="143"/>
      <c r="Z190" s="143"/>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c r="CN190" s="143"/>
      <c r="CO190" s="143"/>
      <c r="CP190" s="143"/>
      <c r="CQ190" s="143"/>
      <c r="CR190" s="143"/>
      <c r="CS190" s="143"/>
      <c r="CT190" s="143"/>
      <c r="CU190" s="143"/>
      <c r="CV190" s="143"/>
      <c r="CW190" s="143"/>
      <c r="CX190" s="143"/>
      <c r="CY190" s="143"/>
    </row>
    <row r="191" spans="5:103">
      <c r="E191" s="143"/>
      <c r="F191" s="143"/>
      <c r="G191" s="143"/>
      <c r="H191" s="143"/>
      <c r="I191" s="143"/>
      <c r="J191" s="143"/>
      <c r="K191" s="143"/>
      <c r="L191" s="143"/>
      <c r="M191" s="143"/>
      <c r="N191" s="143"/>
      <c r="O191" s="143"/>
      <c r="P191" s="143"/>
      <c r="Q191" s="143"/>
      <c r="R191" s="143"/>
      <c r="S191" s="143"/>
      <c r="T191" s="143"/>
      <c r="U191" s="143"/>
      <c r="V191" s="143"/>
      <c r="W191" s="143"/>
      <c r="X191" s="143"/>
      <c r="Y191" s="143"/>
      <c r="Z191" s="143"/>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c r="CN191" s="143"/>
      <c r="CO191" s="143"/>
      <c r="CP191" s="143"/>
      <c r="CQ191" s="143"/>
      <c r="CR191" s="143"/>
      <c r="CS191" s="143"/>
      <c r="CT191" s="143"/>
      <c r="CU191" s="143"/>
      <c r="CV191" s="143"/>
      <c r="CW191" s="143"/>
      <c r="CX191" s="143"/>
      <c r="CY191" s="143"/>
    </row>
    <row r="192" spans="5:103">
      <c r="E192" s="143"/>
      <c r="F192" s="143"/>
      <c r="G192" s="143"/>
      <c r="H192" s="143"/>
      <c r="I192" s="143"/>
      <c r="J192" s="143"/>
      <c r="K192" s="143"/>
      <c r="L192" s="143"/>
      <c r="M192" s="143"/>
      <c r="N192" s="143"/>
      <c r="O192" s="143"/>
      <c r="P192" s="143"/>
      <c r="Q192" s="143"/>
      <c r="R192" s="143"/>
      <c r="S192" s="143"/>
      <c r="T192" s="143"/>
      <c r="U192" s="143"/>
      <c r="V192" s="143"/>
      <c r="W192" s="143"/>
      <c r="X192" s="143"/>
      <c r="Y192" s="143"/>
      <c r="Z192" s="143"/>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c r="CN192" s="143"/>
      <c r="CO192" s="143"/>
      <c r="CP192" s="143"/>
      <c r="CQ192" s="143"/>
      <c r="CR192" s="143"/>
      <c r="CS192" s="143"/>
      <c r="CT192" s="143"/>
      <c r="CU192" s="143"/>
      <c r="CV192" s="143"/>
      <c r="CW192" s="143"/>
      <c r="CX192" s="143"/>
      <c r="CY192" s="143"/>
    </row>
    <row r="193" spans="5:103">
      <c r="E193" s="143"/>
      <c r="F193" s="143"/>
      <c r="G193" s="143"/>
      <c r="H193" s="143"/>
      <c r="I193" s="143"/>
      <c r="J193" s="143"/>
      <c r="K193" s="143"/>
      <c r="L193" s="143"/>
      <c r="M193" s="143"/>
      <c r="N193" s="143"/>
      <c r="O193" s="143"/>
      <c r="P193" s="143"/>
      <c r="Q193" s="143"/>
      <c r="R193" s="143"/>
      <c r="S193" s="143"/>
      <c r="T193" s="143"/>
      <c r="U193" s="143"/>
      <c r="V193" s="143"/>
      <c r="W193" s="143"/>
      <c r="X193" s="143"/>
      <c r="Y193" s="143"/>
      <c r="Z193" s="14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c r="CN193" s="143"/>
      <c r="CO193" s="143"/>
      <c r="CP193" s="143"/>
      <c r="CQ193" s="143"/>
      <c r="CR193" s="143"/>
      <c r="CS193" s="143"/>
      <c r="CT193" s="143"/>
      <c r="CU193" s="143"/>
      <c r="CV193" s="143"/>
      <c r="CW193" s="143"/>
      <c r="CX193" s="143"/>
      <c r="CY193" s="143"/>
    </row>
  </sheetData>
  <dataConsolidate/>
  <mergeCells count="2">
    <mergeCell ref="K6:P6"/>
    <mergeCell ref="Q6:R6"/>
  </mergeCells>
  <pageMargins left="0.75" right="0.75" top="1" bottom="1" header="0.5" footer="0.5"/>
  <pageSetup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7PSourceSummary</vt:lpstr>
      <vt:lpstr>forRPM</vt:lpstr>
      <vt:lpstr>SC-New</vt:lpstr>
      <vt:lpstr>SC-NR</vt:lpstr>
      <vt:lpstr>M_Input_Out</vt:lpstr>
      <vt:lpstr>M_Input</vt:lpstr>
      <vt:lpstr>Segmented</vt:lpstr>
      <vt:lpstr>Composite</vt:lpstr>
      <vt:lpstr>RawRTF</vt:lpstr>
      <vt:lpstr>EULSummary</vt:lpstr>
      <vt:lpstr>CostSummary</vt:lpstr>
      <vt:lpstr>SF Measure Development</vt:lpstr>
      <vt:lpstr>MF Measure Development</vt:lpstr>
      <vt:lpstr>MH Measure Development</vt:lpstr>
      <vt:lpstr>CEC Data</vt:lpstr>
      <vt:lpstr>Cost Model </vt:lpstr>
      <vt:lpstr>Baseline and Measure Cases</vt:lpstr>
      <vt:lpstr>SF Assumptions</vt:lpstr>
      <vt:lpstr>MF Assumptions</vt:lpstr>
      <vt:lpstr>MH Assumptions</vt:lpstr>
      <vt:lpstr>CostSummary!Elements</vt:lpstr>
      <vt:lpstr>CostSummary!Inclusion</vt:lpstr>
      <vt:lpstr>CostSummary!Justification</vt:lpstr>
      <vt:lpstr>MeasureOutput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Jayaweera</dc:creator>
  <cp:lastModifiedBy>hertz</cp:lastModifiedBy>
  <dcterms:created xsi:type="dcterms:W3CDTF">2014-09-23T21:26:19Z</dcterms:created>
  <dcterms:modified xsi:type="dcterms:W3CDTF">2015-03-11T19:27:47Z</dcterms:modified>
</cp:coreProperties>
</file>