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1755" yWindow="270" windowWidth="20730" windowHeight="11745" activeTab="2"/>
  </bookViews>
  <sheets>
    <sheet name="7PSourceSummary" sheetId="12" r:id="rId1"/>
    <sheet name="forRPM" sheetId="16" r:id="rId2"/>
    <sheet name="SC-New" sheetId="8" r:id="rId3"/>
    <sheet name="Weighting" sheetId="10" r:id="rId4"/>
    <sheet name="M_Input_Out" sheetId="15" r:id="rId5"/>
    <sheet name="M_Input" sheetId="6" r:id="rId6"/>
    <sheet name="Cost" sheetId="5" r:id="rId7"/>
    <sheet name="CostNotes" sheetId="3" r:id="rId8"/>
    <sheet name="Savings" sheetId="4" r:id="rId9"/>
    <sheet name="NRC Ratings" sheetId="11" r:id="rId10"/>
    <sheet name="SavingsNotes" sheetId="2" r:id="rId11"/>
    <sheet name="Notes" sheetId="1" r:id="rId12"/>
  </sheets>
  <externalReferences>
    <externalReference r:id="rId13"/>
    <externalReference r:id="rId14"/>
  </externalReferences>
  <definedNames>
    <definedName name="_Key1" localSheetId="0" hidden="1">#REF!</definedName>
    <definedName name="_Key1" localSheetId="1" hidden="1">#REF!</definedName>
    <definedName name="_Key1" localSheetId="2" hidden="1">#REF!</definedName>
    <definedName name="_Key1" hidden="1">#REF!</definedName>
    <definedName name="_Key1old" hidden="1">#REF!</definedName>
    <definedName name="_Order1" hidden="1">255</definedName>
    <definedName name="_Sort" localSheetId="0" hidden="1">#REF!</definedName>
    <definedName name="_Sort" localSheetId="1" hidden="1">#REF!</definedName>
    <definedName name="_Sort" localSheetId="2" hidden="1">#REF!</definedName>
    <definedName name="_Sort" hidden="1">#REF!</definedName>
    <definedName name="_SortOld" hidden="1">#REF!</definedName>
    <definedName name="anscount" hidden="1">1</definedName>
    <definedName name="arrThreshHeat">{0,32,47}</definedName>
    <definedName name="CBWorkbookPriority" hidden="1">-738590518</definedName>
    <definedName name="DHW_C">Savings!$B$23</definedName>
    <definedName name="DHW_n">Savings!$C$23</definedName>
    <definedName name="DHWTemp_F">Savings!$H$4</definedName>
    <definedName name="Effectiveness_Config1">Savings!$L$11</definedName>
    <definedName name="Effectiveness_Config2">Savings!$L$12</definedName>
    <definedName name="InletTemp_F">Savings!$B$6</definedName>
    <definedName name="Labor">CostNotes!$B$3</definedName>
    <definedName name="limcount" hidden="1">1</definedName>
    <definedName name="MeasureOutput">M_Input_Out!$A$4:$AM$100</definedName>
    <definedName name="ResBase">'[1]Res Forecast (Base Case)'!$C$14:$BD$61</definedName>
    <definedName name="sencount" hidden="1">1</definedName>
    <definedName name="sort" hidden="1">#REF!</definedName>
  </definedNames>
  <calcPr calcId="125725"/>
</workbook>
</file>

<file path=xl/calcChain.xml><?xml version="1.0" encoding="utf-8"?>
<calcChain xmlns="http://schemas.openxmlformats.org/spreadsheetml/2006/main">
  <c r="D9" i="8"/>
  <c r="D8"/>
  <c r="C8"/>
  <c r="C14" i="16" l="1"/>
  <c r="B14"/>
  <c r="C13"/>
  <c r="B13"/>
  <c r="C12"/>
  <c r="B12"/>
  <c r="C11"/>
  <c r="B11"/>
  <c r="C10"/>
  <c r="B10"/>
  <c r="C9"/>
  <c r="B9"/>
  <c r="C8"/>
  <c r="B8"/>
  <c r="C7"/>
  <c r="B7"/>
  <c r="C6"/>
  <c r="B6"/>
  <c r="C5"/>
  <c r="B5"/>
  <c r="C4"/>
  <c r="B4"/>
  <c r="C3"/>
  <c r="B3"/>
  <c r="I7"/>
  <c r="J7"/>
  <c r="F7" s="1"/>
  <c r="AF7"/>
  <c r="AH7"/>
  <c r="AI7"/>
  <c r="AJ7"/>
  <c r="AL7"/>
  <c r="AM7"/>
  <c r="AN7"/>
  <c r="AP7"/>
  <c r="AQ7"/>
  <c r="AS7"/>
  <c r="AU7"/>
  <c r="AV7"/>
  <c r="AW7"/>
  <c r="AY7"/>
  <c r="AZ7"/>
  <c r="BA7"/>
  <c r="BC7"/>
  <c r="BD7"/>
  <c r="I8"/>
  <c r="J8"/>
  <c r="AG8" s="1"/>
  <c r="AH8"/>
  <c r="AL8"/>
  <c r="AP8"/>
  <c r="AU8"/>
  <c r="AY8"/>
  <c r="BC8"/>
  <c r="I9"/>
  <c r="J9"/>
  <c r="AF9" s="1"/>
  <c r="AG9"/>
  <c r="AH9"/>
  <c r="AK9"/>
  <c r="AL9"/>
  <c r="AO9"/>
  <c r="AP9"/>
  <c r="AT9"/>
  <c r="AU9"/>
  <c r="AX9"/>
  <c r="AY9"/>
  <c r="BB9"/>
  <c r="BC9"/>
  <c r="I10"/>
  <c r="J10"/>
  <c r="F10" s="1"/>
  <c r="AF10"/>
  <c r="AG10"/>
  <c r="AH10"/>
  <c r="AI10"/>
  <c r="AJ10"/>
  <c r="AK10"/>
  <c r="AL10"/>
  <c r="AM10"/>
  <c r="AN10"/>
  <c r="AO10"/>
  <c r="AP10"/>
  <c r="AQ10"/>
  <c r="AS10"/>
  <c r="AT10"/>
  <c r="AU10"/>
  <c r="AV10"/>
  <c r="AW10"/>
  <c r="AX10"/>
  <c r="AY10"/>
  <c r="AZ10"/>
  <c r="BA10"/>
  <c r="BB10"/>
  <c r="BC10"/>
  <c r="BD10"/>
  <c r="I11"/>
  <c r="J11"/>
  <c r="F11" s="1"/>
  <c r="AF11"/>
  <c r="AH11"/>
  <c r="AI11"/>
  <c r="AJ11"/>
  <c r="AL11"/>
  <c r="AM11"/>
  <c r="AN11"/>
  <c r="AP11"/>
  <c r="AQ11"/>
  <c r="AS11"/>
  <c r="AU11"/>
  <c r="AV11"/>
  <c r="AW11"/>
  <c r="AY11"/>
  <c r="AZ11"/>
  <c r="BA11"/>
  <c r="BC11"/>
  <c r="BD11"/>
  <c r="I12"/>
  <c r="J12"/>
  <c r="AG12" s="1"/>
  <c r="AH12"/>
  <c r="AL12"/>
  <c r="AP12"/>
  <c r="AU12"/>
  <c r="AY12"/>
  <c r="BC12"/>
  <c r="I13"/>
  <c r="J13"/>
  <c r="AF13" s="1"/>
  <c r="AG13"/>
  <c r="AH13"/>
  <c r="AK13"/>
  <c r="AL13"/>
  <c r="AO13"/>
  <c r="AP13"/>
  <c r="AT13"/>
  <c r="AU13"/>
  <c r="AX13"/>
  <c r="AY13"/>
  <c r="BB13"/>
  <c r="BC13"/>
  <c r="I14"/>
  <c r="J14"/>
  <c r="F14" s="1"/>
  <c r="AF14"/>
  <c r="AG14"/>
  <c r="AH14"/>
  <c r="AI14"/>
  <c r="AJ14"/>
  <c r="AK14"/>
  <c r="AL14"/>
  <c r="AM14"/>
  <c r="AN14"/>
  <c r="AO14"/>
  <c r="AP14"/>
  <c r="AQ14"/>
  <c r="AS14"/>
  <c r="AT14"/>
  <c r="AU14"/>
  <c r="AV14"/>
  <c r="AW14"/>
  <c r="AX14"/>
  <c r="AY14"/>
  <c r="AZ14"/>
  <c r="BA14"/>
  <c r="BB14"/>
  <c r="BC14"/>
  <c r="BD14"/>
  <c r="J6"/>
  <c r="BD6" s="1"/>
  <c r="I6"/>
  <c r="J5"/>
  <c r="AW5" s="1"/>
  <c r="I5"/>
  <c r="J4"/>
  <c r="AZ4" s="1"/>
  <c r="I4"/>
  <c r="J3"/>
  <c r="BD3" s="1"/>
  <c r="I3"/>
  <c r="AZ6"/>
  <c r="AV6"/>
  <c r="AQ6"/>
  <c r="AI6"/>
  <c r="BA6"/>
  <c r="BD5"/>
  <c r="AV5"/>
  <c r="AM5"/>
  <c r="BB5"/>
  <c r="BD4"/>
  <c r="BB4"/>
  <c r="AX4"/>
  <c r="AW4"/>
  <c r="AT4"/>
  <c r="AS4"/>
  <c r="AQ4"/>
  <c r="AN4"/>
  <c r="AM4"/>
  <c r="AK4"/>
  <c r="AI4"/>
  <c r="AG4"/>
  <c r="AF4"/>
  <c r="F4"/>
  <c r="AD2"/>
  <c r="AC2"/>
  <c r="AB2"/>
  <c r="AA2"/>
  <c r="Z2"/>
  <c r="Y2"/>
  <c r="X2"/>
  <c r="W2"/>
  <c r="V2"/>
  <c r="U2"/>
  <c r="T2"/>
  <c r="S2"/>
  <c r="R2"/>
  <c r="Q2"/>
  <c r="P2"/>
  <c r="O2"/>
  <c r="N2"/>
  <c r="M2"/>
  <c r="L2"/>
  <c r="K2"/>
  <c r="F12" l="1"/>
  <c r="F13"/>
  <c r="BD12"/>
  <c r="AZ12"/>
  <c r="AV12"/>
  <c r="AQ12"/>
  <c r="AM12"/>
  <c r="AI12"/>
  <c r="BD13"/>
  <c r="AZ13"/>
  <c r="AV13"/>
  <c r="AQ13"/>
  <c r="AM13"/>
  <c r="AI13"/>
  <c r="BA12"/>
  <c r="AW12"/>
  <c r="AS12"/>
  <c r="AN12"/>
  <c r="AJ12"/>
  <c r="AF12"/>
  <c r="BB11"/>
  <c r="AX11"/>
  <c r="AT11"/>
  <c r="AO11"/>
  <c r="AK11"/>
  <c r="AG11"/>
  <c r="BD9"/>
  <c r="AZ9"/>
  <c r="AV9"/>
  <c r="AQ9"/>
  <c r="AM9"/>
  <c r="AI9"/>
  <c r="BA8"/>
  <c r="AW8"/>
  <c r="AS8"/>
  <c r="AN8"/>
  <c r="AJ8"/>
  <c r="AF8"/>
  <c r="BB7"/>
  <c r="AX7"/>
  <c r="AT7"/>
  <c r="AO7"/>
  <c r="AK7"/>
  <c r="AG7"/>
  <c r="F8"/>
  <c r="F9"/>
  <c r="BD8"/>
  <c r="AZ8"/>
  <c r="AV8"/>
  <c r="AQ8"/>
  <c r="AM8"/>
  <c r="AI8"/>
  <c r="BA13"/>
  <c r="AW13"/>
  <c r="AS13"/>
  <c r="AN13"/>
  <c r="AJ13"/>
  <c r="BB12"/>
  <c r="AX12"/>
  <c r="AT12"/>
  <c r="AO12"/>
  <c r="AK12"/>
  <c r="BA9"/>
  <c r="AW9"/>
  <c r="AS9"/>
  <c r="AN9"/>
  <c r="AJ9"/>
  <c r="BB8"/>
  <c r="AX8"/>
  <c r="AT8"/>
  <c r="AO8"/>
  <c r="AK8"/>
  <c r="F5"/>
  <c r="AJ5"/>
  <c r="AS5"/>
  <c r="BA5"/>
  <c r="BC4"/>
  <c r="AJ4"/>
  <c r="AO4"/>
  <c r="AV4"/>
  <c r="BA4"/>
  <c r="AI5"/>
  <c r="AQ5"/>
  <c r="AZ5"/>
  <c r="AM6"/>
  <c r="AF5"/>
  <c r="AN5"/>
  <c r="F3"/>
  <c r="AP3"/>
  <c r="AG3"/>
  <c r="AK3"/>
  <c r="AT3"/>
  <c r="AX3"/>
  <c r="BB3"/>
  <c r="AL6"/>
  <c r="AP6"/>
  <c r="AY6"/>
  <c r="BC6"/>
  <c r="AF3"/>
  <c r="AW3"/>
  <c r="AH5"/>
  <c r="AL5"/>
  <c r="AP5"/>
  <c r="AU5"/>
  <c r="AY5"/>
  <c r="BC5"/>
  <c r="AG6"/>
  <c r="AK6"/>
  <c r="AO6"/>
  <c r="AT6"/>
  <c r="AX6"/>
  <c r="BB6"/>
  <c r="AH3"/>
  <c r="AL3"/>
  <c r="AU3"/>
  <c r="AY3"/>
  <c r="BC3"/>
  <c r="AO3"/>
  <c r="F6"/>
  <c r="AH6"/>
  <c r="AU6"/>
  <c r="AJ3"/>
  <c r="AN3"/>
  <c r="AS3"/>
  <c r="BA3"/>
  <c r="AI3"/>
  <c r="AM3"/>
  <c r="AQ3"/>
  <c r="AV3"/>
  <c r="AZ3"/>
  <c r="AH4"/>
  <c r="AL4"/>
  <c r="AP4"/>
  <c r="AU4"/>
  <c r="AY4"/>
  <c r="AG5"/>
  <c r="AK5"/>
  <c r="AO5"/>
  <c r="AT5"/>
  <c r="AX5"/>
  <c r="AF6"/>
  <c r="AJ6"/>
  <c r="AN6"/>
  <c r="AS6"/>
  <c r="AW6"/>
  <c r="X99" i="8" l="1"/>
  <c r="W99"/>
  <c r="V99"/>
  <c r="U99"/>
  <c r="T99"/>
  <c r="S99"/>
  <c r="R99"/>
  <c r="Q99"/>
  <c r="P99"/>
  <c r="O99"/>
  <c r="N99"/>
  <c r="M99"/>
  <c r="L99"/>
  <c r="K99"/>
  <c r="J99"/>
  <c r="I99"/>
  <c r="H99"/>
  <c r="G99"/>
  <c r="F99"/>
  <c r="E99"/>
  <c r="X62"/>
  <c r="W62"/>
  <c r="V62"/>
  <c r="U62"/>
  <c r="T62"/>
  <c r="S62"/>
  <c r="R62"/>
  <c r="Q62"/>
  <c r="P62"/>
  <c r="O62"/>
  <c r="N62"/>
  <c r="M62"/>
  <c r="L62"/>
  <c r="K62"/>
  <c r="J62"/>
  <c r="I62"/>
  <c r="H62"/>
  <c r="G62"/>
  <c r="F62"/>
  <c r="E62"/>
  <c r="X43"/>
  <c r="W43"/>
  <c r="V43"/>
  <c r="U43"/>
  <c r="T43"/>
  <c r="S43"/>
  <c r="R43"/>
  <c r="Q43"/>
  <c r="P43"/>
  <c r="O43"/>
  <c r="N43"/>
  <c r="M43"/>
  <c r="L43"/>
  <c r="K43"/>
  <c r="J43"/>
  <c r="I43"/>
  <c r="H43"/>
  <c r="G43"/>
  <c r="F43"/>
  <c r="E43"/>
  <c r="C16" i="4" l="1"/>
  <c r="X12" i="8"/>
  <c r="W12"/>
  <c r="V12"/>
  <c r="U12"/>
  <c r="T12"/>
  <c r="S12"/>
  <c r="R12"/>
  <c r="Q12"/>
  <c r="P12"/>
  <c r="O12"/>
  <c r="N12"/>
  <c r="M12"/>
  <c r="L12"/>
  <c r="K12"/>
  <c r="J12"/>
  <c r="I12"/>
  <c r="H12"/>
  <c r="G12"/>
  <c r="F12"/>
  <c r="E12"/>
  <c r="B26"/>
  <c r="B25"/>
  <c r="B24"/>
  <c r="B23"/>
  <c r="D39" i="5"/>
  <c r="D38"/>
  <c r="D37"/>
  <c r="D36"/>
  <c r="D35"/>
  <c r="D34"/>
  <c r="D33"/>
  <c r="D32"/>
  <c r="D31"/>
  <c r="D30"/>
  <c r="D29"/>
  <c r="D28"/>
  <c r="D22"/>
  <c r="D21"/>
  <c r="D20"/>
  <c r="D19"/>
  <c r="B8" i="3" s="1"/>
  <c r="D18" i="5"/>
  <c r="D17"/>
  <c r="D11"/>
  <c r="B6" i="3" s="1"/>
  <c r="D10" i="5"/>
  <c r="D9"/>
  <c r="D8"/>
  <c r="D7"/>
  <c r="D6"/>
  <c r="B7" i="3"/>
  <c r="A46" i="8"/>
  <c r="G5" i="16" s="1"/>
  <c r="A44" i="8"/>
  <c r="G3" i="16" s="1"/>
  <c r="A15" i="6"/>
  <c r="A14"/>
  <c r="A13"/>
  <c r="A12"/>
  <c r="A11"/>
  <c r="A10"/>
  <c r="A9"/>
  <c r="A8"/>
  <c r="C99" i="8"/>
  <c r="C46"/>
  <c r="C52" s="1"/>
  <c r="C45"/>
  <c r="C51" s="1"/>
  <c r="C44"/>
  <c r="C50" s="1"/>
  <c r="C41"/>
  <c r="C36"/>
  <c r="C32"/>
  <c r="C25"/>
  <c r="C24"/>
  <c r="C34" s="1"/>
  <c r="C23"/>
  <c r="C33" s="1"/>
  <c r="C22"/>
  <c r="A11"/>
  <c r="C9"/>
  <c r="C54" l="1"/>
  <c r="C48"/>
  <c r="B50"/>
  <c r="H9" i="16" s="1"/>
  <c r="A50" i="8"/>
  <c r="G9" i="16" s="1"/>
  <c r="B44" i="8"/>
  <c r="H3" i="16" s="1"/>
  <c r="B45" i="8"/>
  <c r="H4" i="16" s="1"/>
  <c r="B46" i="8"/>
  <c r="H5" i="16" s="1"/>
  <c r="A31" i="8"/>
  <c r="C53"/>
  <c r="C47"/>
  <c r="C55"/>
  <c r="C49"/>
  <c r="A47"/>
  <c r="G6" i="16" s="1"/>
  <c r="B47" i="8"/>
  <c r="H6" i="16" s="1"/>
  <c r="B53" i="8"/>
  <c r="H12" i="16" s="1"/>
  <c r="A21" i="8"/>
  <c r="A45"/>
  <c r="G4" i="16" s="1"/>
  <c r="A53" i="8"/>
  <c r="G12" i="16" s="1"/>
  <c r="B51" i="8" l="1"/>
  <c r="H10" i="16" s="1"/>
  <c r="A51" i="8"/>
  <c r="G10" i="16" s="1"/>
  <c r="A52" i="8"/>
  <c r="G11" i="16" s="1"/>
  <c r="B52" i="8"/>
  <c r="H11" i="16" s="1"/>
  <c r="A48" i="8"/>
  <c r="G7" i="16" s="1"/>
  <c r="B48" i="8"/>
  <c r="H7" i="16" s="1"/>
  <c r="A49" i="8"/>
  <c r="G8" i="16" s="1"/>
  <c r="B49" i="8"/>
  <c r="H8" i="16" s="1"/>
  <c r="A54" i="8"/>
  <c r="G13" i="16" s="1"/>
  <c r="B54" i="8"/>
  <c r="H13" i="16" s="1"/>
  <c r="B55" i="8"/>
  <c r="H14" i="16" s="1"/>
  <c r="A55" i="8"/>
  <c r="G14" i="16" s="1"/>
  <c r="B8" i="4" l="1"/>
  <c r="H11"/>
  <c r="J7"/>
  <c r="J12" s="1"/>
  <c r="H5"/>
  <c r="H10" s="1"/>
  <c r="H9"/>
  <c r="B5"/>
  <c r="A23"/>
  <c r="E15" i="6"/>
  <c r="E11"/>
  <c r="E12"/>
  <c r="E8"/>
  <c r="D84" i="4"/>
  <c r="D82"/>
  <c r="E63" s="1"/>
  <c r="D63"/>
  <c r="C63"/>
  <c r="B59"/>
  <c r="D44"/>
  <c r="E56" s="1"/>
  <c r="E57" s="1"/>
  <c r="B44"/>
  <c r="E58" s="1"/>
  <c r="D43"/>
  <c r="C56" s="1"/>
  <c r="C57" s="1"/>
  <c r="B43"/>
  <c r="C58" s="1"/>
  <c r="G42"/>
  <c r="B61" s="1"/>
  <c r="D42"/>
  <c r="B56" s="1"/>
  <c r="B57" s="1"/>
  <c r="B42"/>
  <c r="B58" s="1"/>
  <c r="G41"/>
  <c r="C23"/>
  <c r="B23"/>
  <c r="B15"/>
  <c r="B14"/>
  <c r="J11"/>
  <c r="J10"/>
  <c r="I6"/>
  <c r="I5" s="1"/>
  <c r="I7" s="1"/>
  <c r="I4"/>
  <c r="I9" s="1"/>
  <c r="B9" i="3"/>
  <c r="C73" i="4" l="1"/>
  <c r="D72"/>
  <c r="C72"/>
  <c r="B73"/>
  <c r="D73"/>
  <c r="B72"/>
  <c r="E9" i="6"/>
  <c r="E10"/>
  <c r="E14"/>
  <c r="E13"/>
  <c r="H7" i="4"/>
  <c r="H12" s="1"/>
  <c r="C64"/>
  <c r="D56"/>
  <c r="D57" s="1"/>
  <c r="F43"/>
  <c r="G43" s="1"/>
  <c r="C61" s="1"/>
  <c r="L10"/>
  <c r="N10" s="1"/>
  <c r="L12" s="1"/>
  <c r="D58"/>
  <c r="I10"/>
  <c r="I12"/>
  <c r="E64"/>
  <c r="B64"/>
  <c r="B65" s="1"/>
  <c r="B66" s="1"/>
  <c r="I11"/>
  <c r="J4"/>
  <c r="B63"/>
  <c r="B70" s="1"/>
  <c r="D80"/>
  <c r="F44" l="1"/>
  <c r="G44" s="1"/>
  <c r="C59"/>
  <c r="C65" s="1"/>
  <c r="C66" s="1"/>
  <c r="C70" s="1"/>
  <c r="D64"/>
  <c r="B17"/>
  <c r="B10"/>
  <c r="J9"/>
  <c r="L9" s="1"/>
  <c r="N9" s="1"/>
  <c r="L11" s="1"/>
  <c r="B16" s="1"/>
  <c r="B19"/>
  <c r="E59"/>
  <c r="E65" s="1"/>
  <c r="E66" s="1"/>
  <c r="E62"/>
  <c r="B62"/>
  <c r="B68" s="1"/>
  <c r="C62"/>
  <c r="D62"/>
  <c r="D59" l="1"/>
  <c r="D65" s="1"/>
  <c r="D66" s="1"/>
  <c r="D70" s="1"/>
  <c r="C68"/>
  <c r="B11"/>
  <c r="B18"/>
  <c r="E61"/>
  <c r="D61"/>
  <c r="E68"/>
  <c r="D68" l="1"/>
  <c r="C17"/>
  <c r="D17" s="1"/>
  <c r="C19"/>
  <c r="D19" s="1"/>
  <c r="D16" l="1"/>
  <c r="C18"/>
  <c r="D18" s="1"/>
  <c r="C10" i="6" s="1"/>
  <c r="C11"/>
  <c r="C15"/>
  <c r="C13"/>
  <c r="C9"/>
  <c r="C14" l="1"/>
  <c r="C12"/>
  <c r="C8"/>
  <c r="S63" i="8" l="1"/>
  <c r="S100" s="1"/>
  <c r="S64"/>
  <c r="R63"/>
  <c r="R100" s="1"/>
  <c r="R64"/>
  <c r="U63"/>
  <c r="U100" s="1"/>
  <c r="U64"/>
  <c r="K64"/>
  <c r="K63"/>
  <c r="K100" s="1"/>
  <c r="V64"/>
  <c r="V63"/>
  <c r="V100" s="1"/>
  <c r="O64"/>
  <c r="O63"/>
  <c r="O100" s="1"/>
  <c r="H64"/>
  <c r="H63"/>
  <c r="H100" s="1"/>
  <c r="I64"/>
  <c r="I63"/>
  <c r="I100" s="1"/>
  <c r="E64"/>
  <c r="E63"/>
  <c r="Q64"/>
  <c r="Q63"/>
  <c r="Q100" s="1"/>
  <c r="L64"/>
  <c r="L63"/>
  <c r="L100" s="1"/>
  <c r="M63"/>
  <c r="M100" s="1"/>
  <c r="M64"/>
  <c r="G64"/>
  <c r="G63"/>
  <c r="G100" s="1"/>
  <c r="J63"/>
  <c r="J100" s="1"/>
  <c r="J64"/>
  <c r="T64"/>
  <c r="T63"/>
  <c r="T100" s="1"/>
  <c r="W64"/>
  <c r="W63"/>
  <c r="W100" s="1"/>
  <c r="P64"/>
  <c r="P63"/>
  <c r="P100" s="1"/>
  <c r="N63"/>
  <c r="N100" s="1"/>
  <c r="N64"/>
  <c r="F64"/>
  <c r="F63"/>
  <c r="F100" s="1"/>
  <c r="X63"/>
  <c r="X100" s="1"/>
  <c r="X64"/>
  <c r="E100" l="1"/>
  <c r="Y100" s="1"/>
  <c r="Y63"/>
  <c r="Y64"/>
  <c r="R101"/>
  <c r="J101"/>
  <c r="M101"/>
  <c r="AA149"/>
  <c r="Q101"/>
  <c r="I101"/>
  <c r="N101"/>
  <c r="U101"/>
  <c r="F101"/>
  <c r="P101"/>
  <c r="W101"/>
  <c r="T101"/>
  <c r="L101"/>
  <c r="H101"/>
  <c r="K101"/>
  <c r="O101"/>
  <c r="X101"/>
  <c r="G101"/>
  <c r="E101"/>
  <c r="V101"/>
  <c r="S101"/>
  <c r="Y101" l="1"/>
  <c r="X68" l="1"/>
  <c r="X67"/>
  <c r="X65"/>
  <c r="X102" s="1"/>
  <c r="X66"/>
  <c r="X78"/>
  <c r="X73"/>
  <c r="X75"/>
  <c r="X77"/>
  <c r="X69"/>
  <c r="X70"/>
  <c r="X74"/>
  <c r="X71"/>
  <c r="X76"/>
  <c r="X72"/>
  <c r="O66"/>
  <c r="O65"/>
  <c r="O102" s="1"/>
  <c r="O68"/>
  <c r="O67"/>
  <c r="O77"/>
  <c r="O76"/>
  <c r="O73"/>
  <c r="O69"/>
  <c r="O72"/>
  <c r="O70"/>
  <c r="O74"/>
  <c r="O71"/>
  <c r="O78"/>
  <c r="O75"/>
  <c r="Q68"/>
  <c r="Q66"/>
  <c r="Q67"/>
  <c r="Q65"/>
  <c r="Q102" s="1"/>
  <c r="Q71"/>
  <c r="Q70"/>
  <c r="Q69"/>
  <c r="Q72"/>
  <c r="Q76"/>
  <c r="Q75"/>
  <c r="Q78"/>
  <c r="Q77"/>
  <c r="Q73"/>
  <c r="Q74"/>
  <c r="U65"/>
  <c r="U102" s="1"/>
  <c r="U66"/>
  <c r="U68"/>
  <c r="U67"/>
  <c r="U70"/>
  <c r="U74"/>
  <c r="U69"/>
  <c r="U72"/>
  <c r="U71"/>
  <c r="U108" s="1"/>
  <c r="U75"/>
  <c r="U76"/>
  <c r="U77"/>
  <c r="U73"/>
  <c r="U78"/>
  <c r="W67"/>
  <c r="W66"/>
  <c r="W65"/>
  <c r="W102" s="1"/>
  <c r="W68"/>
  <c r="W70"/>
  <c r="W76"/>
  <c r="W71"/>
  <c r="W78"/>
  <c r="W74"/>
  <c r="W72"/>
  <c r="W75"/>
  <c r="W77"/>
  <c r="W73"/>
  <c r="W69"/>
  <c r="N65"/>
  <c r="N102" s="1"/>
  <c r="N68"/>
  <c r="N67"/>
  <c r="N66"/>
  <c r="N72"/>
  <c r="N78"/>
  <c r="N73"/>
  <c r="N69"/>
  <c r="N76"/>
  <c r="N74"/>
  <c r="N77"/>
  <c r="N75"/>
  <c r="N71"/>
  <c r="N70"/>
  <c r="L67"/>
  <c r="L68"/>
  <c r="L65"/>
  <c r="L102" s="1"/>
  <c r="L66"/>
  <c r="L72"/>
  <c r="L74"/>
  <c r="L70"/>
  <c r="L77"/>
  <c r="L76"/>
  <c r="L73"/>
  <c r="L71"/>
  <c r="L69"/>
  <c r="L75"/>
  <c r="L78"/>
  <c r="V67"/>
  <c r="V66"/>
  <c r="V65"/>
  <c r="V102" s="1"/>
  <c r="V68"/>
  <c r="V69"/>
  <c r="V70"/>
  <c r="V72"/>
  <c r="V71"/>
  <c r="V78"/>
  <c r="V76"/>
  <c r="V75"/>
  <c r="V74"/>
  <c r="V73"/>
  <c r="V77"/>
  <c r="P68"/>
  <c r="P65"/>
  <c r="P102" s="1"/>
  <c r="P66"/>
  <c r="P67"/>
  <c r="P74"/>
  <c r="P77"/>
  <c r="P76"/>
  <c r="P78"/>
  <c r="P70"/>
  <c r="P73"/>
  <c r="P75"/>
  <c r="P69"/>
  <c r="P72"/>
  <c r="P71"/>
  <c r="F68"/>
  <c r="F67"/>
  <c r="F65"/>
  <c r="F102" s="1"/>
  <c r="F66"/>
  <c r="F72"/>
  <c r="F73"/>
  <c r="F76"/>
  <c r="F77"/>
  <c r="F71"/>
  <c r="F69"/>
  <c r="F70"/>
  <c r="F75"/>
  <c r="F74"/>
  <c r="F78"/>
  <c r="M66"/>
  <c r="M68"/>
  <c r="M67"/>
  <c r="M65"/>
  <c r="M102" s="1"/>
  <c r="M72"/>
  <c r="M78"/>
  <c r="M76"/>
  <c r="M71"/>
  <c r="M77"/>
  <c r="M70"/>
  <c r="M69"/>
  <c r="M73"/>
  <c r="M74"/>
  <c r="M75"/>
  <c r="E68"/>
  <c r="E65"/>
  <c r="E67"/>
  <c r="E66"/>
  <c r="E74"/>
  <c r="E76"/>
  <c r="E77"/>
  <c r="E73"/>
  <c r="E75"/>
  <c r="E72"/>
  <c r="E71"/>
  <c r="E78"/>
  <c r="E70"/>
  <c r="E69"/>
  <c r="J67"/>
  <c r="J65"/>
  <c r="J102" s="1"/>
  <c r="J66"/>
  <c r="J68"/>
  <c r="J72"/>
  <c r="J71"/>
  <c r="J76"/>
  <c r="J69"/>
  <c r="J73"/>
  <c r="J70"/>
  <c r="J77"/>
  <c r="J75"/>
  <c r="J74"/>
  <c r="J78"/>
  <c r="H67"/>
  <c r="H66"/>
  <c r="H68"/>
  <c r="H65"/>
  <c r="H102" s="1"/>
  <c r="H78"/>
  <c r="H73"/>
  <c r="H72"/>
  <c r="H69"/>
  <c r="H74"/>
  <c r="H76"/>
  <c r="H71"/>
  <c r="H75"/>
  <c r="H70"/>
  <c r="H77"/>
  <c r="I68"/>
  <c r="I65"/>
  <c r="I102" s="1"/>
  <c r="I66"/>
  <c r="I67"/>
  <c r="I69"/>
  <c r="I72"/>
  <c r="I70"/>
  <c r="I71"/>
  <c r="I76"/>
  <c r="I78"/>
  <c r="I75"/>
  <c r="I73"/>
  <c r="I77"/>
  <c r="I74"/>
  <c r="G68"/>
  <c r="G65"/>
  <c r="G102" s="1"/>
  <c r="G67"/>
  <c r="G66"/>
  <c r="G77"/>
  <c r="G73"/>
  <c r="G74"/>
  <c r="G76"/>
  <c r="G70"/>
  <c r="G75"/>
  <c r="G71"/>
  <c r="G78"/>
  <c r="G69"/>
  <c r="G72"/>
  <c r="K65"/>
  <c r="K102" s="1"/>
  <c r="K66"/>
  <c r="K68"/>
  <c r="K67"/>
  <c r="K71"/>
  <c r="K70"/>
  <c r="K76"/>
  <c r="K69"/>
  <c r="K74"/>
  <c r="K72"/>
  <c r="K77"/>
  <c r="K75"/>
  <c r="K73"/>
  <c r="K78"/>
  <c r="S67"/>
  <c r="S66"/>
  <c r="S65"/>
  <c r="S102" s="1"/>
  <c r="S68"/>
  <c r="S71"/>
  <c r="S70"/>
  <c r="S69"/>
  <c r="S75"/>
  <c r="S78"/>
  <c r="S77"/>
  <c r="S74"/>
  <c r="S72"/>
  <c r="S76"/>
  <c r="S73"/>
  <c r="R68"/>
  <c r="R66"/>
  <c r="R67"/>
  <c r="R65"/>
  <c r="R102" s="1"/>
  <c r="R74"/>
  <c r="R72"/>
  <c r="R73"/>
  <c r="R77"/>
  <c r="R69"/>
  <c r="R76"/>
  <c r="R70"/>
  <c r="R75"/>
  <c r="R71"/>
  <c r="R78"/>
  <c r="T67"/>
  <c r="T66"/>
  <c r="T68"/>
  <c r="T65"/>
  <c r="T102" s="1"/>
  <c r="T69"/>
  <c r="T73"/>
  <c r="T74"/>
  <c r="T78"/>
  <c r="T75"/>
  <c r="T70"/>
  <c r="T72"/>
  <c r="T71"/>
  <c r="T77"/>
  <c r="T76"/>
  <c r="S109" l="1"/>
  <c r="E102"/>
  <c r="Y102" s="1"/>
  <c r="Y65"/>
  <c r="Y77"/>
  <c r="Y69"/>
  <c r="Y72"/>
  <c r="Y76"/>
  <c r="Y67"/>
  <c r="Y78"/>
  <c r="Y73"/>
  <c r="Y66"/>
  <c r="Y71"/>
  <c r="Y70"/>
  <c r="Y75"/>
  <c r="Y74"/>
  <c r="Y68"/>
  <c r="R106"/>
  <c r="E106"/>
  <c r="T113"/>
  <c r="G109"/>
  <c r="H107"/>
  <c r="W110"/>
  <c r="S106"/>
  <c r="E115"/>
  <c r="V110"/>
  <c r="K109"/>
  <c r="J115"/>
  <c r="N114"/>
  <c r="N106"/>
  <c r="U115"/>
  <c r="U112"/>
  <c r="P112"/>
  <c r="N111"/>
  <c r="N103"/>
  <c r="O111"/>
  <c r="X113"/>
  <c r="P115"/>
  <c r="X109"/>
  <c r="H111"/>
  <c r="X104"/>
  <c r="T114"/>
  <c r="T107"/>
  <c r="S114"/>
  <c r="S108"/>
  <c r="S103"/>
  <c r="K112"/>
  <c r="G106"/>
  <c r="G112"/>
  <c r="K105"/>
  <c r="H110"/>
  <c r="J112"/>
  <c r="J109"/>
  <c r="M105"/>
  <c r="V113"/>
  <c r="V109"/>
  <c r="V103"/>
  <c r="F113"/>
  <c r="W104"/>
  <c r="M113"/>
  <c r="F107"/>
  <c r="T109"/>
  <c r="S105"/>
  <c r="K115"/>
  <c r="K108"/>
  <c r="I114"/>
  <c r="I108"/>
  <c r="J114"/>
  <c r="E111"/>
  <c r="M108"/>
  <c r="F111"/>
  <c r="F105"/>
  <c r="P106"/>
  <c r="V107"/>
  <c r="V105"/>
  <c r="L112"/>
  <c r="L109"/>
  <c r="N109"/>
  <c r="N105"/>
  <c r="W109"/>
  <c r="W113"/>
  <c r="U110"/>
  <c r="Q110"/>
  <c r="O108"/>
  <c r="O106"/>
  <c r="O104"/>
  <c r="X108"/>
  <c r="X115"/>
  <c r="X105"/>
  <c r="I105"/>
  <c r="J103"/>
  <c r="P104"/>
  <c r="W106"/>
  <c r="U113"/>
  <c r="U106"/>
  <c r="O115"/>
  <c r="X111"/>
  <c r="T106"/>
  <c r="R113"/>
  <c r="R103"/>
  <c r="S113"/>
  <c r="K104"/>
  <c r="G108"/>
  <c r="G111"/>
  <c r="G105"/>
  <c r="H109"/>
  <c r="H105"/>
  <c r="J111"/>
  <c r="E105"/>
  <c r="M104"/>
  <c r="P111"/>
  <c r="V112"/>
  <c r="L106"/>
  <c r="Q112"/>
  <c r="Q103"/>
  <c r="R109"/>
  <c r="H106"/>
  <c r="J106"/>
  <c r="J104"/>
  <c r="M106"/>
  <c r="F115"/>
  <c r="F108"/>
  <c r="P114"/>
  <c r="L114"/>
  <c r="L104"/>
  <c r="N112"/>
  <c r="U107"/>
  <c r="U103"/>
  <c r="Q106"/>
  <c r="Q104"/>
  <c r="O112"/>
  <c r="F114"/>
  <c r="T112"/>
  <c r="T103"/>
  <c r="R107"/>
  <c r="R114"/>
  <c r="R104"/>
  <c r="S110"/>
  <c r="K106"/>
  <c r="K113"/>
  <c r="G115"/>
  <c r="G113"/>
  <c r="I103"/>
  <c r="H112"/>
  <c r="E107"/>
  <c r="Q114"/>
  <c r="X103"/>
  <c r="T110"/>
  <c r="S111"/>
  <c r="I109"/>
  <c r="H113"/>
  <c r="M109"/>
  <c r="F109"/>
  <c r="P107"/>
  <c r="T108"/>
  <c r="T105"/>
  <c r="R112"/>
  <c r="S115"/>
  <c r="S112"/>
  <c r="S104"/>
  <c r="K114"/>
  <c r="K107"/>
  <c r="K103"/>
  <c r="G107"/>
  <c r="G110"/>
  <c r="G104"/>
  <c r="I111"/>
  <c r="I112"/>
  <c r="I113"/>
  <c r="I107"/>
  <c r="I104"/>
  <c r="H114"/>
  <c r="H108"/>
  <c r="H115"/>
  <c r="H104"/>
  <c r="J110"/>
  <c r="J113"/>
  <c r="E110"/>
  <c r="E104"/>
  <c r="M112"/>
  <c r="M114"/>
  <c r="M115"/>
  <c r="M103"/>
  <c r="F106"/>
  <c r="F110"/>
  <c r="F104"/>
  <c r="P109"/>
  <c r="P110"/>
  <c r="P103"/>
  <c r="V114"/>
  <c r="V111"/>
  <c r="V115"/>
  <c r="V106"/>
  <c r="V104"/>
  <c r="L108"/>
  <c r="L111"/>
  <c r="L105"/>
  <c r="N108"/>
  <c r="N115"/>
  <c r="N104"/>
  <c r="W112"/>
  <c r="W108"/>
  <c r="W105"/>
  <c r="U111"/>
  <c r="U105"/>
  <c r="Q111"/>
  <c r="Q115"/>
  <c r="Q109"/>
  <c r="O107"/>
  <c r="O114"/>
  <c r="O103"/>
  <c r="X107"/>
  <c r="X114"/>
  <c r="X110"/>
  <c r="R108"/>
  <c r="R110"/>
  <c r="R105"/>
  <c r="G103"/>
  <c r="I110"/>
  <c r="H103"/>
  <c r="E108"/>
  <c r="E112"/>
  <c r="E113"/>
  <c r="E103"/>
  <c r="M110"/>
  <c r="P108"/>
  <c r="P113"/>
  <c r="L115"/>
  <c r="L113"/>
  <c r="W114"/>
  <c r="W115"/>
  <c r="U104"/>
  <c r="Q113"/>
  <c r="Q108"/>
  <c r="Q105"/>
  <c r="O109"/>
  <c r="O113"/>
  <c r="X106"/>
  <c r="T115"/>
  <c r="T111"/>
  <c r="T104"/>
  <c r="R115"/>
  <c r="R111"/>
  <c r="S107"/>
  <c r="K110"/>
  <c r="K111"/>
  <c r="G114"/>
  <c r="I115"/>
  <c r="I106"/>
  <c r="J107"/>
  <c r="J108"/>
  <c r="J105"/>
  <c r="E109"/>
  <c r="E114"/>
  <c r="M111"/>
  <c r="M107"/>
  <c r="F112"/>
  <c r="F103"/>
  <c r="P105"/>
  <c r="V108"/>
  <c r="L110"/>
  <c r="L107"/>
  <c r="L103"/>
  <c r="N107"/>
  <c r="N113"/>
  <c r="N110"/>
  <c r="W111"/>
  <c r="W107"/>
  <c r="W103"/>
  <c r="U114"/>
  <c r="U109"/>
  <c r="Q107"/>
  <c r="O110"/>
  <c r="O105"/>
  <c r="X112"/>
  <c r="Y114" l="1"/>
  <c r="Y104"/>
  <c r="Y111"/>
  <c r="Y103"/>
  <c r="Y107"/>
  <c r="Y106"/>
  <c r="Y113"/>
  <c r="Y105"/>
  <c r="Y109"/>
  <c r="Y108"/>
  <c r="Y112"/>
  <c r="Y110"/>
  <c r="Y115"/>
  <c r="C7" i="10" l="1"/>
  <c r="B7" l="1"/>
  <c r="C8"/>
  <c r="B8" l="1"/>
  <c r="J79" i="8" l="1"/>
  <c r="J116" s="1"/>
  <c r="J80"/>
  <c r="F80"/>
  <c r="F79"/>
  <c r="F116" s="1"/>
  <c r="R80"/>
  <c r="R79"/>
  <c r="R116" s="1"/>
  <c r="T79"/>
  <c r="T116" s="1"/>
  <c r="T80"/>
  <c r="S80"/>
  <c r="S79"/>
  <c r="S116" s="1"/>
  <c r="V80"/>
  <c r="V79"/>
  <c r="V116" s="1"/>
  <c r="W80"/>
  <c r="W79"/>
  <c r="W116" s="1"/>
  <c r="Q79"/>
  <c r="Q116" s="1"/>
  <c r="Q80"/>
  <c r="E80"/>
  <c r="E79"/>
  <c r="X80"/>
  <c r="X79"/>
  <c r="X116" s="1"/>
  <c r="K80"/>
  <c r="K79"/>
  <c r="K116" s="1"/>
  <c r="L80"/>
  <c r="L79"/>
  <c r="L116" s="1"/>
  <c r="N79"/>
  <c r="N116" s="1"/>
  <c r="N80"/>
  <c r="G79"/>
  <c r="G116" s="1"/>
  <c r="G80"/>
  <c r="H79"/>
  <c r="H116" s="1"/>
  <c r="H80"/>
  <c r="O79"/>
  <c r="O116" s="1"/>
  <c r="O80"/>
  <c r="P80"/>
  <c r="P79"/>
  <c r="P116" s="1"/>
  <c r="M80"/>
  <c r="M79"/>
  <c r="M116" s="1"/>
  <c r="U80"/>
  <c r="U79"/>
  <c r="U116" s="1"/>
  <c r="I80"/>
  <c r="I79"/>
  <c r="I116" s="1"/>
  <c r="M117" l="1"/>
  <c r="S117"/>
  <c r="Y80"/>
  <c r="E116"/>
  <c r="Y116" s="1"/>
  <c r="Y79"/>
  <c r="G117"/>
  <c r="J117"/>
  <c r="L117"/>
  <c r="U117"/>
  <c r="O117"/>
  <c r="X117"/>
  <c r="E117"/>
  <c r="F117"/>
  <c r="Q117"/>
  <c r="I117"/>
  <c r="N117"/>
  <c r="P117"/>
  <c r="H117"/>
  <c r="K117"/>
  <c r="W117"/>
  <c r="V117"/>
  <c r="T117"/>
  <c r="R117"/>
  <c r="Y117" l="1"/>
  <c r="C6" i="10" l="1"/>
  <c r="B6" l="1"/>
  <c r="A25" i="8" l="1"/>
  <c r="A26"/>
  <c r="A23"/>
  <c r="A24"/>
  <c r="A9"/>
  <c r="A11" i="16"/>
  <c r="A7"/>
  <c r="A14"/>
  <c r="A12"/>
  <c r="A10"/>
  <c r="A6"/>
  <c r="A4"/>
  <c r="A9"/>
  <c r="A5"/>
  <c r="A3"/>
  <c r="A8"/>
  <c r="A13"/>
  <c r="Q32" i="8"/>
  <c r="V32"/>
  <c r="F32"/>
  <c r="K32"/>
  <c r="P32"/>
  <c r="U32"/>
  <c r="J32"/>
  <c r="T32"/>
  <c r="I32"/>
  <c r="S32"/>
  <c r="H32"/>
  <c r="M32"/>
  <c r="R32"/>
  <c r="W32"/>
  <c r="G32"/>
  <c r="L32"/>
  <c r="E32"/>
  <c r="O32"/>
  <c r="N32"/>
  <c r="X32"/>
  <c r="E11" i="16" l="1"/>
  <c r="E5"/>
  <c r="E8"/>
  <c r="E7"/>
  <c r="E14"/>
  <c r="E4"/>
  <c r="E3"/>
  <c r="E10"/>
  <c r="E13"/>
  <c r="E6"/>
  <c r="E9"/>
  <c r="E12"/>
  <c r="I14" i="8" l="1"/>
  <c r="P16"/>
  <c r="L13"/>
  <c r="R16"/>
  <c r="J16"/>
  <c r="J26" s="1"/>
  <c r="J36" s="1"/>
  <c r="K16"/>
  <c r="G16"/>
  <c r="O13"/>
  <c r="E14"/>
  <c r="T13"/>
  <c r="N16"/>
  <c r="L16"/>
  <c r="W13"/>
  <c r="J13"/>
  <c r="X13"/>
  <c r="I16"/>
  <c r="K13"/>
  <c r="G13"/>
  <c r="R13"/>
  <c r="X16"/>
  <c r="F16"/>
  <c r="F26" s="1"/>
  <c r="F36" s="1"/>
  <c r="O16"/>
  <c r="O26" s="1"/>
  <c r="O36" s="1"/>
  <c r="E16"/>
  <c r="Q16"/>
  <c r="M13"/>
  <c r="X14"/>
  <c r="V14"/>
  <c r="U14"/>
  <c r="E13"/>
  <c r="M16"/>
  <c r="V13"/>
  <c r="F13"/>
  <c r="W16"/>
  <c r="W26" s="1"/>
  <c r="W36" s="1"/>
  <c r="U13"/>
  <c r="V16"/>
  <c r="H16"/>
  <c r="F14"/>
  <c r="H13"/>
  <c r="R15"/>
  <c r="V15"/>
  <c r="Q14"/>
  <c r="Q24" s="1"/>
  <c r="Q34" s="1"/>
  <c r="J15"/>
  <c r="J14"/>
  <c r="I15"/>
  <c r="I25" s="1"/>
  <c r="I35" s="1"/>
  <c r="L15"/>
  <c r="L25" s="1"/>
  <c r="L35" s="1"/>
  <c r="Q15"/>
  <c r="P13"/>
  <c r="T16"/>
  <c r="N13"/>
  <c r="T15"/>
  <c r="T25" s="1"/>
  <c r="T35" s="1"/>
  <c r="P14"/>
  <c r="O15"/>
  <c r="O14"/>
  <c r="O24" s="1"/>
  <c r="O34" s="1"/>
  <c r="L14"/>
  <c r="L24" s="1"/>
  <c r="L34" s="1"/>
  <c r="S14"/>
  <c r="T14"/>
  <c r="H15"/>
  <c r="H25" s="1"/>
  <c r="H35" s="1"/>
  <c r="U16"/>
  <c r="U26" s="1"/>
  <c r="U36" s="1"/>
  <c r="S16"/>
  <c r="N14"/>
  <c r="Q13"/>
  <c r="W14"/>
  <c r="S13"/>
  <c r="G14"/>
  <c r="G24" s="1"/>
  <c r="G34" s="1"/>
  <c r="W15"/>
  <c r="W25" s="1"/>
  <c r="W35" s="1"/>
  <c r="I13"/>
  <c r="U15"/>
  <c r="M15"/>
  <c r="M14"/>
  <c r="M24" s="1"/>
  <c r="M34" s="1"/>
  <c r="H14"/>
  <c r="H24" s="1"/>
  <c r="H34" s="1"/>
  <c r="P15"/>
  <c r="E15"/>
  <c r="K14"/>
  <c r="K24" s="1"/>
  <c r="K34" s="1"/>
  <c r="K15"/>
  <c r="K25" s="1"/>
  <c r="K35" s="1"/>
  <c r="R14"/>
  <c r="F15"/>
  <c r="S15"/>
  <c r="S25" s="1"/>
  <c r="S35" s="1"/>
  <c r="N15"/>
  <c r="N25" s="1"/>
  <c r="N35" s="1"/>
  <c r="X15"/>
  <c r="G15"/>
  <c r="I24"/>
  <c r="I34" s="1"/>
  <c r="P26"/>
  <c r="P36" s="1"/>
  <c r="R26"/>
  <c r="R36" s="1"/>
  <c r="K26"/>
  <c r="K36" s="1"/>
  <c r="G26"/>
  <c r="G36" s="1"/>
  <c r="N26"/>
  <c r="N36" s="1"/>
  <c r="L26"/>
  <c r="L36" s="1"/>
  <c r="I26"/>
  <c r="I36" s="1"/>
  <c r="X26"/>
  <c r="X36" s="1"/>
  <c r="Q26"/>
  <c r="Q36" s="1"/>
  <c r="X24"/>
  <c r="X34" s="1"/>
  <c r="V24"/>
  <c r="V34" s="1"/>
  <c r="U24"/>
  <c r="U34" s="1"/>
  <c r="M26"/>
  <c r="M36" s="1"/>
  <c r="V26"/>
  <c r="V36" s="1"/>
  <c r="H26"/>
  <c r="H36" s="1"/>
  <c r="F24"/>
  <c r="F34" s="1"/>
  <c r="R25"/>
  <c r="R35" s="1"/>
  <c r="V25"/>
  <c r="V35" s="1"/>
  <c r="J25"/>
  <c r="J35" s="1"/>
  <c r="J24"/>
  <c r="J34" s="1"/>
  <c r="Q25"/>
  <c r="Q35" s="1"/>
  <c r="T26"/>
  <c r="T36" s="1"/>
  <c r="P24"/>
  <c r="P34" s="1"/>
  <c r="O25"/>
  <c r="O35" s="1"/>
  <c r="S24"/>
  <c r="S34" s="1"/>
  <c r="T24"/>
  <c r="T34" s="1"/>
  <c r="S26"/>
  <c r="S36" s="1"/>
  <c r="N24"/>
  <c r="N34" s="1"/>
  <c r="W24"/>
  <c r="W34" s="1"/>
  <c r="U25"/>
  <c r="U35" s="1"/>
  <c r="M25"/>
  <c r="M35" s="1"/>
  <c r="P25"/>
  <c r="P35" s="1"/>
  <c r="R24"/>
  <c r="R34" s="1"/>
  <c r="F25"/>
  <c r="F35" s="1"/>
  <c r="X25"/>
  <c r="X35" s="1"/>
  <c r="G25"/>
  <c r="G35" s="1"/>
  <c r="N49" l="1"/>
  <c r="T8" i="16" s="1"/>
  <c r="N55" i="8"/>
  <c r="T14" i="16" s="1"/>
  <c r="N52" i="8"/>
  <c r="T11" i="16" s="1"/>
  <c r="N46" i="8"/>
  <c r="T5" i="16" s="1"/>
  <c r="H45" i="8"/>
  <c r="H48"/>
  <c r="N7" i="16" s="1"/>
  <c r="H54" i="8"/>
  <c r="N13" i="16" s="1"/>
  <c r="H51" i="8"/>
  <c r="N10" i="16" s="1"/>
  <c r="W51" i="8"/>
  <c r="AC10" i="16" s="1"/>
  <c r="W48" i="8"/>
  <c r="AC7" i="16" s="1"/>
  <c r="W54" i="8"/>
  <c r="AC13" i="16" s="1"/>
  <c r="W45" i="8"/>
  <c r="L48"/>
  <c r="R7" i="16" s="1"/>
  <c r="L51" i="8"/>
  <c r="R10" i="16" s="1"/>
  <c r="L45" i="8"/>
  <c r="L54"/>
  <c r="R13" i="16" s="1"/>
  <c r="Q55" i="8"/>
  <c r="W14" i="16" s="1"/>
  <c r="Q49" i="8"/>
  <c r="W8" i="16" s="1"/>
  <c r="Q46" i="8"/>
  <c r="W5" i="16" s="1"/>
  <c r="Q52" i="8"/>
  <c r="W11" i="16" s="1"/>
  <c r="H18" i="8"/>
  <c r="H23"/>
  <c r="J18"/>
  <c r="J23"/>
  <c r="T18"/>
  <c r="T23"/>
  <c r="X52"/>
  <c r="AD11" i="16" s="1"/>
  <c r="X55" i="8"/>
  <c r="AD14" i="16" s="1"/>
  <c r="X49" i="8"/>
  <c r="AD8" i="16" s="1"/>
  <c r="X46" i="8"/>
  <c r="AD5" i="16" s="1"/>
  <c r="P55" i="8"/>
  <c r="V14" i="16" s="1"/>
  <c r="P49" i="8"/>
  <c r="V8" i="16" s="1"/>
  <c r="P46" i="8"/>
  <c r="V5" i="16" s="1"/>
  <c r="P52" i="8"/>
  <c r="V11" i="16" s="1"/>
  <c r="S18" i="8"/>
  <c r="S23"/>
  <c r="S48"/>
  <c r="Y7" i="16" s="1"/>
  <c r="S51" i="8"/>
  <c r="Y10" i="16" s="1"/>
  <c r="S54" i="8"/>
  <c r="Y13" i="16" s="1"/>
  <c r="S45" i="8"/>
  <c r="P18"/>
  <c r="P23"/>
  <c r="R52"/>
  <c r="X11" i="16" s="1"/>
  <c r="R55" i="8"/>
  <c r="X14" i="16" s="1"/>
  <c r="R46" i="8"/>
  <c r="X5" i="16" s="1"/>
  <c r="R49" i="8"/>
  <c r="X8" i="16" s="1"/>
  <c r="V18" i="8"/>
  <c r="V23"/>
  <c r="AA16"/>
  <c r="E26"/>
  <c r="R18"/>
  <c r="R23"/>
  <c r="S55"/>
  <c r="Y14" i="16" s="1"/>
  <c r="S46" i="8"/>
  <c r="Y5" i="16" s="1"/>
  <c r="S49" i="8"/>
  <c r="Y8" i="16" s="1"/>
  <c r="S52" i="8"/>
  <c r="Y11" i="16" s="1"/>
  <c r="K51" i="8"/>
  <c r="Q10" i="16" s="1"/>
  <c r="K45" i="8"/>
  <c r="K48"/>
  <c r="Q7" i="16" s="1"/>
  <c r="K54" i="8"/>
  <c r="Q13" i="16" s="1"/>
  <c r="M54" i="8"/>
  <c r="S13" i="16" s="1"/>
  <c r="M48" i="8"/>
  <c r="S7" i="16" s="1"/>
  <c r="M51" i="8"/>
  <c r="S10" i="16" s="1"/>
  <c r="M45" i="8"/>
  <c r="W55"/>
  <c r="AC14" i="16" s="1"/>
  <c r="W46" i="8"/>
  <c r="AC5" i="16" s="1"/>
  <c r="W49" i="8"/>
  <c r="AC8" i="16" s="1"/>
  <c r="W52" i="8"/>
  <c r="AC11" i="16" s="1"/>
  <c r="Q18" i="8"/>
  <c r="Q23"/>
  <c r="H52"/>
  <c r="N11" i="16" s="1"/>
  <c r="H55" i="8"/>
  <c r="N14" i="16" s="1"/>
  <c r="H46" i="8"/>
  <c r="N5" i="16" s="1"/>
  <c r="H49" i="8"/>
  <c r="N8" i="16" s="1"/>
  <c r="O51" i="8"/>
  <c r="U10" i="16" s="1"/>
  <c r="O45" i="8"/>
  <c r="O54"/>
  <c r="U13" i="16" s="1"/>
  <c r="O48" i="8"/>
  <c r="U7" i="16" s="1"/>
  <c r="N18" i="8"/>
  <c r="N23"/>
  <c r="L46"/>
  <c r="R5" i="16" s="1"/>
  <c r="L52" i="8"/>
  <c r="R11" i="16" s="1"/>
  <c r="L49" i="8"/>
  <c r="R8" i="16" s="1"/>
  <c r="L55" i="8"/>
  <c r="R14" i="16" s="1"/>
  <c r="Q54" i="8"/>
  <c r="W13" i="16" s="1"/>
  <c r="Q48" i="8"/>
  <c r="W7" i="16" s="1"/>
  <c r="Q51" i="8"/>
  <c r="W10" i="16" s="1"/>
  <c r="Q45" i="8"/>
  <c r="F54"/>
  <c r="L13" i="16" s="1"/>
  <c r="F48" i="8"/>
  <c r="L7" i="16" s="1"/>
  <c r="F45" i="8"/>
  <c r="F51"/>
  <c r="L10" i="16" s="1"/>
  <c r="AA13" i="8"/>
  <c r="E18"/>
  <c r="E23"/>
  <c r="M18"/>
  <c r="M23"/>
  <c r="K18"/>
  <c r="K23"/>
  <c r="W18"/>
  <c r="W23"/>
  <c r="AA14"/>
  <c r="E24"/>
  <c r="I54"/>
  <c r="O13" i="16" s="1"/>
  <c r="I48" i="8"/>
  <c r="O7" i="16" s="1"/>
  <c r="I45" i="8"/>
  <c r="I51"/>
  <c r="O10" i="16" s="1"/>
  <c r="K46" i="8"/>
  <c r="Q5" i="16" s="1"/>
  <c r="K52" i="8"/>
  <c r="Q11" i="16" s="1"/>
  <c r="K49" i="8"/>
  <c r="Q8" i="16" s="1"/>
  <c r="K55" i="8"/>
  <c r="Q14" i="16" s="1"/>
  <c r="I18" i="8"/>
  <c r="I23"/>
  <c r="T55"/>
  <c r="Z14" i="16" s="1"/>
  <c r="T46" i="8"/>
  <c r="Z5" i="16" s="1"/>
  <c r="T49" i="8"/>
  <c r="Z8" i="16" s="1"/>
  <c r="T52" i="8"/>
  <c r="Z11" i="16" s="1"/>
  <c r="J49" i="8"/>
  <c r="P8" i="16" s="1"/>
  <c r="J46" i="8"/>
  <c r="P5" i="16" s="1"/>
  <c r="J55" i="8"/>
  <c r="P14" i="16" s="1"/>
  <c r="J52" i="8"/>
  <c r="P11" i="16" s="1"/>
  <c r="U18" i="8"/>
  <c r="U23"/>
  <c r="X48"/>
  <c r="AD7" i="16" s="1"/>
  <c r="X54" i="8"/>
  <c r="AD13" i="16" s="1"/>
  <c r="X45" i="8"/>
  <c r="X51"/>
  <c r="AD10" i="16" s="1"/>
  <c r="G18" i="8"/>
  <c r="G23"/>
  <c r="R48"/>
  <c r="X7" i="16" s="1"/>
  <c r="R54" i="8"/>
  <c r="X13" i="16" s="1"/>
  <c r="R45" i="8"/>
  <c r="R51"/>
  <c r="X10" i="16" s="1"/>
  <c r="U49" i="8"/>
  <c r="AA8" i="16" s="1"/>
  <c r="U52" i="8"/>
  <c r="AA11" i="16" s="1"/>
  <c r="U55" i="8"/>
  <c r="AA14" i="16" s="1"/>
  <c r="U46" i="8"/>
  <c r="AA5" i="16" s="1"/>
  <c r="P51" i="8"/>
  <c r="V10" i="16" s="1"/>
  <c r="P45" i="8"/>
  <c r="P48"/>
  <c r="V7" i="16" s="1"/>
  <c r="P54" i="8"/>
  <c r="V13" i="16" s="1"/>
  <c r="J45" i="8"/>
  <c r="J51"/>
  <c r="P10" i="16" s="1"/>
  <c r="J48" i="8"/>
  <c r="P7" i="16" s="1"/>
  <c r="J54" i="8"/>
  <c r="P13" i="16" s="1"/>
  <c r="V48" i="8"/>
  <c r="AB7" i="16" s="1"/>
  <c r="V54" i="8"/>
  <c r="AB13" i="16" s="1"/>
  <c r="V45" i="8"/>
  <c r="V51"/>
  <c r="AB10" i="16" s="1"/>
  <c r="X18" i="8"/>
  <c r="X23"/>
  <c r="L18"/>
  <c r="L23"/>
  <c r="G46"/>
  <c r="M5" i="16" s="1"/>
  <c r="G55" i="8"/>
  <c r="M14" i="16" s="1"/>
  <c r="G49" i="8"/>
  <c r="M8" i="16" s="1"/>
  <c r="G52" i="8"/>
  <c r="M11" i="16" s="1"/>
  <c r="F55" i="8"/>
  <c r="L14" i="16" s="1"/>
  <c r="F52" i="8"/>
  <c r="L11" i="16" s="1"/>
  <c r="F49" i="8"/>
  <c r="L8" i="16" s="1"/>
  <c r="F46" i="8"/>
  <c r="L5" i="16" s="1"/>
  <c r="AA15" i="8"/>
  <c r="E25"/>
  <c r="M46"/>
  <c r="S5" i="16" s="1"/>
  <c r="M55" i="8"/>
  <c r="S14" i="16" s="1"/>
  <c r="M49" i="8"/>
  <c r="S8" i="16" s="1"/>
  <c r="M52" i="8"/>
  <c r="S11" i="16" s="1"/>
  <c r="G45" i="8"/>
  <c r="G51"/>
  <c r="M10" i="16" s="1"/>
  <c r="G48" i="8"/>
  <c r="M7" i="16" s="1"/>
  <c r="G54" i="8"/>
  <c r="M13" i="16" s="1"/>
  <c r="N54" i="8"/>
  <c r="T13" i="16" s="1"/>
  <c r="N45" i="8"/>
  <c r="N48"/>
  <c r="T7" i="16" s="1"/>
  <c r="N51" i="8"/>
  <c r="T10" i="16" s="1"/>
  <c r="T51" i="8"/>
  <c r="Z10" i="16" s="1"/>
  <c r="T45" i="8"/>
  <c r="T48"/>
  <c r="Z7" i="16" s="1"/>
  <c r="T54" i="8"/>
  <c r="Z13" i="16" s="1"/>
  <c r="O52" i="8"/>
  <c r="U11" i="16" s="1"/>
  <c r="O49" i="8"/>
  <c r="U8" i="16" s="1"/>
  <c r="O46" i="8"/>
  <c r="U5" i="16" s="1"/>
  <c r="O55" i="8"/>
  <c r="U14" i="16" s="1"/>
  <c r="I49" i="8"/>
  <c r="O8" i="16" s="1"/>
  <c r="I52" i="8"/>
  <c r="O11" i="16" s="1"/>
  <c r="I46" i="8"/>
  <c r="O5" i="16" s="1"/>
  <c r="I55" i="8"/>
  <c r="O14" i="16" s="1"/>
  <c r="V52" i="8"/>
  <c r="AB11" i="16" s="1"/>
  <c r="V55" i="8"/>
  <c r="AB14" i="16" s="1"/>
  <c r="V46" i="8"/>
  <c r="AB5" i="16" s="1"/>
  <c r="V49" i="8"/>
  <c r="AB8" i="16" s="1"/>
  <c r="F18" i="8"/>
  <c r="F23"/>
  <c r="U45"/>
  <c r="U51"/>
  <c r="AA10" i="16" s="1"/>
  <c r="U48" i="8"/>
  <c r="AA7" i="16" s="1"/>
  <c r="U54" i="8"/>
  <c r="AA13" i="16" s="1"/>
  <c r="O18" i="8"/>
  <c r="O23"/>
  <c r="T4" i="16" l="1"/>
  <c r="N82" i="8"/>
  <c r="N119" s="1"/>
  <c r="N81"/>
  <c r="N118" s="1"/>
  <c r="L33"/>
  <c r="L28"/>
  <c r="I28"/>
  <c r="I33"/>
  <c r="W28"/>
  <c r="W33"/>
  <c r="M33"/>
  <c r="M28"/>
  <c r="X81"/>
  <c r="X118" s="1"/>
  <c r="AD4" i="16"/>
  <c r="X82" i="8"/>
  <c r="X119" s="1"/>
  <c r="I81"/>
  <c r="I118" s="1"/>
  <c r="O4" i="16"/>
  <c r="I82" i="8"/>
  <c r="I119" s="1"/>
  <c r="K82"/>
  <c r="K119" s="1"/>
  <c r="Q4" i="16"/>
  <c r="K81" i="8"/>
  <c r="K118" s="1"/>
  <c r="P28"/>
  <c r="P33"/>
  <c r="O28"/>
  <c r="O33"/>
  <c r="AA25"/>
  <c r="E35"/>
  <c r="X28"/>
  <c r="X33"/>
  <c r="V4" i="16"/>
  <c r="P82" i="8"/>
  <c r="P119" s="1"/>
  <c r="P81"/>
  <c r="P118" s="1"/>
  <c r="U28"/>
  <c r="U33"/>
  <c r="AA24"/>
  <c r="E34"/>
  <c r="K28"/>
  <c r="K33"/>
  <c r="E33"/>
  <c r="E28"/>
  <c r="AA23"/>
  <c r="F82"/>
  <c r="F119" s="1"/>
  <c r="F81"/>
  <c r="F118" s="1"/>
  <c r="L4" i="16"/>
  <c r="R4"/>
  <c r="L81" i="8"/>
  <c r="L118" s="1"/>
  <c r="L82"/>
  <c r="AA18"/>
  <c r="F33"/>
  <c r="F28"/>
  <c r="T82"/>
  <c r="T119" s="1"/>
  <c r="T81"/>
  <c r="T118" s="1"/>
  <c r="Z4" i="16"/>
  <c r="G28" i="8"/>
  <c r="G33"/>
  <c r="N4" i="16"/>
  <c r="H81" i="8"/>
  <c r="H118" s="1"/>
  <c r="H82"/>
  <c r="H119" s="1"/>
  <c r="U82"/>
  <c r="U119" s="1"/>
  <c r="AA4" i="16"/>
  <c r="U81" i="8"/>
  <c r="U118" s="1"/>
  <c r="J82"/>
  <c r="J119" s="1"/>
  <c r="P4" i="16"/>
  <c r="J81" i="8"/>
  <c r="J118" s="1"/>
  <c r="Q33"/>
  <c r="Q28"/>
  <c r="AA26"/>
  <c r="E36"/>
  <c r="AA36" s="1"/>
  <c r="T28"/>
  <c r="T33"/>
  <c r="H33"/>
  <c r="H28"/>
  <c r="M4" i="16"/>
  <c r="G82" i="8"/>
  <c r="G119" s="1"/>
  <c r="G81"/>
  <c r="G118" s="1"/>
  <c r="V82"/>
  <c r="AB4" i="16"/>
  <c r="V81" i="8"/>
  <c r="V118" s="1"/>
  <c r="X4" i="16"/>
  <c r="R82" i="8"/>
  <c r="R81"/>
  <c r="R118" s="1"/>
  <c r="Q82"/>
  <c r="Q119" s="1"/>
  <c r="W4" i="16"/>
  <c r="Q81" i="8"/>
  <c r="Q118" s="1"/>
  <c r="N28"/>
  <c r="N33"/>
  <c r="O82"/>
  <c r="O119" s="1"/>
  <c r="O81"/>
  <c r="O118" s="1"/>
  <c r="U4" i="16"/>
  <c r="M82" i="8"/>
  <c r="M119" s="1"/>
  <c r="M81"/>
  <c r="M118" s="1"/>
  <c r="S4" i="16"/>
  <c r="R28" i="8"/>
  <c r="R33"/>
  <c r="V28"/>
  <c r="V33"/>
  <c r="Y4" i="16"/>
  <c r="S82" i="8"/>
  <c r="S119" s="1"/>
  <c r="S81"/>
  <c r="S118" s="1"/>
  <c r="S28"/>
  <c r="S33"/>
  <c r="J33"/>
  <c r="J28"/>
  <c r="W81"/>
  <c r="W118" s="1"/>
  <c r="AC4" i="16"/>
  <c r="W82" i="8"/>
  <c r="W119" s="1"/>
  <c r="R38" l="1"/>
  <c r="R44"/>
  <c r="R47"/>
  <c r="X6" i="16" s="1"/>
  <c r="R50" i="8"/>
  <c r="X9" i="16" s="1"/>
  <c r="R53" i="8"/>
  <c r="X12" i="16" s="1"/>
  <c r="W38" i="8"/>
  <c r="W50"/>
  <c r="AC9" i="16" s="1"/>
  <c r="W44" i="8"/>
  <c r="W53"/>
  <c r="AC12" i="16" s="1"/>
  <c r="W47" i="8"/>
  <c r="AC6" i="16" s="1"/>
  <c r="G50" i="8"/>
  <c r="M9" i="16" s="1"/>
  <c r="G53" i="8"/>
  <c r="M12" i="16" s="1"/>
  <c r="G38" i="8"/>
  <c r="G44"/>
  <c r="G47"/>
  <c r="M6" i="16" s="1"/>
  <c r="AA35" i="8"/>
  <c r="E52"/>
  <c r="E46"/>
  <c r="E49"/>
  <c r="E55"/>
  <c r="P53"/>
  <c r="V12" i="16" s="1"/>
  <c r="P38" i="8"/>
  <c r="P44"/>
  <c r="P50"/>
  <c r="V9" i="16" s="1"/>
  <c r="P47" i="8"/>
  <c r="V6" i="16" s="1"/>
  <c r="M53" i="8"/>
  <c r="S12" i="16" s="1"/>
  <c r="M38" i="8"/>
  <c r="M44"/>
  <c r="M50"/>
  <c r="S9" i="16" s="1"/>
  <c r="M47" i="8"/>
  <c r="S6" i="16" s="1"/>
  <c r="V38" i="8"/>
  <c r="V44"/>
  <c r="V53"/>
  <c r="AB12" i="16" s="1"/>
  <c r="V47" i="8"/>
  <c r="AB6" i="16" s="1"/>
  <c r="V50" i="8"/>
  <c r="AB9" i="16" s="1"/>
  <c r="AA34" i="8"/>
  <c r="E51"/>
  <c r="E45"/>
  <c r="E48"/>
  <c r="E54"/>
  <c r="I44"/>
  <c r="I38"/>
  <c r="I50"/>
  <c r="O9" i="16" s="1"/>
  <c r="I47" i="8"/>
  <c r="O6" i="16" s="1"/>
  <c r="I53" i="8"/>
  <c r="O12" i="16" s="1"/>
  <c r="L119" i="8"/>
  <c r="R119"/>
  <c r="V119"/>
  <c r="AA28"/>
  <c r="J53"/>
  <c r="P12" i="16" s="1"/>
  <c r="J47" i="8"/>
  <c r="P6" i="16" s="1"/>
  <c r="J38" i="8"/>
  <c r="J50"/>
  <c r="P9" i="16" s="1"/>
  <c r="J44" i="8"/>
  <c r="N47"/>
  <c r="T6" i="16" s="1"/>
  <c r="N53" i="8"/>
  <c r="T12" i="16" s="1"/>
  <c r="N38" i="8"/>
  <c r="N44"/>
  <c r="N50"/>
  <c r="T9" i="16" s="1"/>
  <c r="T38" i="8"/>
  <c r="T50"/>
  <c r="Z9" i="16" s="1"/>
  <c r="T47" i="8"/>
  <c r="Z6" i="16" s="1"/>
  <c r="T44" i="8"/>
  <c r="T53"/>
  <c r="Z12" i="16" s="1"/>
  <c r="K38" i="8"/>
  <c r="K44"/>
  <c r="K47"/>
  <c r="Q6" i="16" s="1"/>
  <c r="K53" i="8"/>
  <c r="Q12" i="16" s="1"/>
  <c r="K50" i="8"/>
  <c r="Q9" i="16" s="1"/>
  <c r="U53" i="8"/>
  <c r="AA12" i="16" s="1"/>
  <c r="U44" i="8"/>
  <c r="U47"/>
  <c r="AA6" i="16" s="1"/>
  <c r="U38" i="8"/>
  <c r="U50"/>
  <c r="AA9" i="16" s="1"/>
  <c r="H44" i="8"/>
  <c r="H38"/>
  <c r="H50"/>
  <c r="N9" i="16" s="1"/>
  <c r="H53" i="8"/>
  <c r="N12" i="16" s="1"/>
  <c r="H47" i="8"/>
  <c r="N6" i="16" s="1"/>
  <c r="E53" i="8"/>
  <c r="E38"/>
  <c r="E50"/>
  <c r="E47"/>
  <c r="AA33"/>
  <c r="E44"/>
  <c r="S53"/>
  <c r="Y12" i="16" s="1"/>
  <c r="S50" i="8"/>
  <c r="Y9" i="16" s="1"/>
  <c r="S47" i="8"/>
  <c r="Y6" i="16" s="1"/>
  <c r="S38" i="8"/>
  <c r="S44"/>
  <c r="Q38"/>
  <c r="Q44"/>
  <c r="Q47"/>
  <c r="W6" i="16" s="1"/>
  <c r="Q50" i="8"/>
  <c r="W9" i="16" s="1"/>
  <c r="Q53" i="8"/>
  <c r="W12" i="16" s="1"/>
  <c r="F47" i="8"/>
  <c r="L6" i="16" s="1"/>
  <c r="F53" i="8"/>
  <c r="L12" i="16" s="1"/>
  <c r="F38" i="8"/>
  <c r="F50"/>
  <c r="L9" i="16" s="1"/>
  <c r="F44" i="8"/>
  <c r="X47"/>
  <c r="AD6" i="16" s="1"/>
  <c r="X50" i="8"/>
  <c r="AD9" i="16" s="1"/>
  <c r="X53" i="8"/>
  <c r="AD12" i="16" s="1"/>
  <c r="X38" i="8"/>
  <c r="X44"/>
  <c r="O50"/>
  <c r="U9" i="16" s="1"/>
  <c r="O53" i="8"/>
  <c r="U12" i="16" s="1"/>
  <c r="O38" i="8"/>
  <c r="O44"/>
  <c r="O47"/>
  <c r="U6" i="16" s="1"/>
  <c r="L38" i="8"/>
  <c r="L50"/>
  <c r="R9" i="16" s="1"/>
  <c r="L44" i="8"/>
  <c r="L47"/>
  <c r="R6" i="16" s="1"/>
  <c r="L53" i="8"/>
  <c r="R12" i="16" s="1"/>
  <c r="Y47" i="8" l="1"/>
  <c r="AE6" i="16" s="1"/>
  <c r="K6"/>
  <c r="AA47" i="8"/>
  <c r="H90"/>
  <c r="H92"/>
  <c r="H83"/>
  <c r="H120" s="1"/>
  <c r="H84"/>
  <c r="H94"/>
  <c r="H88"/>
  <c r="H125" s="1"/>
  <c r="H87"/>
  <c r="H124" s="1"/>
  <c r="H85"/>
  <c r="H122" s="1"/>
  <c r="H86"/>
  <c r="H123" s="1"/>
  <c r="N3" i="16"/>
  <c r="H89" i="8"/>
  <c r="H93"/>
  <c r="H57"/>
  <c r="H91"/>
  <c r="H128" s="1"/>
  <c r="M3" i="16"/>
  <c r="G94" i="8"/>
  <c r="G88"/>
  <c r="G86"/>
  <c r="G123" s="1"/>
  <c r="G92"/>
  <c r="G87"/>
  <c r="G85"/>
  <c r="G90"/>
  <c r="G127" s="1"/>
  <c r="G91"/>
  <c r="G89"/>
  <c r="G126" s="1"/>
  <c r="G57"/>
  <c r="G84"/>
  <c r="G121" s="1"/>
  <c r="G93"/>
  <c r="G130" s="1"/>
  <c r="G83"/>
  <c r="G120" s="1"/>
  <c r="R91"/>
  <c r="R87"/>
  <c r="R85"/>
  <c r="X3" i="16"/>
  <c r="R88" i="8"/>
  <c r="R86"/>
  <c r="R123" s="1"/>
  <c r="R83"/>
  <c r="R120" s="1"/>
  <c r="R57"/>
  <c r="R93"/>
  <c r="R92"/>
  <c r="R129" s="1"/>
  <c r="R94"/>
  <c r="R131" s="1"/>
  <c r="R89"/>
  <c r="R126" s="1"/>
  <c r="R90"/>
  <c r="R127" s="1"/>
  <c r="R84"/>
  <c r="R121" s="1"/>
  <c r="Y49"/>
  <c r="AE8" i="16" s="1"/>
  <c r="K8"/>
  <c r="AA49" i="8"/>
  <c r="S57"/>
  <c r="S85"/>
  <c r="S122" s="1"/>
  <c r="S90"/>
  <c r="S87"/>
  <c r="S88"/>
  <c r="S125" s="1"/>
  <c r="S86"/>
  <c r="S123" s="1"/>
  <c r="S93"/>
  <c r="Y3" i="16"/>
  <c r="S91" i="8"/>
  <c r="S128" s="1"/>
  <c r="S92"/>
  <c r="S84"/>
  <c r="S83"/>
  <c r="S120" s="1"/>
  <c r="S89"/>
  <c r="S126" s="1"/>
  <c r="S94"/>
  <c r="S131" s="1"/>
  <c r="K9" i="16"/>
  <c r="AA50" i="8"/>
  <c r="Y50"/>
  <c r="AE9" i="16" s="1"/>
  <c r="K85" i="8"/>
  <c r="K122" s="1"/>
  <c r="K88"/>
  <c r="K91"/>
  <c r="K86"/>
  <c r="K123" s="1"/>
  <c r="K87"/>
  <c r="Q3" i="16"/>
  <c r="K93" i="8"/>
  <c r="K83"/>
  <c r="K120" s="1"/>
  <c r="K89"/>
  <c r="K126" s="1"/>
  <c r="K84"/>
  <c r="K92"/>
  <c r="K129" s="1"/>
  <c r="K94"/>
  <c r="K131" s="1"/>
  <c r="K57"/>
  <c r="K90"/>
  <c r="N91"/>
  <c r="N94"/>
  <c r="N131" s="1"/>
  <c r="N89"/>
  <c r="N126" s="1"/>
  <c r="N92"/>
  <c r="N90"/>
  <c r="N86"/>
  <c r="N123" s="1"/>
  <c r="N83"/>
  <c r="N120" s="1"/>
  <c r="N57"/>
  <c r="T3" i="16"/>
  <c r="N87" i="8"/>
  <c r="N124" s="1"/>
  <c r="N85"/>
  <c r="N122" s="1"/>
  <c r="N84"/>
  <c r="N88"/>
  <c r="N93"/>
  <c r="N130" s="1"/>
  <c r="J57"/>
  <c r="J93"/>
  <c r="J86"/>
  <c r="J83"/>
  <c r="J120" s="1"/>
  <c r="J94"/>
  <c r="J91"/>
  <c r="J88"/>
  <c r="P3" i="16"/>
  <c r="J89" i="8"/>
  <c r="J126" s="1"/>
  <c r="J90"/>
  <c r="J92"/>
  <c r="J129" s="1"/>
  <c r="J85"/>
  <c r="J122" s="1"/>
  <c r="J84"/>
  <c r="J87"/>
  <c r="J124" s="1"/>
  <c r="I57"/>
  <c r="I83"/>
  <c r="I120" s="1"/>
  <c r="I90"/>
  <c r="I127" s="1"/>
  <c r="I88"/>
  <c r="I84"/>
  <c r="O3" i="16"/>
  <c r="I87" i="8"/>
  <c r="I124" s="1"/>
  <c r="I91"/>
  <c r="I89"/>
  <c r="I126" s="1"/>
  <c r="I92"/>
  <c r="I129" s="1"/>
  <c r="I94"/>
  <c r="I85"/>
  <c r="I122" s="1"/>
  <c r="I86"/>
  <c r="I123" s="1"/>
  <c r="I93"/>
  <c r="I130" s="1"/>
  <c r="K10" i="16"/>
  <c r="AA51" i="8"/>
  <c r="Y51"/>
  <c r="AE10" i="16" s="1"/>
  <c r="K11"/>
  <c r="AA52" i="8"/>
  <c r="Y52"/>
  <c r="AE11" i="16" s="1"/>
  <c r="U57" i="8"/>
  <c r="U90"/>
  <c r="U127" s="1"/>
  <c r="U93"/>
  <c r="U83"/>
  <c r="U120" s="1"/>
  <c r="AA3" i="16"/>
  <c r="U92" i="8"/>
  <c r="U129" s="1"/>
  <c r="U87"/>
  <c r="U124" s="1"/>
  <c r="U89"/>
  <c r="U126" s="1"/>
  <c r="U88"/>
  <c r="U94"/>
  <c r="U131" s="1"/>
  <c r="U91"/>
  <c r="U85"/>
  <c r="U86"/>
  <c r="U84"/>
  <c r="U121" s="1"/>
  <c r="T57"/>
  <c r="Z3" i="16"/>
  <c r="T89" i="8"/>
  <c r="T86"/>
  <c r="T123" s="1"/>
  <c r="T84"/>
  <c r="T121" s="1"/>
  <c r="T85"/>
  <c r="T87"/>
  <c r="T92"/>
  <c r="T88"/>
  <c r="T125" s="1"/>
  <c r="T93"/>
  <c r="T83"/>
  <c r="T120" s="1"/>
  <c r="T91"/>
  <c r="T128" s="1"/>
  <c r="T90"/>
  <c r="T127" s="1"/>
  <c r="T94"/>
  <c r="T131" s="1"/>
  <c r="Y45"/>
  <c r="AE4" i="16" s="1"/>
  <c r="K4"/>
  <c r="E82" i="8"/>
  <c r="E81"/>
  <c r="AA45"/>
  <c r="K5" i="16"/>
  <c r="AA46" i="8"/>
  <c r="Y46"/>
  <c r="AE5" i="16" s="1"/>
  <c r="F57" i="8"/>
  <c r="F94"/>
  <c r="F131" s="1"/>
  <c r="F89"/>
  <c r="F126" s="1"/>
  <c r="F90"/>
  <c r="F87"/>
  <c r="L3" i="16"/>
  <c r="F84" i="8"/>
  <c r="F121" s="1"/>
  <c r="F93"/>
  <c r="F83"/>
  <c r="F120" s="1"/>
  <c r="F86"/>
  <c r="F123" s="1"/>
  <c r="F85"/>
  <c r="F122" s="1"/>
  <c r="F92"/>
  <c r="F88"/>
  <c r="F125" s="1"/>
  <c r="F91"/>
  <c r="F128" s="1"/>
  <c r="W3" i="16"/>
  <c r="Q84" i="8"/>
  <c r="Q90"/>
  <c r="Q83"/>
  <c r="Q120" s="1"/>
  <c r="Q92"/>
  <c r="Q94"/>
  <c r="Q93"/>
  <c r="Q91"/>
  <c r="Q128" s="1"/>
  <c r="Q88"/>
  <c r="Q85"/>
  <c r="Q122" s="1"/>
  <c r="Q57"/>
  <c r="Q87"/>
  <c r="Q124" s="1"/>
  <c r="Q89"/>
  <c r="Q126" s="1"/>
  <c r="Q86"/>
  <c r="Q123" s="1"/>
  <c r="AA53"/>
  <c r="K12" i="16"/>
  <c r="Y53" i="8"/>
  <c r="AE12" i="16" s="1"/>
  <c r="AA48" i="8"/>
  <c r="Y48"/>
  <c r="AE7" i="16" s="1"/>
  <c r="K7"/>
  <c r="P57" i="8"/>
  <c r="P93"/>
  <c r="P90"/>
  <c r="P86"/>
  <c r="P123" s="1"/>
  <c r="P83"/>
  <c r="P120" s="1"/>
  <c r="P94"/>
  <c r="P91"/>
  <c r="P128" s="1"/>
  <c r="P89"/>
  <c r="P126" s="1"/>
  <c r="P92"/>
  <c r="P129" s="1"/>
  <c r="P84"/>
  <c r="V3" i="16"/>
  <c r="P87" i="8"/>
  <c r="P124" s="1"/>
  <c r="P85"/>
  <c r="P122" s="1"/>
  <c r="P88"/>
  <c r="R3" i="16"/>
  <c r="L89" i="8"/>
  <c r="L83"/>
  <c r="L120" s="1"/>
  <c r="L90"/>
  <c r="L57"/>
  <c r="L87"/>
  <c r="L124" s="1"/>
  <c r="L93"/>
  <c r="L130" s="1"/>
  <c r="L92"/>
  <c r="L129" s="1"/>
  <c r="L91"/>
  <c r="L94"/>
  <c r="L131" s="1"/>
  <c r="L86"/>
  <c r="L123" s="1"/>
  <c r="L85"/>
  <c r="L122" s="1"/>
  <c r="L84"/>
  <c r="L88"/>
  <c r="L125" s="1"/>
  <c r="O88"/>
  <c r="O125" s="1"/>
  <c r="O91"/>
  <c r="O90"/>
  <c r="O89"/>
  <c r="O126" s="1"/>
  <c r="O93"/>
  <c r="O94"/>
  <c r="O87"/>
  <c r="O84"/>
  <c r="O121" s="1"/>
  <c r="O92"/>
  <c r="O129" s="1"/>
  <c r="O57"/>
  <c r="U3" i="16"/>
  <c r="O85" i="8"/>
  <c r="O122" s="1"/>
  <c r="O83"/>
  <c r="O120" s="1"/>
  <c r="O86"/>
  <c r="AD3" i="16"/>
  <c r="X86" i="8"/>
  <c r="X123" s="1"/>
  <c r="X93"/>
  <c r="X90"/>
  <c r="X87"/>
  <c r="X88"/>
  <c r="X125" s="1"/>
  <c r="X94"/>
  <c r="X131" s="1"/>
  <c r="X83"/>
  <c r="X120" s="1"/>
  <c r="X85"/>
  <c r="X89"/>
  <c r="X92"/>
  <c r="X57"/>
  <c r="X84"/>
  <c r="X91"/>
  <c r="X128" s="1"/>
  <c r="E83"/>
  <c r="E89"/>
  <c r="E85"/>
  <c r="E91"/>
  <c r="E84"/>
  <c r="E94"/>
  <c r="Y44"/>
  <c r="AA44"/>
  <c r="B57" s="1"/>
  <c r="E57"/>
  <c r="E93"/>
  <c r="E86"/>
  <c r="E87"/>
  <c r="E92"/>
  <c r="E88"/>
  <c r="K3" i="16"/>
  <c r="E90" i="8"/>
  <c r="AA54"/>
  <c r="Y54"/>
  <c r="AE13" i="16" s="1"/>
  <c r="K13"/>
  <c r="V87" i="8"/>
  <c r="V124" s="1"/>
  <c r="V93"/>
  <c r="V130" s="1"/>
  <c r="V92"/>
  <c r="V57"/>
  <c r="AB3" i="16"/>
  <c r="V85" i="8"/>
  <c r="V91"/>
  <c r="V88"/>
  <c r="V90"/>
  <c r="V127" s="1"/>
  <c r="V84"/>
  <c r="V94"/>
  <c r="V89"/>
  <c r="V126" s="1"/>
  <c r="V83"/>
  <c r="V120" s="1"/>
  <c r="V86"/>
  <c r="V123" s="1"/>
  <c r="M57"/>
  <c r="S3" i="16"/>
  <c r="M89" i="8"/>
  <c r="M90"/>
  <c r="M93"/>
  <c r="M86"/>
  <c r="M88"/>
  <c r="M125" s="1"/>
  <c r="M91"/>
  <c r="M128" s="1"/>
  <c r="M92"/>
  <c r="M87"/>
  <c r="M124" s="1"/>
  <c r="M84"/>
  <c r="M121" s="1"/>
  <c r="M85"/>
  <c r="M94"/>
  <c r="M83"/>
  <c r="M120" s="1"/>
  <c r="Y55"/>
  <c r="AE14" i="16" s="1"/>
  <c r="K14"/>
  <c r="AA55" i="8"/>
  <c r="W86"/>
  <c r="W85"/>
  <c r="W122" s="1"/>
  <c r="W93"/>
  <c r="W130" s="1"/>
  <c r="W87"/>
  <c r="W89"/>
  <c r="W57"/>
  <c r="AC3" i="16"/>
  <c r="W83" i="8"/>
  <c r="W120" s="1"/>
  <c r="W84"/>
  <c r="W90"/>
  <c r="W127" s="1"/>
  <c r="W88"/>
  <c r="W125" s="1"/>
  <c r="W92"/>
  <c r="W91"/>
  <c r="W94"/>
  <c r="W131" s="1"/>
  <c r="AA38"/>
  <c r="X126" l="1"/>
  <c r="W129"/>
  <c r="W124"/>
  <c r="M131"/>
  <c r="O128"/>
  <c r="S121"/>
  <c r="E124"/>
  <c r="Y87"/>
  <c r="E129"/>
  <c r="Y92"/>
  <c r="AA57"/>
  <c r="Y82"/>
  <c r="E119"/>
  <c r="Y119" s="1"/>
  <c r="Y86"/>
  <c r="E123"/>
  <c r="Y57"/>
  <c r="C10" s="1"/>
  <c r="AE3" i="16"/>
  <c r="Y85" i="8"/>
  <c r="E122"/>
  <c r="L126"/>
  <c r="R124"/>
  <c r="V122"/>
  <c r="X129"/>
  <c r="X130"/>
  <c r="Q125"/>
  <c r="U128"/>
  <c r="U130"/>
  <c r="J121"/>
  <c r="J131"/>
  <c r="K124"/>
  <c r="S129"/>
  <c r="R122"/>
  <c r="G128"/>
  <c r="H126"/>
  <c r="W128"/>
  <c r="W121"/>
  <c r="W126"/>
  <c r="W123"/>
  <c r="M123"/>
  <c r="V125"/>
  <c r="X121"/>
  <c r="X122"/>
  <c r="X124"/>
  <c r="O124"/>
  <c r="O127"/>
  <c r="L121"/>
  <c r="L128"/>
  <c r="P127"/>
  <c r="Q130"/>
  <c r="Q127"/>
  <c r="F124"/>
  <c r="T124"/>
  <c r="T126"/>
  <c r="U123"/>
  <c r="U125"/>
  <c r="I121"/>
  <c r="J125"/>
  <c r="J123"/>
  <c r="N125"/>
  <c r="N127"/>
  <c r="N128"/>
  <c r="K130"/>
  <c r="K128"/>
  <c r="S124"/>
  <c r="R130"/>
  <c r="R125"/>
  <c r="R128"/>
  <c r="G122"/>
  <c r="G133" s="1"/>
  <c r="G125"/>
  <c r="H131"/>
  <c r="H127"/>
  <c r="E127"/>
  <c r="Y90"/>
  <c r="E128"/>
  <c r="Y91"/>
  <c r="Y84"/>
  <c r="E121"/>
  <c r="E120"/>
  <c r="Y120" s="1"/>
  <c r="Y83"/>
  <c r="Y88"/>
  <c r="E125"/>
  <c r="E130"/>
  <c r="Y93"/>
  <c r="E131"/>
  <c r="Y94"/>
  <c r="E126"/>
  <c r="Y89"/>
  <c r="E118"/>
  <c r="Y81"/>
  <c r="M126"/>
  <c r="T129"/>
  <c r="H129"/>
  <c r="M122"/>
  <c r="M127"/>
  <c r="V121"/>
  <c r="O130"/>
  <c r="Q129"/>
  <c r="I131"/>
  <c r="G129"/>
  <c r="M129"/>
  <c r="M130"/>
  <c r="V131"/>
  <c r="V128"/>
  <c r="V129"/>
  <c r="X127"/>
  <c r="O123"/>
  <c r="O131"/>
  <c r="L127"/>
  <c r="P125"/>
  <c r="P121"/>
  <c r="P131"/>
  <c r="P130"/>
  <c r="Q131"/>
  <c r="Q121"/>
  <c r="F129"/>
  <c r="F130"/>
  <c r="F127"/>
  <c r="T130"/>
  <c r="T122"/>
  <c r="U122"/>
  <c r="U133" s="1"/>
  <c r="I128"/>
  <c r="I125"/>
  <c r="J127"/>
  <c r="J128"/>
  <c r="J130"/>
  <c r="N121"/>
  <c r="N129"/>
  <c r="K127"/>
  <c r="K121"/>
  <c r="K125"/>
  <c r="S130"/>
  <c r="S127"/>
  <c r="G124"/>
  <c r="G131"/>
  <c r="H130"/>
  <c r="H133" s="1"/>
  <c r="H121"/>
  <c r="S133" l="1"/>
  <c r="F133"/>
  <c r="M133"/>
  <c r="L133"/>
  <c r="T133"/>
  <c r="O133"/>
  <c r="N133"/>
  <c r="I133"/>
  <c r="Q133"/>
  <c r="X133"/>
  <c r="W133"/>
  <c r="K133"/>
  <c r="P133"/>
  <c r="V133"/>
  <c r="R133"/>
  <c r="J133"/>
  <c r="E133"/>
  <c r="E134" s="1"/>
  <c r="F134" s="1"/>
  <c r="G134" s="1"/>
  <c r="H134" s="1"/>
  <c r="I134" s="1"/>
  <c r="J134" s="1"/>
  <c r="K134" s="1"/>
  <c r="L134" s="1"/>
  <c r="M134" s="1"/>
  <c r="N134" s="1"/>
  <c r="O134" s="1"/>
  <c r="P134" s="1"/>
  <c r="Q134" s="1"/>
  <c r="R134" s="1"/>
  <c r="S134" s="1"/>
  <c r="T134" s="1"/>
  <c r="U134" s="1"/>
  <c r="V134" s="1"/>
  <c r="W134" s="1"/>
  <c r="X134" s="1"/>
  <c r="Y118"/>
  <c r="Y131"/>
  <c r="Y127"/>
  <c r="Y124"/>
  <c r="Y125"/>
  <c r="Y121"/>
  <c r="Y122"/>
  <c r="Y123"/>
  <c r="Y126"/>
  <c r="Y130"/>
  <c r="Y128"/>
  <c r="Y129"/>
  <c r="Y134" l="1"/>
</calcChain>
</file>

<file path=xl/comments1.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42"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2"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2"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2"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5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2.xml><?xml version="1.0" encoding="utf-8"?>
<comments xmlns="http://schemas.openxmlformats.org/spreadsheetml/2006/main">
  <authors>
    <author>Tina Jayaweera</author>
  </authors>
  <commentList>
    <comment ref="C4" authorId="0">
      <text>
        <r>
          <rPr>
            <b/>
            <sz val="9"/>
            <color indexed="81"/>
            <rFont val="Tahoma"/>
            <family val="2"/>
          </rPr>
          <t>Tina Jayaweera:</t>
        </r>
        <r>
          <rPr>
            <sz val="9"/>
            <color indexed="81"/>
            <rFont val="Tahoma"/>
            <family val="2"/>
          </rPr>
          <t xml:space="preserve">
http://www.gfxtechnology.com/
accessed 9/23/14</t>
        </r>
      </text>
    </comment>
  </commentList>
</comments>
</file>

<file path=xl/comments3.xml><?xml version="1.0" encoding="utf-8"?>
<comments xmlns="http://schemas.openxmlformats.org/spreadsheetml/2006/main">
  <authors>
    <author>Charlie Grist</author>
    <author>Tom Eckman</author>
    <author>Faith DeBolt</author>
  </authors>
  <commentList>
    <comment ref="D6" authorId="0">
      <text>
        <r>
          <rPr>
            <sz val="8"/>
            <color indexed="81"/>
            <rFont val="Tahoma"/>
            <family val="2"/>
          </rPr>
          <t xml:space="preserve">from: "Energy Efficient Showerhead and Faucet Aerator Metering Study - Single Family Residences". SBW Consulting, Inc.; Puget Sound Power and Light. December 1994. </t>
        </r>
      </text>
    </comment>
    <comment ref="D8" authorId="0">
      <text>
        <r>
          <rPr>
            <sz val="8"/>
            <color indexed="81"/>
            <rFont val="Tahoma"/>
            <family val="2"/>
          </rPr>
          <t xml:space="preserve">Household Showering and Bathing 9.98 showers/week in primary and 5.05 showers in secondary
from: "Energy Efficient Showerhead and Faucet Aerator Metering Study - Single Family Residences". SBW Consulting, Inc.; Puget Sound Power and Light. December 1994. </t>
        </r>
      </text>
    </comment>
    <comment ref="D9" authorId="0">
      <text>
        <r>
          <rPr>
            <b/>
            <sz val="8"/>
            <color indexed="81"/>
            <rFont val="Tahoma"/>
            <family val="2"/>
          </rPr>
          <t>Charlie Grist:</t>
        </r>
        <r>
          <rPr>
            <sz val="8"/>
            <color indexed="81"/>
            <rFont val="Tahoma"/>
            <family val="2"/>
          </rPr>
          <t xml:space="preserve">
Derate published values by 10% due to 1) Warm up time 2) Reduced transfer efficacy over time from gunk build up on copper surfaces. Published values are based on test data developed at steady state and new and clean conditions, neither of which obtain in the field.  </t>
        </r>
      </text>
    </comment>
    <comment ref="B10" authorId="0">
      <text>
        <r>
          <rPr>
            <b/>
            <sz val="8"/>
            <color indexed="81"/>
            <rFont val="Tahoma"/>
            <family val="2"/>
          </rPr>
          <t xml:space="preserve">Tom Eckman: </t>
        </r>
        <r>
          <rPr>
            <sz val="8"/>
            <color indexed="81"/>
            <rFont val="Tahoma"/>
            <family val="2"/>
          </rPr>
          <t>Revised 02/26/08 based on NRC research</t>
        </r>
      </text>
    </comment>
    <comment ref="D10" authorId="0">
      <text>
        <r>
          <rPr>
            <b/>
            <sz val="8"/>
            <color indexed="81"/>
            <rFont val="Tahoma"/>
            <family val="2"/>
          </rPr>
          <t>Charlie Grist:</t>
        </r>
        <r>
          <rPr>
            <sz val="8"/>
            <color indexed="81"/>
            <rFont val="Tahoma"/>
            <family val="2"/>
          </rPr>
          <t xml:space="preserve">
Derate published values by 10% due to 1) Warm up time 2) Reduced transfer efficacy over time from gunk build up on copper surfaces. Published values are based on test data developed at steady state and new and clean conditions, neither of which obtain in the field.  
Tom Eckman - Revised 02/26/08. Natural Resources Canada (NRC)  tested 3 brands and 9 models of gravity film heat exchangers. NRC reported in "Drain Water Heat Recovery Characterization and Modeling" by Charles Zaloumn, Maxime Lafrance and John Gusdorf a set of empirically derived heat recovery efficiency data for these devices. The equations and efficiency rating used here are based on the findings from that research. </t>
        </r>
      </text>
    </comment>
    <comment ref="B11" authorId="1">
      <text>
        <r>
          <rPr>
            <b/>
            <sz val="8"/>
            <color indexed="81"/>
            <rFont val="Tahoma"/>
            <family val="2"/>
          </rPr>
          <t>Tom Eckman: Revised 02/26/08 based on NRC research</t>
        </r>
      </text>
    </comment>
    <comment ref="D11" authorId="0">
      <text>
        <r>
          <rPr>
            <b/>
            <sz val="8"/>
            <color indexed="81"/>
            <rFont val="Tahoma"/>
            <family val="2"/>
          </rPr>
          <t>Charlie Grist:</t>
        </r>
        <r>
          <rPr>
            <sz val="8"/>
            <color indexed="81"/>
            <rFont val="Tahoma"/>
            <family val="2"/>
          </rPr>
          <t xml:space="preserve">
Derate published values by 10% due to 1) Warm up time 2) Reduced transfer efficacy over time from gunk build up on copper surfaces. Published values are based on test data developed at steady state and new and clean conditions, neither of which obtain in the field.  
Tom Eckman - Revised 02/26/08. Natural Resources Canada (NRC)  tested 3 brands and 9 models of gravity film heat exchangers. NRC reported in "Drain Water Heat Recovery Characterization and Modeling" by Charles Zaloumn, Maxime Lafrance and John Gusdorf a set of empirically derived heat recovery efficiency data for these devices. The equations and efficiency rating used here are based on the findings from that research. </t>
        </r>
      </text>
    </comment>
    <comment ref="B16" authorId="1">
      <text>
        <r>
          <rPr>
            <b/>
            <sz val="8"/>
            <color indexed="81"/>
            <rFont val="Tahoma"/>
            <family val="2"/>
          </rPr>
          <t>Tom Eckman: Revised 02/26/08 based on NRC research</t>
        </r>
      </text>
    </comment>
    <comment ref="B17" authorId="0">
      <text>
        <r>
          <rPr>
            <b/>
            <sz val="8"/>
            <color indexed="81"/>
            <rFont val="Tahoma"/>
            <family val="2"/>
          </rPr>
          <t xml:space="preserve">Tom Eckman: </t>
        </r>
        <r>
          <rPr>
            <sz val="8"/>
            <color indexed="81"/>
            <rFont val="Tahoma"/>
            <family val="2"/>
          </rPr>
          <t>Revised 02/26/08 based on NRC research</t>
        </r>
      </text>
    </comment>
    <comment ref="B18" authorId="1">
      <text>
        <r>
          <rPr>
            <b/>
            <sz val="8"/>
            <color indexed="81"/>
            <rFont val="Tahoma"/>
            <family val="2"/>
          </rPr>
          <t>Tom Eckman: Revised 02/26/08 based on NRC research</t>
        </r>
      </text>
    </comment>
    <comment ref="B19" authorId="0">
      <text>
        <r>
          <rPr>
            <b/>
            <sz val="8"/>
            <color indexed="81"/>
            <rFont val="Tahoma"/>
            <family val="2"/>
          </rPr>
          <t xml:space="preserve">Tom Eckman: </t>
        </r>
        <r>
          <rPr>
            <sz val="8"/>
            <color indexed="81"/>
            <rFont val="Tahoma"/>
            <family val="2"/>
          </rPr>
          <t>Revised 02/26/08 based on NRC research</t>
        </r>
      </text>
    </comment>
    <comment ref="G40" authorId="2">
      <text>
        <r>
          <rPr>
            <b/>
            <sz val="8"/>
            <color indexed="81"/>
            <rFont val="Tahoma"/>
            <family val="2"/>
          </rPr>
          <t>Faith DeBolt:</t>
        </r>
        <r>
          <rPr>
            <sz val="8"/>
            <color indexed="81"/>
            <rFont val="Tahoma"/>
            <family val="2"/>
          </rPr>
          <t xml:space="preserve">
not used in savings analysis, a delta T (outlet-inlet) of 75F used instead.</t>
        </r>
      </text>
    </comment>
  </commentList>
</comments>
</file>

<file path=xl/sharedStrings.xml><?xml version="1.0" encoding="utf-8"?>
<sst xmlns="http://schemas.openxmlformats.org/spreadsheetml/2006/main" count="1862" uniqueCount="866">
  <si>
    <t>Date</t>
  </si>
  <si>
    <t>Item</t>
  </si>
  <si>
    <t>Result</t>
  </si>
  <si>
    <t>DHW Heat Recovery</t>
  </si>
  <si>
    <t>Called Charlie Stephens left message with Qs about tax credit calculation and cost information</t>
  </si>
  <si>
    <t xml:space="preserve">Stephens responds on 30 April that savings estiamte is conservative. Minimal cost data in the database. Range of per unit retrofits is $350 to $1000. </t>
  </si>
  <si>
    <t xml:space="preserve">Need cost data. Check vendors contacts. </t>
  </si>
  <si>
    <t>Retail and Wholesale sheets from vendor are in attached PDF files: GFX $ Contractor 1 1 02.pdf and GFX $ Retail 1 1 02.pdf</t>
  </si>
  <si>
    <t>Steve Delaere at Portland Plumbing on installation costs</t>
  </si>
  <si>
    <t>Has installed half a dozen in retrofit applications. Installed cost about $600. Approx 4 to 5 hours labor each. Generally installed to preheat water tank in retrofit mode due to accessibility to water tank and not to shower. Uses PEX flexible plastic pipe</t>
  </si>
  <si>
    <t>Ed at Tapani Plumbing 360 687 3983</t>
  </si>
  <si>
    <t xml:space="preserve">Installing 250+ units in an apartment complex in Troutdale, OR. Labor cost about one hour per unit in mass application mode. Using 3-inch unit on main baths and 2-inch on small bath. Plumbing the three-inch unit to preheat WH supply and shower cold side. </t>
  </si>
  <si>
    <t>Application</t>
  </si>
  <si>
    <t>Savings Estimate</t>
  </si>
  <si>
    <t>Source of Data</t>
  </si>
  <si>
    <t>Notes</t>
  </si>
  <si>
    <t>Shower preheat only</t>
  </si>
  <si>
    <t>43% of energy at shower head</t>
  </si>
  <si>
    <t>FEMP circular from J.J. Tomlinson at Oak Ridge National Lab</t>
  </si>
  <si>
    <t>Based on 95F drain temp at steady state</t>
  </si>
  <si>
    <t>Water heater preheat only</t>
  </si>
  <si>
    <t>33% of energy at shower head</t>
  </si>
  <si>
    <t>Shower preheat only HR3</t>
  </si>
  <si>
    <t>200 kWh/year</t>
  </si>
  <si>
    <t>OOE Tax credit</t>
  </si>
  <si>
    <t>Based on published transfer rate and 900 kWh/year of shower energy</t>
  </si>
  <si>
    <t>Shower preheat only HR5</t>
  </si>
  <si>
    <t>265 kWh/year</t>
  </si>
  <si>
    <t>Lab testing at "minimum conditions" something like unbalanced shower preheat.</t>
  </si>
  <si>
    <t>1.8 kWh per eight-minute shower</t>
  </si>
  <si>
    <t>Hewitt and Henderson for Northern Ireland Center for Energy Research and Technology, Feb, 2001</t>
  </si>
  <si>
    <t>Figure 9, shower preheat at 35C drain temp. Estimate appears high due to lab set up and flow rates chosen. Implies 72% transfer.</t>
  </si>
  <si>
    <t>Shower preheat only, single unit model G3-60</t>
  </si>
  <si>
    <t>Douchette Industries, the manufacturer</t>
  </si>
  <si>
    <t>Heat transfer calculation based on reasonable delta T and flows</t>
  </si>
  <si>
    <t>Cost Data for GFX</t>
  </si>
  <si>
    <t>Retail Labor Rate</t>
  </si>
  <si>
    <t>Cost Estimate</t>
  </si>
  <si>
    <t xml:space="preserve">MF New, shower cold-side preheat only, </t>
  </si>
  <si>
    <t xml:space="preserve">Ed at Tapani Plumbing (360) 687 -3983 on 26 April 2002. </t>
  </si>
  <si>
    <t>Labor cost less than one hour per unit in mass application mode. Materials include two Fernco #3001couplings ($15),  ten extra feet of 3/4 supply, straps and fittings ($5) and 30 feet of extra 3-inch waste line ($20). For Shower plus DHW preheat go to 1.5</t>
  </si>
  <si>
    <t xml:space="preserve">SF New, shower cold-side preheat only, </t>
  </si>
  <si>
    <t>Three hours labor in SF site-built homes. Same materials as MF</t>
  </si>
  <si>
    <t>SF New, DHW &amp; shower preheat, balanced flow</t>
  </si>
  <si>
    <t xml:space="preserve">Use model S3-60 plus 30 feet 3-inch waste line ($20), 20 feet 3/4 inch supply line ($10) and 3 hours labor. </t>
  </si>
  <si>
    <t>Slab of Grade or Basement</t>
  </si>
  <si>
    <t xml:space="preserve">Add pump, strainer/filter, Check valve, Pressure switch and three hours labor. Use model P3-60. </t>
  </si>
  <si>
    <t>Savings</t>
  </si>
  <si>
    <t>Input Assumptions</t>
  </si>
  <si>
    <t>Value</t>
  </si>
  <si>
    <t>Unit</t>
  </si>
  <si>
    <t>Source</t>
  </si>
  <si>
    <t>Shower Temperature</t>
  </si>
  <si>
    <t>Degrees F</t>
  </si>
  <si>
    <t>English</t>
  </si>
  <si>
    <t>Inlet Temperature</t>
  </si>
  <si>
    <t>Metric</t>
  </si>
  <si>
    <t>No change in standby losses</t>
  </si>
  <si>
    <t>HXF_Config1=</t>
  </si>
  <si>
    <t>NTU_Config1=</t>
  </si>
  <si>
    <t>Fraction of household showers captured by GFX unit</t>
  </si>
  <si>
    <t>HXF_Config2=</t>
  </si>
  <si>
    <t>NTU_Config2=</t>
  </si>
  <si>
    <t>Heat Recovery Factor for shower preheat</t>
  </si>
  <si>
    <t>NA</t>
  </si>
  <si>
    <t>Eliminated based on NRC Research</t>
  </si>
  <si>
    <t>Effectiveness_Config1</t>
  </si>
  <si>
    <t>Heat Recovery Factor for balanced flow shower and DHW preheat</t>
  </si>
  <si>
    <t>Revised per NRC Research</t>
  </si>
  <si>
    <t>Effectiveness_Config2</t>
  </si>
  <si>
    <t>Heat Recovery Factor for DHW preheat only (retrofit)</t>
  </si>
  <si>
    <t>Savings by Application</t>
  </si>
  <si>
    <t>Heat Recovery Factor</t>
  </si>
  <si>
    <t>Annual Shower Energy input kWh</t>
  </si>
  <si>
    <t>Annual Energy Savings in kWh</t>
  </si>
  <si>
    <t>Configuration</t>
  </si>
  <si>
    <t>Shower Preheat, Electric Resistance</t>
  </si>
  <si>
    <t>No longer used</t>
  </si>
  <si>
    <t>Shower Preheat, Heat Pump</t>
  </si>
  <si>
    <t>DHW Preheat &amp; Shower Preheat, Electric Resistance</t>
  </si>
  <si>
    <t>Preheat cold water to hot water tank only</t>
  </si>
  <si>
    <t>DHW Preheat, &amp; Shower Preheat, Heat Pump</t>
  </si>
  <si>
    <t>Preheat cold water to hot water tank and shower</t>
  </si>
  <si>
    <t>DHW Preheat, Electric Resistance</t>
  </si>
  <si>
    <t>DHW Preheat, Heat Pump</t>
  </si>
  <si>
    <t>Select GFX Model</t>
  </si>
  <si>
    <t>Manufacturer/Model (DWHR)</t>
  </si>
  <si>
    <t>C*</t>
  </si>
  <si>
    <t>n*</t>
  </si>
  <si>
    <t>NTU = C x HXF^-n</t>
  </si>
  <si>
    <t>GFX G3-40</t>
  </si>
  <si>
    <t>Where</t>
  </si>
  <si>
    <t>GFX G3-60</t>
  </si>
  <si>
    <t>HXF = Heat Exchanger Flow</t>
  </si>
  <si>
    <t>Rettherm C3-40</t>
  </si>
  <si>
    <t>Rettherm S3-60</t>
  </si>
  <si>
    <t>PowerPipe R3-36</t>
  </si>
  <si>
    <t>PowerPipe R3-60</t>
  </si>
  <si>
    <t>"C" and "n" factors empirically derived from laboratory testing</t>
  </si>
  <si>
    <t>Liter/gal</t>
  </si>
  <si>
    <t>From RTF Showerhead UES workbook</t>
  </si>
  <si>
    <t>Actual Flow Rate as a Percentage of Rated Flow Rate</t>
  </si>
  <si>
    <t>Shower Duration</t>
  </si>
  <si>
    <t>Flow Rate</t>
  </si>
  <si>
    <t>Duration</t>
  </si>
  <si>
    <t>Hot Water Percentage</t>
  </si>
  <si>
    <t>Shower duration at 2.5 gpm from 2000 Seattle End-use Study.  Increased duration at lower flow rates reflects range of anecdotal evidence - rigorous emprical evidence unavailable</t>
  </si>
  <si>
    <t>Rated gpm</t>
  </si>
  <si>
    <t>In situ gpm</t>
  </si>
  <si>
    <t>% of Rated</t>
  </si>
  <si>
    <t>minutes per shower</t>
  </si>
  <si>
    <t>% of baseline duration</t>
  </si>
  <si>
    <t>%</t>
  </si>
  <si>
    <t>Temperature (degF)</t>
  </si>
  <si>
    <t>Hot Water Percentages</t>
  </si>
  <si>
    <t>2.5 and 2.0 gpm hot water percentages from:</t>
  </si>
  <si>
    <r>
      <t xml:space="preserve">US EPA. (2005). </t>
    </r>
    <r>
      <rPr>
        <i/>
        <sz val="11"/>
        <rFont val="Calibri"/>
        <family val="2"/>
      </rPr>
      <t>Water and Energy Savings from High Efficiency Fixtures and Appliances in Single Family Homes.</t>
    </r>
    <r>
      <rPr>
        <sz val="11"/>
        <rFont val="Calibri"/>
        <family val="2"/>
      </rPr>
      <t xml:space="preserve"> (Also duration)</t>
    </r>
  </si>
  <si>
    <t>1.75 and 1.5 gpm hot water percentages follow the linear relationship between in situ flow rate and hot water percentage from the above datapoints</t>
  </si>
  <si>
    <t>Flow rate</t>
  </si>
  <si>
    <t>90% of rated flow rate for 2.5 and 2.0 gpm showerheads typical of field studies reviewed; 2.20 from 2008 Seattle study</t>
  </si>
  <si>
    <t>used same % of rated flow at lower flow rates assumed pressure compensating shower head to avoid ubearable low flow rate where water pressure is very low (i.e. &lt;40 psi)</t>
  </si>
  <si>
    <t>Post-Retrofit</t>
  </si>
  <si>
    <t>Heat Pump Water Heater</t>
  </si>
  <si>
    <t>Showerhead rated flow rate at 80 psi</t>
  </si>
  <si>
    <t>2.0 gpm</t>
  </si>
  <si>
    <t>1.75 gpm</t>
  </si>
  <si>
    <t>1.5 gpm</t>
  </si>
  <si>
    <t>Daily showers per Person (showers per person per day)</t>
  </si>
  <si>
    <t>*Annualized Occupancy (days per year)</t>
  </si>
  <si>
    <t>*Persons per Showerhead (people per showerhead)</t>
  </si>
  <si>
    <t>Average Shower Length (min per shower)</t>
  </si>
  <si>
    <t>Showerhead Utilization (min per year)</t>
  </si>
  <si>
    <t>Shower Flow Rate (gpm)</t>
  </si>
  <si>
    <t>Shower Water from Hot Tap (%)</t>
  </si>
  <si>
    <t>*Water heater outlet temperature minus inlet temperature (°F)</t>
  </si>
  <si>
    <r>
      <t>Shower Temperature Setpoint (</t>
    </r>
    <r>
      <rPr>
        <sz val="10"/>
        <rFont val="Calibri"/>
        <family val="2"/>
      </rPr>
      <t>°</t>
    </r>
    <r>
      <rPr>
        <sz val="10"/>
        <color theme="1"/>
        <rFont val="Arial"/>
        <family val="2"/>
      </rPr>
      <t>F)</t>
    </r>
  </si>
  <si>
    <t>*Water Heater Heating Energy  (kWh per °F per gallon)</t>
  </si>
  <si>
    <t>*Water Heater Heating Energy  (therms per °F per gallon)</t>
  </si>
  <si>
    <t>Total Gallons per Year</t>
  </si>
  <si>
    <t>Hot Water Gallons per Year</t>
  </si>
  <si>
    <t>Hot Water Gallons degF per year</t>
  </si>
  <si>
    <t>Electric Water Heating</t>
  </si>
  <si>
    <t>Annual kWh</t>
  </si>
  <si>
    <t>Steady State Efficiency</t>
  </si>
  <si>
    <t>Electric</t>
  </si>
  <si>
    <t>Gas</t>
  </si>
  <si>
    <t>Conversion Factors</t>
  </si>
  <si>
    <t>kWh per gallon degF</t>
  </si>
  <si>
    <t>btu per gallon degF</t>
  </si>
  <si>
    <t>therms per gallon degF</t>
  </si>
  <si>
    <t>Electric Water Heating Saturation</t>
  </si>
  <si>
    <t>Residential</t>
  </si>
  <si>
    <t>RBSA</t>
  </si>
  <si>
    <t>Recovery Factor per Retail Cost</t>
  </si>
  <si>
    <t>Model</t>
  </si>
  <si>
    <t>Mode</t>
  </si>
  <si>
    <t>Unit Cost, Retail</t>
  </si>
  <si>
    <t>Installed Cost, Retail</t>
  </si>
  <si>
    <t>Shower Preheat mode Use unequal flow</t>
  </si>
  <si>
    <t>G3-30</t>
  </si>
  <si>
    <t>New SF</t>
  </si>
  <si>
    <t>G3-40</t>
  </si>
  <si>
    <t>G3-60</t>
  </si>
  <si>
    <t>New MF</t>
  </si>
  <si>
    <t>DHW and Shower preheat, Use Balanced Flow, favored new installation</t>
  </si>
  <si>
    <t>S3-30</t>
  </si>
  <si>
    <t>S3-40</t>
  </si>
  <si>
    <t>S3-60</t>
  </si>
  <si>
    <t>DHW preheat only, Use unequal flow, favored retrofit installation</t>
  </si>
  <si>
    <t>Winter 2008 Prices</t>
  </si>
  <si>
    <t>Lo-Copper GFX’s</t>
  </si>
  <si>
    <t>Model No.</t>
  </si>
  <si>
    <t>Length</t>
  </si>
  <si>
    <t>Cost ($-CDN)</t>
  </si>
  <si>
    <t>GFX G3-36-LC</t>
  </si>
  <si>
    <t>36”</t>
  </si>
  <si>
    <t>GFX G3-48-LC</t>
  </si>
  <si>
    <t>48”</t>
  </si>
  <si>
    <t>GFX G3-60-LC</t>
  </si>
  <si>
    <t>60”</t>
  </si>
  <si>
    <t>Home Depot Brand GFX’s</t>
  </si>
  <si>
    <t>PowerPipe (R3-36)</t>
  </si>
  <si>
    <t>PowerPipe (R3-48)</t>
  </si>
  <si>
    <t>PowerPipe (R3-60)</t>
  </si>
  <si>
    <t>Primary Shower</t>
  </si>
  <si>
    <t>Gas Water Heating</t>
  </si>
  <si>
    <t>Annual therms</t>
  </si>
  <si>
    <t>All Water Heating</t>
  </si>
  <si>
    <t>RTF assumption</t>
  </si>
  <si>
    <t>Data Set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</si>
  <si>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</si>
  <si>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</si>
  <si>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</si>
  <si>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</si>
  <si>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</si>
  <si>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</si>
  <si>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</si>
  <si>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</si>
  <si>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</si>
  <si>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</si>
  <si>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</si>
  <si>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</si>
  <si>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</si>
  <si>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</si>
  <si>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</si>
  <si>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</si>
  <si>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</si>
  <si>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</si>
  <si>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</si>
  <si>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RTFStandardInformationWorkbook_v2_0</t>
  </si>
  <si>
    <t>Methodology</t>
  </si>
  <si>
    <t>Vintage</t>
  </si>
  <si>
    <t>New</t>
  </si>
  <si>
    <t>Measure Bundle</t>
  </si>
  <si>
    <t>Report Year</t>
  </si>
  <si>
    <t># homes</t>
  </si>
  <si>
    <t>Single Family</t>
  </si>
  <si>
    <t>Multifamily - Low Rise</t>
  </si>
  <si>
    <t>Multifamily - High Rise</t>
  </si>
  <si>
    <t>Manufactured</t>
  </si>
  <si>
    <t>REG_TOTAL_STOCK_HOMES</t>
  </si>
  <si>
    <t>Total Regional Stock</t>
  </si>
  <si>
    <t>Applicability</t>
  </si>
  <si>
    <t>Achievability =&gt;</t>
  </si>
  <si>
    <t>SUPPLY CURVE SAVINGS BY BUNDLE</t>
  </si>
  <si>
    <t>kWh per home</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</si>
  <si>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</si>
  <si>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</si>
  <si>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</si>
  <si>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</si>
  <si>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</si>
  <si>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</si>
  <si>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</si>
  <si>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</si>
  <si>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</si>
  <si>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</si>
  <si>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</si>
  <si>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</si>
  <si>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</si>
  <si>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</si>
  <si>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</si>
  <si>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</si>
  <si>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</si>
  <si>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</si>
  <si>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</si>
  <si>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</si>
  <si>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</si>
  <si>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</si>
  <si>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</si>
  <si>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</si>
  <si>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</si>
  <si>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</si>
  <si>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</si>
  <si>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</si>
  <si>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</si>
  <si>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</si>
  <si>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</si>
  <si>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</si>
  <si>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</si>
  <si>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</si>
  <si>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</si>
  <si>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</si>
  <si>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</si>
  <si>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</si>
  <si>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</si>
  <si>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</si>
  <si>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</si>
  <si>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</si>
  <si>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</si>
  <si>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</si>
  <si>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</si>
  <si>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</si>
  <si>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</si>
  <si>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</si>
  <si>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</si>
  <si>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</si>
  <si>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</si>
  <si>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</si>
  <si>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</si>
  <si>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</si>
  <si>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</si>
  <si>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</si>
  <si>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</si>
  <si>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</si>
  <si>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</si>
  <si>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</si>
  <si>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</si>
  <si>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</si>
  <si>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</si>
  <si>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</si>
  <si>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</si>
  <si>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</si>
  <si>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</si>
  <si>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</si>
  <si>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</si>
  <si>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</si>
  <si>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</si>
  <si>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SC_New</t>
  </si>
  <si>
    <t>Total per Year</t>
  </si>
  <si>
    <t>Total Cumulative</t>
  </si>
  <si>
    <t>Shaped Savings Results; By Category and sorted by TRC BC ratio</t>
  </si>
  <si>
    <t>Category</t>
  </si>
  <si>
    <t>Measure</t>
  </si>
  <si>
    <t>Busbar Savings</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</si>
  <si>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</si>
  <si>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</si>
  <si>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</si>
  <si>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</si>
  <si>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</si>
  <si>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</si>
  <si>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</si>
  <si>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Net Levelized Cost (Net of All Benefits) in mills/kWh</t>
  </si>
  <si>
    <t>TRC B/C Ratio</t>
  </si>
  <si>
    <t>Net Electric &amp; Gas System CO2 Avoided (Lifetime Tons)</t>
  </si>
  <si>
    <t>Jan</t>
  </si>
  <si>
    <t>Feb</t>
  </si>
  <si>
    <t>Mar</t>
  </si>
  <si>
    <t>Apr</t>
  </si>
  <si>
    <t>May</t>
  </si>
  <si>
    <t>Jun</t>
  </si>
  <si>
    <t>Jul</t>
  </si>
  <si>
    <t>Aug</t>
  </si>
  <si>
    <t>Sep</t>
  </si>
  <si>
    <t>Oct</t>
  </si>
  <si>
    <t>Nov</t>
  </si>
  <si>
    <t>Dec</t>
  </si>
  <si>
    <t>GFHX DHW &amp; Shower Preheat, Heat Pump</t>
  </si>
  <si>
    <t>GFHX DHW &amp; Shower Preheat, Electric Resistance</t>
  </si>
  <si>
    <t>GFHX DHW Preheat, Electric Resistance</t>
  </si>
  <si>
    <t>GFHX DHW  Preheat, Heat Pump</t>
  </si>
  <si>
    <t>Single Family GFHX DHW &amp; Shower Preheat, Electric Resistance</t>
  </si>
  <si>
    <t>Single Family GFHX DHW &amp; Shower Preheat, Heat Pump</t>
  </si>
  <si>
    <t>Single Family GFHX DHW Preheat, Electric Resistance</t>
  </si>
  <si>
    <t>Single Family GFHX DHW  Preheat, Heat Pump</t>
  </si>
  <si>
    <t>Multifamily GFHX DHW &amp; Shower Preheat, Electric Resistance</t>
  </si>
  <si>
    <t>Multifamily GFHX DHW &amp; Shower Preheat, Heat Pump</t>
  </si>
  <si>
    <t>Multifamily GFHX DHW Preheat, Electric Resistance</t>
  </si>
  <si>
    <t>Multifamily GFHX DHW  Preheat, Heat Pump</t>
  </si>
  <si>
    <t>Building type</t>
  </si>
  <si>
    <t>Electric Resistance</t>
  </si>
  <si>
    <t>Heat Pump</t>
  </si>
  <si>
    <t xml:space="preserve">New Homes only.  </t>
  </si>
  <si>
    <t>Electric WH</t>
  </si>
  <si>
    <t>DHW &amp; Shower Preheat</t>
  </si>
  <si>
    <t>DHW Preheat</t>
  </si>
  <si>
    <t>Brand</t>
  </si>
  <si>
    <t>Heat Recovery Efficiency</t>
  </si>
  <si>
    <t>NRCan Program Energy Credits (kWh)</t>
  </si>
  <si>
    <t>CSA B55.1 Certified</t>
  </si>
  <si>
    <t>Nominal Diameter (mm)</t>
  </si>
  <si>
    <t>Nominal Diameter (in)</t>
  </si>
  <si>
    <t>Length (mm)</t>
  </si>
  <si>
    <t>Length (in)</t>
  </si>
  <si>
    <t>Heat Recovery Rate (kW)</t>
  </si>
  <si>
    <t>Heat Recovery Rate (BTU/hr)</t>
  </si>
  <si>
    <t>Pressure Loss (kPa)</t>
  </si>
  <si>
    <t>Pressure Loss (psi)</t>
  </si>
  <si>
    <t>Mass (kg)</t>
  </si>
  <si>
    <t>Mass (lbs)</t>
  </si>
  <si>
    <t>Discontinued Date</t>
  </si>
  <si>
    <t>C4-42</t>
  </si>
  <si>
    <t>Power-Pipe</t>
  </si>
  <si>
    <t>yes</t>
  </si>
  <si>
    <t>R3-28</t>
  </si>
  <si>
    <t>R4-24</t>
  </si>
  <si>
    <t>C3-39</t>
  </si>
  <si>
    <t>R2-36</t>
  </si>
  <si>
    <t>R4-26</t>
  </si>
  <si>
    <t>C4-45</t>
  </si>
  <si>
    <t>R2-38</t>
  </si>
  <si>
    <t>C3-42</t>
  </si>
  <si>
    <t>R4-28</t>
  </si>
  <si>
    <t>R2-40</t>
  </si>
  <si>
    <t>R3-30</t>
  </si>
  <si>
    <t>C4-48</t>
  </si>
  <si>
    <t>C3-45</t>
  </si>
  <si>
    <t>R4-30</t>
  </si>
  <si>
    <t>R2-42</t>
  </si>
  <si>
    <t>R3-32</t>
  </si>
  <si>
    <t>R4-32</t>
  </si>
  <si>
    <t>C4-51</t>
  </si>
  <si>
    <t>R2-44</t>
  </si>
  <si>
    <t>C3-48</t>
  </si>
  <si>
    <t>R3-34</t>
  </si>
  <si>
    <t>R4-34</t>
  </si>
  <si>
    <t>R2-46</t>
  </si>
  <si>
    <t>ECO-GFX2340</t>
  </si>
  <si>
    <t>EcoInnovation Technologies Inc.</t>
  </si>
  <si>
    <t>no</t>
  </si>
  <si>
    <t>R3-36</t>
  </si>
  <si>
    <t>TD336B</t>
  </si>
  <si>
    <t>R2-48</t>
  </si>
  <si>
    <t>C3-51</t>
  </si>
  <si>
    <t>C4-54</t>
  </si>
  <si>
    <t>R4-36</t>
  </si>
  <si>
    <t>R3-38</t>
  </si>
  <si>
    <t>TD338B</t>
  </si>
  <si>
    <t>R2-50</t>
  </si>
  <si>
    <t>WX-3036</t>
  </si>
  <si>
    <t>Watercycles Energy Recovery Inc.</t>
  </si>
  <si>
    <t>R4-38</t>
  </si>
  <si>
    <t>C3-54</t>
  </si>
  <si>
    <t>C4-57</t>
  </si>
  <si>
    <t>TD340B</t>
  </si>
  <si>
    <t>R2-52</t>
  </si>
  <si>
    <t>R3-40</t>
  </si>
  <si>
    <t>DX-3058</t>
  </si>
  <si>
    <t>R4-40</t>
  </si>
  <si>
    <t>TD342B</t>
  </si>
  <si>
    <t>R2-54</t>
  </si>
  <si>
    <t>R3-42</t>
  </si>
  <si>
    <t>C3-57</t>
  </si>
  <si>
    <t>DX-4048</t>
  </si>
  <si>
    <t>C4-60</t>
  </si>
  <si>
    <t>WX-3042</t>
  </si>
  <si>
    <t>R4-42</t>
  </si>
  <si>
    <t>R2-56</t>
  </si>
  <si>
    <t>TD344B</t>
  </si>
  <si>
    <t>R3-44</t>
  </si>
  <si>
    <t>ECO-GFX2440</t>
  </si>
  <si>
    <t>C3-60</t>
  </si>
  <si>
    <t>TD346B</t>
  </si>
  <si>
    <t>R4-44</t>
  </si>
  <si>
    <t>R2-58</t>
  </si>
  <si>
    <t>R3-46</t>
  </si>
  <si>
    <t>C4-63</t>
  </si>
  <si>
    <t>THERMODRAINTD340-A</t>
  </si>
  <si>
    <t>TD442B</t>
  </si>
  <si>
    <t>TD348B</t>
  </si>
  <si>
    <t>R2-60</t>
  </si>
  <si>
    <t>R4-46</t>
  </si>
  <si>
    <t>C3-63</t>
  </si>
  <si>
    <t>R3-48</t>
  </si>
  <si>
    <t>WX-3048</t>
  </si>
  <si>
    <t>TD350B</t>
  </si>
  <si>
    <t>R2-62</t>
  </si>
  <si>
    <t>C4-66</t>
  </si>
  <si>
    <t>R4-48</t>
  </si>
  <si>
    <t>R3-50</t>
  </si>
  <si>
    <t>TD352B</t>
  </si>
  <si>
    <t>C3-66</t>
  </si>
  <si>
    <t>R2-64</t>
  </si>
  <si>
    <t>R4-50</t>
  </si>
  <si>
    <t>TD354B</t>
  </si>
  <si>
    <t>ECO-GFX2360</t>
  </si>
  <si>
    <t>R3-52</t>
  </si>
  <si>
    <t>R2-66</t>
  </si>
  <si>
    <t>C4-69</t>
  </si>
  <si>
    <t>C3-69</t>
  </si>
  <si>
    <t>TD356B</t>
  </si>
  <si>
    <t>R4-52</t>
  </si>
  <si>
    <t>R2-68</t>
  </si>
  <si>
    <t>R3-54</t>
  </si>
  <si>
    <t>TD358B</t>
  </si>
  <si>
    <t>R2-70</t>
  </si>
  <si>
    <t>C4-72</t>
  </si>
  <si>
    <t>C3-72</t>
  </si>
  <si>
    <t>ECO-GFX2460</t>
  </si>
  <si>
    <t>R4-54</t>
  </si>
  <si>
    <t>R3-56</t>
  </si>
  <si>
    <t>WX-3060</t>
  </si>
  <si>
    <t>TD360B</t>
  </si>
  <si>
    <t>R2-72</t>
  </si>
  <si>
    <t>C3-75</t>
  </si>
  <si>
    <t>R4-56</t>
  </si>
  <si>
    <t>R3-58</t>
  </si>
  <si>
    <t>TD362B</t>
  </si>
  <si>
    <t>C4-75</t>
  </si>
  <si>
    <t>R2-74</t>
  </si>
  <si>
    <t>TD364B</t>
  </si>
  <si>
    <t>R2-76</t>
  </si>
  <si>
    <t>R4-58</t>
  </si>
  <si>
    <t>R3-60</t>
  </si>
  <si>
    <t>C3-78</t>
  </si>
  <si>
    <t>TD366B</t>
  </si>
  <si>
    <t>C4-78</t>
  </si>
  <si>
    <t>R2-78</t>
  </si>
  <si>
    <t>R4-60</t>
  </si>
  <si>
    <t>R3-62</t>
  </si>
  <si>
    <t>TD368B</t>
  </si>
  <si>
    <t>C3-81</t>
  </si>
  <si>
    <t>R2-80</t>
  </si>
  <si>
    <t>TD370B</t>
  </si>
  <si>
    <t>R3-64</t>
  </si>
  <si>
    <t>R4-62</t>
  </si>
  <si>
    <t>R2-82</t>
  </si>
  <si>
    <t>C4-81</t>
  </si>
  <si>
    <t>C3-84</t>
  </si>
  <si>
    <t>TD372B</t>
  </si>
  <si>
    <t>R2-84</t>
  </si>
  <si>
    <t>R4-64</t>
  </si>
  <si>
    <t>R3-66</t>
  </si>
  <si>
    <t>C3-87</t>
  </si>
  <si>
    <t>R2-86</t>
  </si>
  <si>
    <t>C4-84</t>
  </si>
  <si>
    <t>R2-88</t>
  </si>
  <si>
    <t>R3-68</t>
  </si>
  <si>
    <t>R4-66</t>
  </si>
  <si>
    <t>TD460B</t>
  </si>
  <si>
    <t>C3-90</t>
  </si>
  <si>
    <t>R2-90</t>
  </si>
  <si>
    <t>R3-70</t>
  </si>
  <si>
    <t>R2-92</t>
  </si>
  <si>
    <t>C3-93</t>
  </si>
  <si>
    <t>C4-87</t>
  </si>
  <si>
    <t>R4-68</t>
  </si>
  <si>
    <t>TD472B</t>
  </si>
  <si>
    <t>R2-94</t>
  </si>
  <si>
    <t>C3-96</t>
  </si>
  <si>
    <t>R2-96</t>
  </si>
  <si>
    <t>R3-72</t>
  </si>
  <si>
    <t>R2-98</t>
  </si>
  <si>
    <t>R4-70</t>
  </si>
  <si>
    <t>C3-99</t>
  </si>
  <si>
    <t>C4-90</t>
  </si>
  <si>
    <t>R2-100</t>
  </si>
  <si>
    <t>R2-102</t>
  </si>
  <si>
    <t>R3-74</t>
  </si>
  <si>
    <t>C3-102</t>
  </si>
  <si>
    <t>R2-104</t>
  </si>
  <si>
    <t>R4-72</t>
  </si>
  <si>
    <t>R2-106</t>
  </si>
  <si>
    <t>R2-108</t>
  </si>
  <si>
    <t>C3-105</t>
  </si>
  <si>
    <t>R2-110</t>
  </si>
  <si>
    <t>C4-93</t>
  </si>
  <si>
    <t>R2-112</t>
  </si>
  <si>
    <t>R2-114</t>
  </si>
  <si>
    <t>R2-118</t>
  </si>
  <si>
    <t>R3-76</t>
  </si>
  <si>
    <t>R2-120</t>
  </si>
  <si>
    <t>C3-108</t>
  </si>
  <si>
    <t>R2-116</t>
  </si>
  <si>
    <t>R4-74</t>
  </si>
  <si>
    <t>C3-111</t>
  </si>
  <si>
    <t>C3-114</t>
  </si>
  <si>
    <t>C3-120</t>
  </si>
  <si>
    <t>C3-117</t>
  </si>
  <si>
    <t>R3-78</t>
  </si>
  <si>
    <t>C4-96</t>
  </si>
  <si>
    <t>R4-76</t>
  </si>
  <si>
    <t>R3-80</t>
  </si>
  <si>
    <t>R4-78</t>
  </si>
  <si>
    <t>C4-99</t>
  </si>
  <si>
    <t>R3-82</t>
  </si>
  <si>
    <t>R4-80</t>
  </si>
  <si>
    <t>R3-84</t>
  </si>
  <si>
    <t>C4-102</t>
  </si>
  <si>
    <t>R4-82</t>
  </si>
  <si>
    <t>R3-86</t>
  </si>
  <si>
    <t>C4-105</t>
  </si>
  <si>
    <t>R3-88</t>
  </si>
  <si>
    <t>R4-84</t>
  </si>
  <si>
    <t>C4-108</t>
  </si>
  <si>
    <t>R3-90</t>
  </si>
  <si>
    <t>R4-86</t>
  </si>
  <si>
    <t>C4-111</t>
  </si>
  <si>
    <t>R3-92</t>
  </si>
  <si>
    <t>R4-88</t>
  </si>
  <si>
    <t>C4-114</t>
  </si>
  <si>
    <t>R3-94</t>
  </si>
  <si>
    <t>R4-90</t>
  </si>
  <si>
    <t>C4-117</t>
  </si>
  <si>
    <t>R3-96</t>
  </si>
  <si>
    <t>R4-92</t>
  </si>
  <si>
    <t>C4-120</t>
  </si>
  <si>
    <t>R3-98</t>
  </si>
  <si>
    <t>R4-94</t>
  </si>
  <si>
    <t>R3-100</t>
  </si>
  <si>
    <t>R3-102</t>
  </si>
  <si>
    <t>R4-96</t>
  </si>
  <si>
    <t>R3-104</t>
  </si>
  <si>
    <t>R4-98</t>
  </si>
  <si>
    <t>R3-106</t>
  </si>
  <si>
    <t>R4-100</t>
  </si>
  <si>
    <t>R3-108</t>
  </si>
  <si>
    <t>R4-102</t>
  </si>
  <si>
    <t>R3-110</t>
  </si>
  <si>
    <t>R3-112</t>
  </si>
  <si>
    <t>R4-104</t>
  </si>
  <si>
    <t>R3-114</t>
  </si>
  <si>
    <t>R4-106</t>
  </si>
  <si>
    <t>R3-116</t>
  </si>
  <si>
    <t>R3-118</t>
  </si>
  <si>
    <t>R4-108</t>
  </si>
  <si>
    <t>R3-120</t>
  </si>
  <si>
    <t>R4-110</t>
  </si>
  <si>
    <t>R4-112</t>
  </si>
  <si>
    <t>R4-114</t>
  </si>
  <si>
    <t>R4-116</t>
  </si>
  <si>
    <t>R4-118</t>
  </si>
  <si>
    <t>R4-120</t>
  </si>
  <si>
    <t>DOWNLOADED FROM:</t>
  </si>
  <si>
    <t>http://oee.nrcan.gc.ca/pml-lmp/index.cfm?language_langue=en&amp;action=app%2Esearch%2Drecherche&amp;appliance=DWHR&amp;attr=0</t>
  </si>
  <si>
    <t>='\\nas2\Q\SeventhPlan\Conservation Analysis\Res\[7P Forecast D1.xlsx]Source Data'!$B$2</t>
  </si>
  <si>
    <t>2014 -&gt; 2012 Deflator</t>
  </si>
  <si>
    <t>Measure:</t>
  </si>
  <si>
    <t>Methods &amp; Sources</t>
  </si>
  <si>
    <t>Note</t>
  </si>
  <si>
    <t>7P Updates</t>
  </si>
  <si>
    <t>Measures Described</t>
  </si>
  <si>
    <t>None</t>
  </si>
  <si>
    <t>Energy Savings Calculation Basis</t>
  </si>
  <si>
    <t>Applicable Stock</t>
  </si>
  <si>
    <t>Baseline Saturation</t>
  </si>
  <si>
    <t>Baseline HVAC Loads</t>
  </si>
  <si>
    <t>Permutations</t>
  </si>
  <si>
    <t>Costs</t>
  </si>
  <si>
    <t>Measure Life</t>
  </si>
  <si>
    <t>Savings Shape</t>
  </si>
  <si>
    <t>Achievability Ramp Rate</t>
  </si>
  <si>
    <t xml:space="preserve">Drain Water Heat Recovery </t>
  </si>
  <si>
    <t>Drain water heat recovery transfers some of the heat from the drain water from a shower to the incoming water, permitting lower hot water draws</t>
  </si>
  <si>
    <t>Only applying to New Construction due to labor difficulty of retrofit</t>
  </si>
  <si>
    <t>Based on savings factor and DHW use</t>
  </si>
  <si>
    <t>Zero</t>
  </si>
  <si>
    <t>No available data on baseline saturation, but likely low from anecdotal evidence</t>
  </si>
  <si>
    <t>Web site</t>
  </si>
  <si>
    <t>House life</t>
  </si>
  <si>
    <t>Res DHW</t>
  </si>
  <si>
    <t>No current program, difficult to get uptake, expensive</t>
  </si>
  <si>
    <t>Shower preheat and DHW preheat; electric resisitance WH and HPWH</t>
  </si>
  <si>
    <t>http://www.gfxtechnology.com/</t>
  </si>
  <si>
    <t>Costs based on 2014 data, Deflated costs from 2014 -&gt; 2012</t>
  </si>
  <si>
    <t>Retro or LO</t>
  </si>
  <si>
    <t>Early Retrofit Parameters</t>
  </si>
  <si>
    <t>R or L</t>
  </si>
  <si>
    <t>Savings 2
(kWh)</t>
  </si>
  <si>
    <t>Remaining
Life (yrs)</t>
  </si>
  <si>
    <t>Salvage Value ($)</t>
  </si>
  <si>
    <t>L</t>
  </si>
  <si>
    <t>aMW</t>
  </si>
  <si>
    <t>R-All-WH-ERWH-All-All-R</t>
  </si>
  <si>
    <t>R-All-WH-HPWH-All-All-R</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</si>
  <si>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</si>
  <si>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</si>
  <si>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</si>
  <si>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</si>
  <si>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</si>
  <si>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</si>
  <si>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</si>
  <si>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</si>
  <si>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</si>
  <si>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</si>
  <si>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</si>
  <si>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Marginal Costs and Savings Shape File</t>
  </si>
  <si>
    <t>6P MidC Final (with carbon)</t>
  </si>
  <si>
    <t>Customer</t>
  </si>
  <si>
    <t>Wholesale Elec</t>
  </si>
  <si>
    <t>Retail Elec</t>
  </si>
  <si>
    <t>Nat Gas</t>
  </si>
  <si>
    <t>Program Life (yrs)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</si>
  <si>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</si>
  <si>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</si>
  <si>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</si>
  <si>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</si>
  <si>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</si>
  <si>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</si>
  <si>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</si>
  <si>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</si>
  <si>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</si>
  <si>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</si>
  <si>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</si>
  <si>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</si>
  <si>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</si>
  <si>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</si>
  <si>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</si>
  <si>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</si>
  <si>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</si>
  <si>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</si>
  <si>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</si>
  <si>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</si>
  <si>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</si>
  <si>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</si>
  <si>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</si>
  <si>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</si>
  <si>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</si>
  <si>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</si>
  <si>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</si>
  <si>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</si>
  <si>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</si>
  <si>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</si>
  <si>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</si>
  <si>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</si>
  <si>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</si>
  <si>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</si>
  <si>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</si>
  <si>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</si>
  <si>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</si>
  <si>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</si>
  <si>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</si>
  <si>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</si>
  <si>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</si>
  <si>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</si>
  <si>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</si>
  <si>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</si>
  <si>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</si>
  <si>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</si>
  <si>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</si>
  <si>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</si>
  <si>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</si>
  <si>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</si>
  <si>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</si>
  <si>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</si>
  <si>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</si>
  <si>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</si>
  <si>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</si>
  <si>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</si>
  <si>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</si>
  <si>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</si>
  <si>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</si>
  <si>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</si>
  <si>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</si>
  <si>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</si>
  <si>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</si>
  <si>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</si>
  <si>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</si>
  <si>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</si>
  <si>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</si>
  <si>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</si>
  <si>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</si>
  <si>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</si>
  <si>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</si>
  <si>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</si>
  <si>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</si>
  <si>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</si>
  <si>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</si>
  <si>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</si>
  <si>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</si>
  <si>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</si>
  <si>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</si>
  <si>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</si>
  <si>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</si>
  <si>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</si>
  <si>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</si>
  <si>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</si>
  <si>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</si>
  <si>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</si>
  <si>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</si>
  <si>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</si>
  <si>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</si>
  <si>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</si>
  <si>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</si>
  <si>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</si>
  <si>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</si>
  <si>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</si>
  <si>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</si>
  <si>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</si>
  <si>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</si>
  <si>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</si>
  <si>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</si>
  <si>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</si>
  <si>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</si>
  <si>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</si>
  <si>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</si>
  <si>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</si>
  <si>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</si>
  <si>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</si>
  <si>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</si>
  <si>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</si>
  <si>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</si>
  <si>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</si>
  <si>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</si>
  <si>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</si>
  <si>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</si>
  <si>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</si>
  <si>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</si>
  <si>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</si>
  <si>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</si>
  <si>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</si>
  <si>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</si>
  <si>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</si>
  <si>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</si>
  <si>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</si>
  <si>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</si>
  <si>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</si>
  <si>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</si>
  <si>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</si>
  <si>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</si>
  <si>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</si>
  <si>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</si>
  <si>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</si>
  <si>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</si>
  <si>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</si>
  <si>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</si>
  <si>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</si>
  <si>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</si>
  <si>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</si>
  <si>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</si>
  <si>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</si>
  <si>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</si>
  <si>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</si>
  <si>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</si>
  <si>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</si>
  <si>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</si>
  <si>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</si>
  <si>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</si>
  <si>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</si>
  <si>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</si>
  <si>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</si>
  <si>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</si>
  <si>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</si>
  <si>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</si>
  <si>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</si>
  <si>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</si>
  <si>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</si>
  <si>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</si>
  <si>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Measures with B/C &gt; 1.00</t>
  </si>
  <si>
    <t>Categories with B/C &gt; 1.00</t>
  </si>
  <si>
    <t>Supply Curve Results:  By TRC Net Levelized Cost - Net of Benefits</t>
  </si>
  <si>
    <t>No potential in manufactured homes due to lack of pipe run below shower, 2 story house for SF</t>
  </si>
  <si>
    <t>RBSA &amp; NEEA data on ERWH</t>
  </si>
  <si>
    <t xml:space="preserve"> Only apply to SF new const. # Showers per Home from RBSA, Engineering judgment of % of homes it can work.</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</si>
  <si>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</si>
  <si>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</si>
  <si>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</si>
  <si>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</si>
  <si>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</si>
  <si>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</si>
  <si>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</si>
  <si>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</si>
  <si>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</si>
  <si>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</si>
  <si>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</si>
  <si>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</si>
  <si>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</si>
  <si>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</si>
  <si>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</si>
  <si>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</si>
  <si>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</si>
  <si>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</si>
  <si>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</si>
  <si>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</si>
  <si>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</si>
  <si>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</si>
  <si>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</si>
  <si>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</si>
  <si>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</si>
  <si>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</si>
  <si>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</si>
  <si>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</si>
  <si>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</si>
  <si>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Block 22: 200-210 mills/kWh</t>
  </si>
  <si>
    <t>&lt;=210</t>
  </si>
  <si>
    <t>MAX</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</si>
  <si>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</si>
  <si>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</si>
  <si>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</si>
  <si>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</si>
  <si>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</si>
  <si>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</si>
  <si>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Same methodology, but showerhead savings approach updated for 7P resulting in low flow SH 1.5 GPM so lower savings for GFX</t>
  </si>
  <si>
    <t>Will not degrade, will not easily be removed</t>
  </si>
  <si>
    <t>LO 2Slow</t>
  </si>
  <si>
    <t>Block 2: 0-10 mills/kWh</t>
  </si>
  <si>
    <t>Ramp Rate</t>
  </si>
  <si>
    <t>Resource Type</t>
  </si>
  <si>
    <t>Measure Category</t>
  </si>
  <si>
    <t>Sector</t>
  </si>
  <si>
    <t>End Use</t>
  </si>
  <si>
    <t>kW per unit</t>
  </si>
  <si>
    <t>kWh per unit</t>
  </si>
  <si>
    <t>TRC Net Levelized Cost (Net of All Benefits)</t>
  </si>
  <si>
    <t>End Use:</t>
  </si>
  <si>
    <t>Friday, 6 March , 2015 at 1:51 PM</t>
  </si>
  <si>
    <t>Total Max Potential (aMW)</t>
  </si>
</sst>
</file>

<file path=xl/styles.xml><?xml version="1.0" encoding="utf-8"?>
<styleSheet xmlns="http://schemas.openxmlformats.org/spreadsheetml/2006/main">
  <numFmts count="21">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quot;$&quot;#,##0"/>
    <numFmt numFmtId="165" formatCode="0.0"/>
    <numFmt numFmtId="166" formatCode="_(* #,##0_);_(* \(#,##0\);_(* &quot;-&quot;??_);_(@_)"/>
    <numFmt numFmtId="167" formatCode="_(* #,##0.0_);_(* \(#,##0.0\);_(* &quot;-&quot;??_);_(@_)"/>
    <numFmt numFmtId="168" formatCode="0.0%"/>
    <numFmt numFmtId="169" formatCode="_(* #,##0.0000_);_(* \(#,##0.0000\);_(* &quot;-&quot;??_);_(@_)"/>
    <numFmt numFmtId="170" formatCode="0.0000"/>
    <numFmt numFmtId="171" formatCode="0.00000"/>
    <numFmt numFmtId="172" formatCode="_(&quot;$&quot;* #,##0_);_(&quot;$&quot;* \(#,##0\);_(&quot;$&quot;* &quot;-&quot;??_);_(@_)"/>
    <numFmt numFmtId="173" formatCode="0.000000"/>
    <numFmt numFmtId="174" formatCode="#,##0.0"/>
    <numFmt numFmtId="175" formatCode="0.00000000000000"/>
    <numFmt numFmtId="176" formatCode="m/d/\ h:mm"/>
    <numFmt numFmtId="177" formatCode="mmm\-yyyy"/>
    <numFmt numFmtId="178" formatCode="0.0;[Red]\-0.0"/>
    <numFmt numFmtId="179" formatCode="\ "/>
  </numFmts>
  <fonts count="63">
    <font>
      <sz val="10"/>
      <color theme="1"/>
      <name val="Arial"/>
      <family val="2"/>
    </font>
    <font>
      <sz val="10"/>
      <color theme="1"/>
      <name val="Arial"/>
      <family val="2"/>
    </font>
    <font>
      <sz val="10"/>
      <name val="Arial"/>
      <family val="2"/>
    </font>
    <font>
      <b/>
      <sz val="10"/>
      <name val="Arial"/>
      <family val="2"/>
    </font>
    <font>
      <b/>
      <sz val="8"/>
      <color indexed="81"/>
      <name val="Tahoma"/>
      <family val="2"/>
    </font>
    <font>
      <sz val="8"/>
      <color indexed="81"/>
      <name val="Tahoma"/>
      <family val="2"/>
    </font>
    <font>
      <sz val="11"/>
      <name val="Calibri"/>
      <family val="2"/>
    </font>
    <font>
      <b/>
      <i/>
      <sz val="11"/>
      <color indexed="8"/>
      <name val="Calibri"/>
      <family val="2"/>
    </font>
    <font>
      <u/>
      <sz val="10"/>
      <color indexed="12"/>
      <name val="Arial"/>
      <family val="2"/>
    </font>
    <font>
      <b/>
      <sz val="11"/>
      <name val="Calibri"/>
      <family val="2"/>
    </font>
    <font>
      <b/>
      <sz val="11"/>
      <color indexed="8"/>
      <name val="Calibri"/>
      <family val="2"/>
    </font>
    <font>
      <sz val="11"/>
      <color indexed="8"/>
      <name val="Calibri"/>
      <family val="2"/>
    </font>
    <font>
      <i/>
      <sz val="11"/>
      <name val="Calibri"/>
      <family val="2"/>
    </font>
    <font>
      <sz val="10"/>
      <name val="Calibri"/>
      <family val="2"/>
    </font>
    <font>
      <sz val="11"/>
      <color indexed="10"/>
      <name val="Calibri"/>
      <family val="2"/>
    </font>
    <font>
      <sz val="12"/>
      <name val="Arial"/>
      <family val="2"/>
    </font>
    <font>
      <b/>
      <i/>
      <sz val="1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sz val="12"/>
      <name val="Times New Roman"/>
      <family val="1"/>
    </font>
    <font>
      <b/>
      <sz val="12"/>
      <name val="Times New Roman"/>
      <family val="1"/>
    </font>
    <font>
      <b/>
      <sz val="13"/>
      <color indexed="62"/>
      <name val="Calibri"/>
      <family val="2"/>
    </font>
    <font>
      <u/>
      <sz val="7"/>
      <color indexed="12"/>
      <name val="Arial"/>
      <family val="2"/>
    </font>
    <font>
      <sz val="10"/>
      <name val="MS Sans Serif"/>
      <family val="2"/>
    </font>
    <font>
      <sz val="10"/>
      <color indexed="9"/>
      <name val="Arial"/>
      <family val="2"/>
    </font>
    <font>
      <b/>
      <sz val="14"/>
      <color theme="1"/>
      <name val="Calibri"/>
      <family val="2"/>
      <scheme val="minor"/>
    </font>
    <font>
      <b/>
      <sz val="11"/>
      <name val="Calibri"/>
      <family val="2"/>
      <scheme val="minor"/>
    </font>
    <font>
      <sz val="11"/>
      <name val="Calibri"/>
      <family val="2"/>
      <scheme val="minor"/>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Times New Roman"/>
      <family val="1"/>
    </font>
    <font>
      <u/>
      <sz val="10"/>
      <color theme="10"/>
      <name val="Arial"/>
      <family val="2"/>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sz val="10"/>
      <name val="굴림"/>
      <family val="3"/>
      <charset val="129"/>
    </font>
    <font>
      <sz val="10"/>
      <color indexed="10"/>
      <name val="Arial"/>
      <family val="2"/>
    </font>
  </fonts>
  <fills count="81">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gray0625">
        <bgColor indexed="22"/>
      </patternFill>
    </fill>
    <fill>
      <patternFill patternType="solid">
        <fgColor indexed="47"/>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indexed="44"/>
        <bgColor indexed="64"/>
      </patternFill>
    </fill>
    <fill>
      <patternFill patternType="solid">
        <fgColor indexed="26"/>
      </patternFill>
    </fill>
    <fill>
      <patternFill patternType="solid">
        <fgColor indexed="57"/>
        <bgColor indexed="64"/>
      </patternFill>
    </fill>
    <fill>
      <patternFill patternType="solid">
        <fgColor rgb="FFFFFF00"/>
        <bgColor indexed="64"/>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9"/>
      </left>
      <right/>
      <top style="thick">
        <color indexed="9"/>
      </top>
      <bottom/>
      <diagonal/>
    </border>
    <border>
      <left/>
      <right style="thick">
        <color indexed="9"/>
      </right>
      <top style="thick">
        <color indexed="9"/>
      </top>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bottom style="thick">
        <color indexed="9"/>
      </bottom>
      <diagonal/>
    </border>
    <border>
      <left style="thick">
        <color indexed="9"/>
      </left>
      <right/>
      <top/>
      <bottom/>
      <diagonal/>
    </border>
    <border>
      <left style="thick">
        <color indexed="9"/>
      </left>
      <right style="thick">
        <color indexed="9"/>
      </right>
      <top/>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style="thick">
        <color indexed="9"/>
      </top>
      <bottom style="thick">
        <color indexed="9"/>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s>
  <cellStyleXfs count="53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alignment readingOrder="1"/>
    </xf>
    <xf numFmtId="0" fontId="8" fillId="0" borderId="0" applyNumberFormat="0" applyFill="0" applyBorder="0" applyAlignment="0" applyProtection="0">
      <alignment vertical="top"/>
      <protection locked="0"/>
    </xf>
    <xf numFmtId="9" fontId="2" fillId="0" borderId="0" applyFont="0" applyFill="0" applyBorder="0" applyAlignment="0" applyProtection="0"/>
    <xf numFmtId="0" fontId="15" fillId="0" borderId="0"/>
    <xf numFmtId="43" fontId="2" fillId="0" borderId="0" applyFont="0" applyFill="0" applyBorder="0" applyAlignment="0" applyProtection="0"/>
    <xf numFmtId="43" fontId="2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0" fontId="2" fillId="19" borderId="0" applyNumberFormat="0" applyAlignment="0">
      <alignment horizontal="right"/>
    </xf>
    <xf numFmtId="0" fontId="2" fillId="8" borderId="0" applyNumberFormat="0" applyAlignment="0"/>
    <xf numFmtId="0" fontId="2" fillId="8" borderId="0" applyNumberFormat="0" applyAlignment="0"/>
    <xf numFmtId="176" fontId="25" fillId="0" borderId="0"/>
    <xf numFmtId="0" fontId="26" fillId="0" borderId="0">
      <alignment horizontal="center" wrapText="1"/>
    </xf>
    <xf numFmtId="0" fontId="27" fillId="0" borderId="26" applyNumberFormat="0" applyFill="0" applyAlignment="0" applyProtection="0"/>
    <xf numFmtId="0" fontId="27" fillId="0" borderId="26" applyNumberFormat="0" applyFill="0" applyAlignment="0" applyProtection="0"/>
    <xf numFmtId="0" fontId="28" fillId="0" borderId="0" applyNumberFormat="0" applyFill="0" applyBorder="0" applyAlignment="0" applyProtection="0">
      <alignment vertical="top"/>
      <protection locked="0"/>
    </xf>
    <xf numFmtId="0" fontId="24" fillId="0" borderId="0"/>
    <xf numFmtId="0" fontId="2" fillId="0" borderId="0"/>
    <xf numFmtId="0" fontId="11" fillId="0" borderId="0"/>
    <xf numFmtId="0" fontId="2" fillId="0" borderId="0"/>
    <xf numFmtId="0" fontId="2" fillId="0" borderId="0">
      <alignment readingOrder="1"/>
    </xf>
    <xf numFmtId="0" fontId="29" fillId="0" borderId="0"/>
    <xf numFmtId="0" fontId="2" fillId="0" borderId="0"/>
    <xf numFmtId="0" fontId="11" fillId="20" borderId="27" applyNumberFormat="0" applyFont="0" applyAlignment="0" applyProtection="0"/>
    <xf numFmtId="0" fontId="11" fillId="20" borderId="27"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2" fillId="0" borderId="0"/>
    <xf numFmtId="0" fontId="2" fillId="0" borderId="0"/>
    <xf numFmtId="0" fontId="2" fillId="0" borderId="0">
      <alignment readingOrder="1"/>
    </xf>
    <xf numFmtId="0" fontId="15" fillId="0" borderId="0"/>
    <xf numFmtId="0" fontId="11" fillId="23" borderId="0" applyNumberFormat="0" applyBorder="0" applyAlignment="0" applyProtection="0"/>
    <xf numFmtId="0" fontId="11" fillId="24" borderId="0" applyNumberFormat="0" applyBorder="0" applyAlignment="0" applyProtection="0"/>
    <xf numFmtId="0" fontId="34" fillId="25" borderId="0" applyNumberFormat="0" applyBorder="0" applyAlignment="0" applyProtection="0"/>
    <xf numFmtId="0" fontId="11" fillId="26" borderId="0" applyNumberFormat="0" applyBorder="0" applyAlignment="0" applyProtection="0"/>
    <xf numFmtId="0" fontId="34" fillId="27" borderId="0" applyNumberFormat="0" applyBorder="0" applyAlignment="0" applyProtection="0"/>
    <xf numFmtId="0" fontId="11" fillId="28" borderId="0" applyNumberFormat="0" applyBorder="0" applyAlignment="0" applyProtection="0"/>
    <xf numFmtId="0" fontId="11" fillId="26" borderId="0" applyNumberFormat="0" applyBorder="0" applyAlignment="0" applyProtection="0"/>
    <xf numFmtId="0" fontId="34" fillId="20" borderId="0" applyNumberFormat="0" applyBorder="0" applyAlignment="0" applyProtection="0"/>
    <xf numFmtId="0" fontId="11" fillId="29" borderId="0" applyNumberFormat="0" applyBorder="0" applyAlignment="0" applyProtection="0"/>
    <xf numFmtId="0" fontId="11" fillId="24" borderId="0" applyNumberFormat="0" applyBorder="0" applyAlignment="0" applyProtection="0"/>
    <xf numFmtId="0" fontId="34" fillId="25" borderId="0" applyNumberFormat="0" applyBorder="0" applyAlignment="0" applyProtection="0"/>
    <xf numFmtId="0" fontId="11" fillId="30" borderId="0" applyNumberFormat="0" applyBorder="0" applyAlignment="0" applyProtection="0"/>
    <xf numFmtId="0" fontId="34" fillId="30" borderId="0" applyNumberFormat="0" applyBorder="0" applyAlignment="0" applyProtection="0"/>
    <xf numFmtId="0" fontId="11" fillId="27" borderId="0" applyNumberFormat="0" applyBorder="0" applyAlignment="0" applyProtection="0"/>
    <xf numFmtId="0" fontId="34" fillId="27"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34" fillId="32" borderId="0" applyNumberFormat="0" applyBorder="0" applyAlignment="0" applyProtection="0"/>
    <xf numFmtId="0" fontId="11" fillId="33" borderId="0" applyNumberFormat="0" applyBorder="0" applyAlignment="0" applyProtection="0"/>
    <xf numFmtId="0" fontId="11" fillId="26" borderId="0" applyNumberFormat="0" applyBorder="0" applyAlignment="0" applyProtection="0"/>
    <xf numFmtId="0" fontId="34" fillId="33" borderId="0" applyNumberFormat="0" applyBorder="0" applyAlignment="0" applyProtection="0"/>
    <xf numFmtId="0" fontId="11" fillId="34" borderId="0" applyNumberFormat="0" applyBorder="0" applyAlignment="0" applyProtection="0"/>
    <xf numFmtId="0" fontId="11" fillId="26" borderId="0" applyNumberFormat="0" applyBorder="0" applyAlignment="0" applyProtection="0"/>
    <xf numFmtId="0" fontId="34" fillId="35" borderId="0" applyNumberFormat="0" applyBorder="0" applyAlignment="0" applyProtection="0"/>
    <xf numFmtId="0" fontId="11" fillId="29" borderId="0" applyNumberFormat="0" applyBorder="0" applyAlignment="0" applyProtection="0"/>
    <xf numFmtId="0" fontId="11" fillId="32" borderId="0" applyNumberFormat="0" applyBorder="0" applyAlignment="0" applyProtection="0"/>
    <xf numFmtId="0" fontId="34" fillId="32" borderId="0" applyNumberFormat="0" applyBorder="0" applyAlignment="0" applyProtection="0"/>
    <xf numFmtId="0" fontId="11" fillId="31" borderId="0" applyNumberFormat="0" applyBorder="0" applyAlignment="0" applyProtection="0"/>
    <xf numFmtId="0" fontId="34" fillId="31" borderId="0" applyNumberFormat="0" applyBorder="0" applyAlignment="0" applyProtection="0"/>
    <xf numFmtId="0" fontId="11" fillId="36" borderId="0" applyNumberFormat="0" applyBorder="0" applyAlignment="0" applyProtection="0"/>
    <xf numFmtId="0" fontId="11" fillId="27" borderId="0" applyNumberFormat="0" applyBorder="0" applyAlignment="0" applyProtection="0"/>
    <xf numFmtId="0" fontId="34" fillId="27"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3" borderId="0" applyNumberFormat="0" applyBorder="0" applyAlignment="0" applyProtection="0"/>
    <xf numFmtId="0" fontId="35" fillId="26"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26"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30" fillId="43" borderId="0" applyNumberFormat="0" applyBorder="0" applyAlignment="0" applyProtection="0"/>
    <xf numFmtId="0" fontId="35" fillId="44"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30" fillId="46"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30" fillId="49" borderId="0" applyNumberFormat="0" applyBorder="0" applyAlignment="0" applyProtection="0"/>
    <xf numFmtId="0" fontId="35" fillId="50" borderId="0" applyNumberFormat="0" applyBorder="0" applyAlignment="0" applyProtection="0"/>
    <xf numFmtId="0" fontId="35" fillId="26" borderId="0" applyNumberFormat="0" applyBorder="0" applyAlignment="0" applyProtection="0"/>
    <xf numFmtId="0" fontId="35" fillId="50"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30" fillId="52" borderId="0" applyNumberFormat="0" applyBorder="0" applyAlignment="0" applyProtection="0"/>
    <xf numFmtId="0" fontId="35" fillId="39"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20" fillId="54" borderId="0" applyNumberFormat="0" applyBorder="0" applyAlignment="0" applyProtection="0"/>
    <xf numFmtId="0" fontId="20" fillId="42" borderId="0" applyNumberFormat="0" applyBorder="0" applyAlignment="0" applyProtection="0"/>
    <xf numFmtId="0" fontId="30" fillId="55"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20" fillId="56" borderId="0" applyNumberFormat="0" applyBorder="0" applyAlignment="0" applyProtection="0"/>
    <xf numFmtId="0" fontId="20" fillId="57" borderId="0" applyNumberFormat="0" applyBorder="0" applyAlignment="0" applyProtection="0"/>
    <xf numFmtId="0" fontId="30" fillId="58"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36" fillId="26" borderId="0" applyNumberFormat="0" applyBorder="0" applyAlignment="0" applyProtection="0"/>
    <xf numFmtId="0" fontId="36" fillId="29" borderId="0" applyNumberFormat="0" applyBorder="0" applyAlignment="0" applyProtection="0"/>
    <xf numFmtId="0" fontId="36" fillId="26" borderId="0" applyNumberFormat="0" applyBorder="0" applyAlignment="0" applyProtection="0"/>
    <xf numFmtId="0" fontId="37" fillId="32" borderId="33" applyNumberFormat="0" applyAlignment="0" applyProtection="0"/>
    <xf numFmtId="0" fontId="37" fillId="24" borderId="33" applyNumberFormat="0" applyAlignment="0" applyProtection="0"/>
    <xf numFmtId="0" fontId="37" fillId="24" borderId="33" applyNumberFormat="0" applyAlignment="0" applyProtection="0"/>
    <xf numFmtId="0" fontId="38" fillId="60" borderId="34" applyNumberFormat="0" applyAlignment="0" applyProtection="0"/>
    <xf numFmtId="0" fontId="38" fillId="60" borderId="34" applyNumberFormat="0" applyAlignment="0" applyProtection="0"/>
    <xf numFmtId="4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2" fillId="19" borderId="0" applyNumberFormat="0" applyAlignment="0">
      <alignment horizontal="right"/>
    </xf>
    <xf numFmtId="0" fontId="2" fillId="19" borderId="0" applyNumberFormat="0" applyAlignment="0">
      <alignment horizontal="right"/>
    </xf>
    <xf numFmtId="0" fontId="2" fillId="19" borderId="0" applyNumberFormat="0" applyAlignment="0">
      <alignment horizontal="right"/>
    </xf>
    <xf numFmtId="0" fontId="2" fillId="19" borderId="0" applyNumberFormat="0" applyAlignment="0">
      <alignment horizontal="right"/>
    </xf>
    <xf numFmtId="0" fontId="2" fillId="19" borderId="0" applyNumberFormat="0" applyAlignment="0">
      <alignment horizontal="right"/>
    </xf>
    <xf numFmtId="0" fontId="40" fillId="61" borderId="0" applyNumberFormat="0" applyBorder="0" applyAlignment="0" applyProtection="0"/>
    <xf numFmtId="0" fontId="40" fillId="62" borderId="0" applyNumberFormat="0" applyBorder="0" applyAlignment="0" applyProtection="0"/>
    <xf numFmtId="0" fontId="40" fillId="63"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3" fillId="0" borderId="35"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5" fillId="0" borderId="3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27" borderId="33" applyNumberFormat="0" applyAlignment="0" applyProtection="0"/>
    <xf numFmtId="0" fontId="51" fillId="27" borderId="33" applyNumberFormat="0" applyAlignment="0" applyProtection="0"/>
    <xf numFmtId="0" fontId="52" fillId="0" borderId="39" applyNumberFormat="0" applyFill="0" applyAlignment="0" applyProtection="0"/>
    <xf numFmtId="0" fontId="52" fillId="0" borderId="39" applyNumberFormat="0" applyFill="0" applyAlignment="0" applyProtection="0"/>
    <xf numFmtId="0" fontId="53" fillId="35" borderId="0" applyNumberFormat="0" applyBorder="0" applyAlignment="0" applyProtection="0"/>
    <xf numFmtId="0" fontId="53" fillId="35" borderId="0" applyNumberFormat="0" applyBorder="0" applyAlignment="0" applyProtection="0"/>
    <xf numFmtId="0" fontId="11" fillId="0" borderId="0"/>
    <xf numFmtId="0" fontId="2" fillId="0" borderId="0"/>
    <xf numFmtId="0" fontId="11" fillId="0" borderId="0"/>
    <xf numFmtId="0" fontId="11" fillId="0" borderId="0"/>
    <xf numFmtId="0" fontId="2" fillId="0" borderId="0">
      <alignment readingOrder="1"/>
    </xf>
    <xf numFmtId="0" fontId="2" fillId="0" borderId="0"/>
    <xf numFmtId="0" fontId="2" fillId="0" borderId="0">
      <alignment readingOrder="1"/>
    </xf>
    <xf numFmtId="0" fontId="24" fillId="0" borderId="0"/>
    <xf numFmtId="0" fontId="24" fillId="0" borderId="0"/>
    <xf numFmtId="0" fontId="24" fillId="0" borderId="0"/>
    <xf numFmtId="0" fontId="1" fillId="0" borderId="0"/>
    <xf numFmtId="0" fontId="1" fillId="0" borderId="0"/>
    <xf numFmtId="0" fontId="24" fillId="0" borderId="0"/>
    <xf numFmtId="0" fontId="24" fillId="0" borderId="0"/>
    <xf numFmtId="0" fontId="1" fillId="0" borderId="0"/>
    <xf numFmtId="0" fontId="1" fillId="0" borderId="0"/>
    <xf numFmtId="0" fontId="24" fillId="0" borderId="0"/>
    <xf numFmtId="0" fontId="24" fillId="0" borderId="0"/>
    <xf numFmtId="0" fontId="24" fillId="0" borderId="0"/>
    <xf numFmtId="0" fontId="24" fillId="0" borderId="0"/>
    <xf numFmtId="0" fontId="2" fillId="0" borderId="0"/>
    <xf numFmtId="0" fontId="24" fillId="0" borderId="0"/>
    <xf numFmtId="0" fontId="24" fillId="0" borderId="0"/>
    <xf numFmtId="0" fontId="2" fillId="0" borderId="0">
      <alignment readingOrder="1"/>
    </xf>
    <xf numFmtId="0" fontId="24" fillId="0" borderId="0"/>
    <xf numFmtId="0" fontId="2" fillId="0" borderId="0"/>
    <xf numFmtId="0" fontId="2" fillId="0" borderId="0"/>
    <xf numFmtId="0" fontId="2" fillId="0" borderId="0"/>
    <xf numFmtId="0" fontId="2" fillId="0" borderId="0"/>
    <xf numFmtId="0" fontId="2" fillId="0" borderId="0"/>
    <xf numFmtId="0" fontId="2" fillId="0" borderId="0">
      <alignment readingOrder="1"/>
    </xf>
    <xf numFmtId="0" fontId="2" fillId="0" borderId="0"/>
    <xf numFmtId="0" fontId="11" fillId="0" borderId="0"/>
    <xf numFmtId="0" fontId="24" fillId="0" borderId="0"/>
    <xf numFmtId="0" fontId="24" fillId="0" borderId="0"/>
    <xf numFmtId="0" fontId="24" fillId="0" borderId="0"/>
    <xf numFmtId="0" fontId="24" fillId="0" borderId="0"/>
    <xf numFmtId="0" fontId="2" fillId="0" borderId="0">
      <alignment readingOrder="1"/>
    </xf>
    <xf numFmtId="0" fontId="2" fillId="0" borderId="0">
      <alignment readingOrder="1"/>
    </xf>
    <xf numFmtId="0" fontId="2" fillId="0" borderId="0">
      <alignment readingOrder="1"/>
    </xf>
    <xf numFmtId="0" fontId="24" fillId="0" borderId="0"/>
    <xf numFmtId="0" fontId="24" fillId="0" borderId="0"/>
    <xf numFmtId="0" fontId="2" fillId="0" borderId="0">
      <alignment readingOrder="1"/>
    </xf>
    <xf numFmtId="0" fontId="11" fillId="0" borderId="0"/>
    <xf numFmtId="0" fontId="2" fillId="0" borderId="0">
      <alignment readingOrder="1"/>
    </xf>
    <xf numFmtId="0" fontId="24" fillId="0" borderId="0"/>
    <xf numFmtId="0" fontId="24" fillId="0" borderId="0"/>
    <xf numFmtId="0" fontId="2" fillId="0" borderId="0">
      <alignment readingOrder="1"/>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alignment readingOrder="1"/>
    </xf>
    <xf numFmtId="0" fontId="2" fillId="0" borderId="0"/>
    <xf numFmtId="0" fontId="54" fillId="0" borderId="0"/>
    <xf numFmtId="0" fontId="55" fillId="0" borderId="0"/>
    <xf numFmtId="0" fontId="55" fillId="0" borderId="0"/>
    <xf numFmtId="0" fontId="55" fillId="0" borderId="0"/>
    <xf numFmtId="0" fontId="2" fillId="0" borderId="0"/>
    <xf numFmtId="0" fontId="2" fillId="0" borderId="0"/>
    <xf numFmtId="0" fontId="2" fillId="0" borderId="0"/>
    <xf numFmtId="0" fontId="55" fillId="0" borderId="0"/>
    <xf numFmtId="0" fontId="55" fillId="0" borderId="0"/>
    <xf numFmtId="0" fontId="55" fillId="0" borderId="0"/>
    <xf numFmtId="0" fontId="2" fillId="0" borderId="0"/>
    <xf numFmtId="0" fontId="2" fillId="0" borderId="0"/>
    <xf numFmtId="0" fontId="2" fillId="0" borderId="0"/>
    <xf numFmtId="0" fontId="2" fillId="0" borderId="0">
      <alignment readingOrder="1"/>
    </xf>
    <xf numFmtId="0" fontId="2" fillId="0" borderId="0"/>
    <xf numFmtId="0" fontId="2" fillId="0" borderId="0"/>
    <xf numFmtId="0" fontId="11"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2" fillId="0" borderId="0" applyNumberFormat="0" applyFill="0" applyBorder="0" applyAlignment="0" applyProtection="0"/>
    <xf numFmtId="0" fontId="24" fillId="0" borderId="0"/>
    <xf numFmtId="0" fontId="24" fillId="0" borderId="0"/>
    <xf numFmtId="0" fontId="39" fillId="0" borderId="0"/>
    <xf numFmtId="0" fontId="24" fillId="0" borderId="0"/>
    <xf numFmtId="0" fontId="24" fillId="0" borderId="0"/>
    <xf numFmtId="0" fontId="2" fillId="0" borderId="0">
      <alignment readingOrder="1"/>
    </xf>
    <xf numFmtId="0" fontId="24" fillId="0" borderId="0"/>
    <xf numFmtId="0" fontId="24" fillId="0" borderId="0"/>
    <xf numFmtId="0" fontId="24" fillId="0" borderId="0"/>
    <xf numFmtId="0" fontId="24"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4" fillId="0" borderId="0"/>
    <xf numFmtId="0" fontId="24" fillId="0" borderId="0"/>
    <xf numFmtId="0" fontId="2" fillId="0" borderId="0"/>
    <xf numFmtId="0" fontId="11" fillId="0" borderId="0"/>
    <xf numFmtId="0" fontId="11" fillId="0" borderId="0"/>
    <xf numFmtId="0" fontId="24" fillId="0" borderId="0"/>
    <xf numFmtId="0" fontId="29" fillId="0" borderId="0"/>
    <xf numFmtId="0" fontId="11" fillId="0" borderId="0"/>
    <xf numFmtId="0" fontId="11" fillId="0" borderId="0"/>
    <xf numFmtId="0" fontId="11" fillId="0" borderId="0"/>
    <xf numFmtId="0" fontId="11" fillId="0" borderId="0"/>
    <xf numFmtId="0" fontId="2" fillId="0" borderId="0">
      <alignment readingOrder="1"/>
    </xf>
    <xf numFmtId="0" fontId="2" fillId="0" borderId="0">
      <alignment readingOrder="1"/>
    </xf>
    <xf numFmtId="0" fontId="2" fillId="0" borderId="0">
      <alignment readingOrder="1"/>
    </xf>
    <xf numFmtId="0" fontId="2" fillId="20" borderId="27" applyNumberFormat="0" applyFont="0" applyAlignment="0" applyProtection="0"/>
    <xf numFmtId="0" fontId="56" fillId="32" borderId="40" applyNumberFormat="0" applyAlignment="0" applyProtection="0"/>
    <xf numFmtId="0" fontId="56" fillId="24" borderId="40" applyNumberFormat="0" applyAlignment="0" applyProtection="0"/>
    <xf numFmtId="0" fontId="56" fillId="24" borderId="4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57" fillId="0" borderId="0" applyNumberFormat="0" applyFill="0" applyBorder="0" applyAlignment="0" applyProtection="0"/>
    <xf numFmtId="0" fontId="58" fillId="0" borderId="0"/>
    <xf numFmtId="0" fontId="59" fillId="0" borderId="0"/>
    <xf numFmtId="177" fontId="2" fillId="0" borderId="0" applyFill="0" applyBorder="0" applyAlignment="0" applyProtection="0">
      <alignment wrapText="1"/>
    </xf>
    <xf numFmtId="0" fontId="57"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0" fillId="0" borderId="41" applyNumberFormat="0" applyFill="0" applyAlignment="0" applyProtection="0"/>
    <xf numFmtId="0" fontId="10" fillId="0" borderId="42" applyNumberFormat="0" applyFill="0" applyAlignment="0" applyProtection="0"/>
    <xf numFmtId="0" fontId="56" fillId="0" borderId="42"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61" fillId="0" borderId="0">
      <alignment vertical="center"/>
    </xf>
    <xf numFmtId="0" fontId="24" fillId="69" borderId="0" applyNumberFormat="0" applyBorder="0" applyAlignment="0" applyProtection="0"/>
    <xf numFmtId="0" fontId="24" fillId="69" borderId="0" applyNumberFormat="0" applyBorder="0" applyAlignment="0" applyProtection="0"/>
    <xf numFmtId="0" fontId="24" fillId="69" borderId="0" applyNumberFormat="0" applyBorder="0" applyAlignment="0" applyProtection="0"/>
    <xf numFmtId="0" fontId="24" fillId="69" borderId="0" applyNumberFormat="0" applyBorder="0" applyAlignment="0" applyProtection="0"/>
    <xf numFmtId="0" fontId="24" fillId="71" borderId="0" applyNumberFormat="0" applyBorder="0" applyAlignment="0" applyProtection="0"/>
    <xf numFmtId="0" fontId="24" fillId="71" borderId="0" applyNumberFormat="0" applyBorder="0" applyAlignment="0" applyProtection="0"/>
    <xf numFmtId="0" fontId="24" fillId="71" borderId="0" applyNumberFormat="0" applyBorder="0" applyAlignment="0" applyProtection="0"/>
    <xf numFmtId="0" fontId="24" fillId="71" borderId="0" applyNumberFormat="0" applyBorder="0" applyAlignment="0" applyProtection="0"/>
    <xf numFmtId="0" fontId="24" fillId="71" borderId="0" applyNumberFormat="0" applyBorder="0" applyAlignment="0" applyProtection="0"/>
    <xf numFmtId="0" fontId="24" fillId="73" borderId="0" applyNumberFormat="0" applyBorder="0" applyAlignment="0" applyProtection="0"/>
    <xf numFmtId="0" fontId="24" fillId="73" borderId="0" applyNumberFormat="0" applyBorder="0" applyAlignment="0" applyProtection="0"/>
    <xf numFmtId="0" fontId="24" fillId="73" borderId="0" applyNumberFormat="0" applyBorder="0" applyAlignment="0" applyProtection="0"/>
    <xf numFmtId="0" fontId="24" fillId="73" borderId="0" applyNumberFormat="0" applyBorder="0" applyAlignment="0" applyProtection="0"/>
    <xf numFmtId="0" fontId="24" fillId="75" borderId="0" applyNumberFormat="0" applyBorder="0" applyAlignment="0" applyProtection="0"/>
    <xf numFmtId="0" fontId="24" fillId="75" borderId="0" applyNumberFormat="0" applyBorder="0" applyAlignment="0" applyProtection="0"/>
    <xf numFmtId="0" fontId="24" fillId="75" borderId="0" applyNumberFormat="0" applyBorder="0" applyAlignment="0" applyProtection="0"/>
    <xf numFmtId="0" fontId="24" fillId="75" borderId="0" applyNumberFormat="0" applyBorder="0" applyAlignment="0" applyProtection="0"/>
    <xf numFmtId="0" fontId="24" fillId="77" borderId="0" applyNumberFormat="0" applyBorder="0" applyAlignment="0" applyProtection="0"/>
    <xf numFmtId="0" fontId="24" fillId="77" borderId="0" applyNumberFormat="0" applyBorder="0" applyAlignment="0" applyProtection="0"/>
    <xf numFmtId="0" fontId="24" fillId="77" borderId="0" applyNumberFormat="0" applyBorder="0" applyAlignment="0" applyProtection="0"/>
    <xf numFmtId="0" fontId="24" fillId="77" borderId="0" applyNumberFormat="0" applyBorder="0" applyAlignment="0" applyProtection="0"/>
    <xf numFmtId="0" fontId="24" fillId="77" borderId="0" applyNumberFormat="0" applyBorder="0" applyAlignment="0" applyProtection="0"/>
    <xf numFmtId="0" fontId="24" fillId="79" borderId="0" applyNumberFormat="0" applyBorder="0" applyAlignment="0" applyProtection="0"/>
    <xf numFmtId="0" fontId="24" fillId="79" borderId="0" applyNumberFormat="0" applyBorder="0" applyAlignment="0" applyProtection="0"/>
    <xf numFmtId="0" fontId="24" fillId="79" borderId="0" applyNumberFormat="0" applyBorder="0" applyAlignment="0" applyProtection="0"/>
    <xf numFmtId="0" fontId="24" fillId="79" borderId="0" applyNumberFormat="0" applyBorder="0" applyAlignment="0" applyProtection="0"/>
    <xf numFmtId="0" fontId="24" fillId="79" borderId="0" applyNumberFormat="0" applyBorder="0" applyAlignment="0" applyProtection="0"/>
    <xf numFmtId="0" fontId="24" fillId="70" borderId="0" applyNumberFormat="0" applyBorder="0" applyAlignment="0" applyProtection="0"/>
    <xf numFmtId="0" fontId="24" fillId="70" borderId="0" applyNumberFormat="0" applyBorder="0" applyAlignment="0" applyProtection="0"/>
    <xf numFmtId="0" fontId="24" fillId="70" borderId="0" applyNumberFormat="0" applyBorder="0" applyAlignment="0" applyProtection="0"/>
    <xf numFmtId="0" fontId="24" fillId="70" borderId="0" applyNumberFormat="0" applyBorder="0" applyAlignment="0" applyProtection="0"/>
    <xf numFmtId="0" fontId="24" fillId="72" borderId="0" applyNumberFormat="0" applyBorder="0" applyAlignment="0" applyProtection="0"/>
    <xf numFmtId="0" fontId="24" fillId="72" borderId="0" applyNumberFormat="0" applyBorder="0" applyAlignment="0" applyProtection="0"/>
    <xf numFmtId="0" fontId="24" fillId="72" borderId="0" applyNumberFormat="0" applyBorder="0" applyAlignment="0" applyProtection="0"/>
    <xf numFmtId="0" fontId="24" fillId="72" borderId="0" applyNumberFormat="0" applyBorder="0" applyAlignment="0" applyProtection="0"/>
    <xf numFmtId="0" fontId="24" fillId="74" borderId="0" applyNumberFormat="0" applyBorder="0" applyAlignment="0" applyProtection="0"/>
    <xf numFmtId="0" fontId="24" fillId="74" borderId="0" applyNumberFormat="0" applyBorder="0" applyAlignment="0" applyProtection="0"/>
    <xf numFmtId="0" fontId="24" fillId="74" borderId="0" applyNumberFormat="0" applyBorder="0" applyAlignment="0" applyProtection="0"/>
    <xf numFmtId="0" fontId="24" fillId="74" borderId="0" applyNumberFormat="0" applyBorder="0" applyAlignment="0" applyProtection="0"/>
    <xf numFmtId="0" fontId="24" fillId="76" borderId="0" applyNumberFormat="0" applyBorder="0" applyAlignment="0" applyProtection="0"/>
    <xf numFmtId="0" fontId="24" fillId="76" borderId="0" applyNumberFormat="0" applyBorder="0" applyAlignment="0" applyProtection="0"/>
    <xf numFmtId="0" fontId="24" fillId="76" borderId="0" applyNumberFormat="0" applyBorder="0" applyAlignment="0" applyProtection="0"/>
    <xf numFmtId="0" fontId="24" fillId="76" borderId="0" applyNumberFormat="0" applyBorder="0" applyAlignment="0" applyProtection="0"/>
    <xf numFmtId="0" fontId="24" fillId="78" borderId="0" applyNumberFormat="0" applyBorder="0" applyAlignment="0" applyProtection="0"/>
    <xf numFmtId="0" fontId="24" fillId="78" borderId="0" applyNumberFormat="0" applyBorder="0" applyAlignment="0" applyProtection="0"/>
    <xf numFmtId="0" fontId="24" fillId="78" borderId="0" applyNumberFormat="0" applyBorder="0" applyAlignment="0" applyProtection="0"/>
    <xf numFmtId="0" fontId="24" fillId="78" borderId="0" applyNumberFormat="0" applyBorder="0" applyAlignment="0" applyProtection="0"/>
    <xf numFmtId="0" fontId="24" fillId="78" borderId="0" applyNumberFormat="0" applyBorder="0" applyAlignment="0" applyProtection="0"/>
    <xf numFmtId="0" fontId="24" fillId="80" borderId="0" applyNumberFormat="0" applyBorder="0" applyAlignment="0" applyProtection="0"/>
    <xf numFmtId="0" fontId="24" fillId="80" borderId="0" applyNumberFormat="0" applyBorder="0" applyAlignment="0" applyProtection="0"/>
    <xf numFmtId="0" fontId="24" fillId="80" borderId="0" applyNumberFormat="0" applyBorder="0" applyAlignment="0" applyProtection="0"/>
    <xf numFmtId="0" fontId="24" fillId="80"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19" borderId="0" applyNumberFormat="0" applyAlignment="0">
      <alignment horizontal="right"/>
    </xf>
    <xf numFmtId="0" fontId="2" fillId="8" borderId="0" applyNumberFormat="0" applyAlignment="0"/>
    <xf numFmtId="0" fontId="2" fillId="8" borderId="0" applyNumberFormat="0" applyAlignment="0"/>
    <xf numFmtId="0" fontId="2" fillId="8" borderId="0" applyNumberFormat="0" applyAlignment="0"/>
    <xf numFmtId="0" fontId="8" fillId="0" borderId="0" applyNumberFormat="0" applyFill="0" applyBorder="0" applyAlignment="0" applyProtection="0">
      <alignment vertical="top"/>
      <protection locked="0"/>
    </xf>
    <xf numFmtId="0" fontId="11" fillId="0" borderId="0"/>
    <xf numFmtId="0" fontId="11" fillId="0" borderId="0"/>
    <xf numFmtId="0" fontId="24" fillId="0" borderId="0"/>
    <xf numFmtId="0" fontId="24" fillId="0" borderId="0"/>
    <xf numFmtId="0" fontId="24" fillId="0" borderId="0"/>
    <xf numFmtId="0" fontId="24" fillId="0" borderId="0"/>
    <xf numFmtId="0" fontId="2" fillId="0" borderId="0">
      <alignment readingOrder="1"/>
    </xf>
    <xf numFmtId="0" fontId="24" fillId="0" borderId="0"/>
    <xf numFmtId="0" fontId="2" fillId="0" borderId="0"/>
    <xf numFmtId="0" fontId="2" fillId="0" borderId="0"/>
    <xf numFmtId="0" fontId="24" fillId="0" borderId="0"/>
    <xf numFmtId="0" fontId="11" fillId="0" borderId="0"/>
    <xf numFmtId="0" fontId="11" fillId="0" borderId="0"/>
    <xf numFmtId="0" fontId="11" fillId="0" borderId="0"/>
    <xf numFmtId="0" fontId="24" fillId="0" borderId="0"/>
    <xf numFmtId="0" fontId="24" fillId="0" borderId="0"/>
    <xf numFmtId="0" fontId="2" fillId="0" borderId="0"/>
    <xf numFmtId="0" fontId="2" fillId="0" borderId="0"/>
    <xf numFmtId="0" fontId="11" fillId="0" borderId="0"/>
    <xf numFmtId="0" fontId="24" fillId="0" borderId="0"/>
    <xf numFmtId="0" fontId="24" fillId="0" borderId="0"/>
    <xf numFmtId="0" fontId="1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1" fillId="0" borderId="0"/>
    <xf numFmtId="0" fontId="1" fillId="0" borderId="0"/>
    <xf numFmtId="0" fontId="24" fillId="0" borderId="0"/>
    <xf numFmtId="0" fontId="24" fillId="0" borderId="0"/>
    <xf numFmtId="0" fontId="24" fillId="0" borderId="0"/>
    <xf numFmtId="0" fontId="29" fillId="0" borderId="0"/>
    <xf numFmtId="0" fontId="11" fillId="0" borderId="0"/>
    <xf numFmtId="0" fontId="11" fillId="0" borderId="0"/>
    <xf numFmtId="0" fontId="11" fillId="0" borderId="0"/>
    <xf numFmtId="0" fontId="11" fillId="0" borderId="0"/>
    <xf numFmtId="0" fontId="24" fillId="68" borderId="52" applyNumberFormat="0" applyFont="0" applyAlignment="0" applyProtection="0"/>
    <xf numFmtId="0" fontId="24" fillId="68" borderId="52" applyNumberFormat="0" applyFont="0" applyAlignment="0" applyProtection="0"/>
    <xf numFmtId="0" fontId="24" fillId="68" borderId="52" applyNumberFormat="0" applyFont="0" applyAlignment="0" applyProtection="0"/>
    <xf numFmtId="0" fontId="24" fillId="68" borderId="52" applyNumberFormat="0" applyFont="0" applyAlignment="0" applyProtection="0"/>
    <xf numFmtId="0" fontId="24" fillId="68" borderId="52" applyNumberFormat="0" applyFont="0" applyAlignment="0" applyProtection="0"/>
    <xf numFmtId="0" fontId="24" fillId="68" borderId="52"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cellStyleXfs>
  <cellXfs count="269">
    <xf numFmtId="0" fontId="0" fillId="0" borderId="0" xfId="0"/>
    <xf numFmtId="0" fontId="3" fillId="2" borderId="0" xfId="4" applyFont="1" applyFill="1"/>
    <xf numFmtId="0" fontId="2" fillId="0" borderId="0" xfId="4"/>
    <xf numFmtId="15" fontId="3" fillId="0" borderId="0" xfId="4" applyNumberFormat="1" applyFont="1"/>
    <xf numFmtId="0" fontId="2" fillId="0" borderId="0" xfId="4" applyAlignment="1">
      <alignment vertical="top" wrapText="1"/>
    </xf>
    <xf numFmtId="15" fontId="2" fillId="0" borderId="0" xfId="4" applyNumberFormat="1"/>
    <xf numFmtId="0" fontId="2" fillId="0" borderId="0" xfId="4" applyAlignment="1">
      <alignment wrapText="1"/>
    </xf>
    <xf numFmtId="0" fontId="2" fillId="0" borderId="0" xfId="4" applyFont="1"/>
    <xf numFmtId="0" fontId="3" fillId="0" borderId="0" xfId="4" applyFont="1"/>
    <xf numFmtId="0" fontId="3" fillId="2" borderId="1" xfId="4" applyFont="1" applyFill="1" applyBorder="1" applyAlignment="1">
      <alignment wrapText="1"/>
    </xf>
    <xf numFmtId="0" fontId="3" fillId="2" borderId="2" xfId="4" applyFont="1" applyFill="1" applyBorder="1" applyAlignment="1">
      <alignment wrapText="1"/>
    </xf>
    <xf numFmtId="0" fontId="3" fillId="2" borderId="3" xfId="4" applyFont="1" applyFill="1" applyBorder="1" applyAlignment="1">
      <alignment wrapText="1"/>
    </xf>
    <xf numFmtId="0" fontId="2" fillId="0" borderId="4" xfId="4" applyBorder="1" applyAlignment="1">
      <alignment vertical="top" wrapText="1"/>
    </xf>
    <xf numFmtId="0" fontId="2" fillId="0" borderId="0" xfId="4" applyBorder="1" applyAlignment="1">
      <alignment vertical="top" wrapText="1"/>
    </xf>
    <xf numFmtId="0" fontId="2" fillId="0" borderId="5" xfId="4" applyBorder="1" applyAlignment="1">
      <alignment vertical="top" wrapText="1"/>
    </xf>
    <xf numFmtId="0" fontId="2" fillId="0" borderId="6" xfId="4" applyBorder="1" applyAlignment="1">
      <alignment vertical="top" wrapText="1"/>
    </xf>
    <xf numFmtId="0" fontId="2" fillId="0" borderId="7" xfId="4" applyBorder="1" applyAlignment="1">
      <alignment vertical="top" wrapText="1"/>
    </xf>
    <xf numFmtId="0" fontId="2" fillId="0" borderId="8" xfId="4" applyBorder="1" applyAlignment="1">
      <alignment vertical="top" wrapText="1"/>
    </xf>
    <xf numFmtId="0" fontId="3" fillId="2" borderId="0" xfId="4" applyFont="1" applyFill="1" applyAlignment="1">
      <alignment wrapText="1"/>
    </xf>
    <xf numFmtId="164" fontId="2" fillId="0" borderId="0" xfId="4" applyNumberFormat="1" applyAlignment="1">
      <alignment vertical="top" wrapText="1"/>
    </xf>
    <xf numFmtId="0" fontId="3" fillId="3" borderId="1" xfId="4" applyFont="1" applyFill="1" applyBorder="1"/>
    <xf numFmtId="0" fontId="3" fillId="3" borderId="2" xfId="4" applyFont="1" applyFill="1" applyBorder="1"/>
    <xf numFmtId="0" fontId="3" fillId="3" borderId="3" xfId="4" applyFont="1" applyFill="1" applyBorder="1"/>
    <xf numFmtId="0" fontId="2" fillId="0" borderId="9" xfId="4" applyFont="1" applyFill="1" applyBorder="1"/>
    <xf numFmtId="165" fontId="2" fillId="0" borderId="9" xfId="4" applyNumberFormat="1" applyFont="1" applyFill="1" applyBorder="1"/>
    <xf numFmtId="0" fontId="2" fillId="0" borderId="9" xfId="4" applyBorder="1"/>
    <xf numFmtId="166" fontId="2" fillId="0" borderId="9" xfId="1" applyNumberFormat="1" applyFont="1" applyBorder="1"/>
    <xf numFmtId="0" fontId="2" fillId="0" borderId="9" xfId="4" applyFont="1" applyBorder="1"/>
    <xf numFmtId="0" fontId="2" fillId="0" borderId="9" xfId="4" applyBorder="1" applyAlignment="1">
      <alignment wrapText="1"/>
    </xf>
    <xf numFmtId="43" fontId="2" fillId="0" borderId="9" xfId="1" applyNumberFormat="1" applyFont="1" applyBorder="1"/>
    <xf numFmtId="9" fontId="2" fillId="0" borderId="9" xfId="4" applyNumberFormat="1" applyBorder="1"/>
    <xf numFmtId="167" fontId="2" fillId="0" borderId="9" xfId="1" applyNumberFormat="1" applyFont="1" applyBorder="1"/>
    <xf numFmtId="9" fontId="2" fillId="0" borderId="9" xfId="3" applyFont="1" applyBorder="1"/>
    <xf numFmtId="43" fontId="2" fillId="0" borderId="0" xfId="1" applyNumberFormat="1" applyFont="1"/>
    <xf numFmtId="43" fontId="2" fillId="0" borderId="0" xfId="1" applyFont="1"/>
    <xf numFmtId="2" fontId="2" fillId="0" borderId="0" xfId="4" applyNumberFormat="1"/>
    <xf numFmtId="168" fontId="2" fillId="4" borderId="10" xfId="3" applyNumberFormat="1" applyFont="1" applyFill="1" applyBorder="1"/>
    <xf numFmtId="166" fontId="2" fillId="0" borderId="0" xfId="1" applyNumberFormat="1" applyFont="1"/>
    <xf numFmtId="168" fontId="2" fillId="4" borderId="11" xfId="3" applyNumberFormat="1" applyFont="1" applyFill="1" applyBorder="1"/>
    <xf numFmtId="9" fontId="2" fillId="0" borderId="0" xfId="3" applyFont="1"/>
    <xf numFmtId="43" fontId="2" fillId="0" borderId="0" xfId="4" applyNumberFormat="1"/>
    <xf numFmtId="0" fontId="3" fillId="5" borderId="1" xfId="4" applyFont="1" applyFill="1" applyBorder="1" applyAlignment="1">
      <alignment wrapText="1"/>
    </xf>
    <xf numFmtId="0" fontId="3" fillId="5" borderId="2" xfId="4" applyFont="1" applyFill="1" applyBorder="1" applyAlignment="1">
      <alignment wrapText="1"/>
    </xf>
    <xf numFmtId="0" fontId="3" fillId="5" borderId="3" xfId="4" applyFont="1" applyFill="1" applyBorder="1" applyAlignment="1">
      <alignment wrapText="1"/>
    </xf>
    <xf numFmtId="0" fontId="3" fillId="0" borderId="0" xfId="4" applyFont="1" applyFill="1" applyAlignment="1">
      <alignment wrapText="1"/>
    </xf>
    <xf numFmtId="0" fontId="2" fillId="0" borderId="4" xfId="4" applyBorder="1"/>
    <xf numFmtId="2" fontId="2" fillId="0" borderId="0" xfId="4" applyNumberFormat="1" applyBorder="1"/>
    <xf numFmtId="166" fontId="2" fillId="0" borderId="0" xfId="4" applyNumberFormat="1" applyFont="1" applyBorder="1"/>
    <xf numFmtId="166" fontId="2" fillId="0" borderId="5" xfId="4" applyNumberFormat="1" applyFont="1" applyBorder="1"/>
    <xf numFmtId="166" fontId="2" fillId="0" borderId="0" xfId="4" applyNumberFormat="1" applyBorder="1"/>
    <xf numFmtId="166" fontId="2" fillId="0" borderId="5" xfId="4" applyNumberFormat="1" applyBorder="1"/>
    <xf numFmtId="0" fontId="2" fillId="0" borderId="6" xfId="4" applyBorder="1"/>
    <xf numFmtId="166" fontId="2" fillId="0" borderId="7" xfId="4" applyNumberFormat="1" applyBorder="1"/>
    <xf numFmtId="166" fontId="2" fillId="0" borderId="8" xfId="4" applyNumberFormat="1" applyBorder="1"/>
    <xf numFmtId="169" fontId="2" fillId="0" borderId="0" xfId="4" applyNumberFormat="1"/>
    <xf numFmtId="0" fontId="2" fillId="5" borderId="9" xfId="4" applyFont="1" applyFill="1" applyBorder="1"/>
    <xf numFmtId="170" fontId="2" fillId="0" borderId="9" xfId="4" applyNumberFormat="1" applyBorder="1"/>
    <xf numFmtId="165" fontId="2" fillId="0" borderId="0" xfId="4" applyNumberFormat="1"/>
    <xf numFmtId="43" fontId="2" fillId="0" borderId="0" xfId="1" applyFont="1" applyAlignment="1">
      <alignment horizontal="left"/>
    </xf>
    <xf numFmtId="167" fontId="2" fillId="0" borderId="0" xfId="1" applyNumberFormat="1" applyFont="1"/>
    <xf numFmtId="0" fontId="0" fillId="0" borderId="0" xfId="0">
      <alignment readingOrder="1"/>
    </xf>
    <xf numFmtId="0" fontId="6" fillId="0" borderId="0" xfId="5" applyFont="1"/>
    <xf numFmtId="0" fontId="7" fillId="2" borderId="0" xfId="5" applyFont="1" applyFill="1" applyBorder="1"/>
    <xf numFmtId="0" fontId="6" fillId="2" borderId="0" xfId="5" applyFont="1" applyFill="1"/>
    <xf numFmtId="0" fontId="8" fillId="2" borderId="0" xfId="6" applyFill="1" applyAlignment="1" applyProtection="1"/>
    <xf numFmtId="0" fontId="7" fillId="0" borderId="0" xfId="5" applyFont="1" applyFill="1" applyBorder="1"/>
    <xf numFmtId="0" fontId="9" fillId="0" borderId="0" xfId="5" applyFont="1"/>
    <xf numFmtId="0" fontId="10" fillId="6" borderId="14" xfId="5" applyFont="1" applyFill="1" applyBorder="1" applyAlignment="1">
      <alignment horizontal="center" wrapText="1"/>
    </xf>
    <xf numFmtId="0" fontId="10" fillId="6" borderId="15" xfId="5" applyFont="1" applyFill="1" applyBorder="1" applyAlignment="1">
      <alignment horizontal="center" wrapText="1"/>
    </xf>
    <xf numFmtId="0" fontId="10" fillId="7" borderId="15" xfId="5" applyFont="1" applyFill="1" applyBorder="1" applyAlignment="1">
      <alignment horizontal="center" wrapText="1"/>
    </xf>
    <xf numFmtId="0" fontId="6" fillId="0" borderId="0" xfId="5" applyFont="1" applyAlignment="1">
      <alignment wrapText="1"/>
    </xf>
    <xf numFmtId="165" fontId="6" fillId="6" borderId="14" xfId="5" applyNumberFormat="1" applyFont="1" applyFill="1" applyBorder="1" applyAlignment="1">
      <alignment horizontal="center"/>
    </xf>
    <xf numFmtId="2" fontId="6" fillId="6" borderId="14" xfId="5" applyNumberFormat="1" applyFont="1" applyFill="1" applyBorder="1" applyAlignment="1">
      <alignment horizontal="center"/>
    </xf>
    <xf numFmtId="9" fontId="6" fillId="8" borderId="14" xfId="5" applyNumberFormat="1" applyFont="1" applyFill="1" applyBorder="1" applyAlignment="1">
      <alignment horizontal="center"/>
    </xf>
    <xf numFmtId="2" fontId="6" fillId="8" borderId="14" xfId="5" applyNumberFormat="1" applyFont="1" applyFill="1" applyBorder="1" applyAlignment="1">
      <alignment horizontal="center"/>
    </xf>
    <xf numFmtId="168" fontId="6" fillId="8" borderId="14" xfId="7" applyNumberFormat="1" applyFont="1" applyFill="1" applyBorder="1" applyAlignment="1">
      <alignment horizontal="center"/>
    </xf>
    <xf numFmtId="165" fontId="6" fillId="7" borderId="14" xfId="5" applyNumberFormat="1" applyFont="1" applyFill="1" applyBorder="1" applyAlignment="1">
      <alignment horizontal="center"/>
    </xf>
    <xf numFmtId="0" fontId="11" fillId="0" borderId="16" xfId="5" applyFont="1" applyFill="1" applyBorder="1" applyAlignment="1">
      <alignment horizontal="left"/>
    </xf>
    <xf numFmtId="0" fontId="6" fillId="6" borderId="14" xfId="5" applyFont="1" applyFill="1" applyBorder="1" applyAlignment="1">
      <alignment horizontal="center"/>
    </xf>
    <xf numFmtId="0" fontId="6" fillId="0" borderId="0" xfId="5" applyFont="1">
      <alignment readingOrder="1"/>
    </xf>
    <xf numFmtId="168" fontId="6" fillId="6" borderId="14" xfId="7" applyNumberFormat="1" applyFont="1" applyFill="1" applyBorder="1" applyAlignment="1">
      <alignment horizontal="center"/>
    </xf>
    <xf numFmtId="0" fontId="6" fillId="0" borderId="0" xfId="5" applyFont="1" applyFill="1" applyBorder="1"/>
    <xf numFmtId="0" fontId="3" fillId="6" borderId="0" xfId="5" applyFont="1" applyFill="1" applyAlignment="1"/>
    <xf numFmtId="0" fontId="8" fillId="6" borderId="0" xfId="6" applyFill="1" applyAlignment="1" applyProtection="1"/>
    <xf numFmtId="0" fontId="2" fillId="6" borderId="0" xfId="5" applyFill="1" applyAlignment="1"/>
    <xf numFmtId="0" fontId="7" fillId="6" borderId="14" xfId="5" applyFont="1" applyFill="1" applyBorder="1" applyAlignment="1">
      <alignment wrapText="1"/>
    </xf>
    <xf numFmtId="0" fontId="10" fillId="6" borderId="17" xfId="5" applyFont="1" applyFill="1" applyBorder="1" applyAlignment="1">
      <alignment horizontal="center" wrapText="1"/>
    </xf>
    <xf numFmtId="0" fontId="2" fillId="6" borderId="14" xfId="5" applyFill="1" applyBorder="1" applyAlignment="1">
      <alignment wrapText="1"/>
    </xf>
    <xf numFmtId="2" fontId="2" fillId="6" borderId="14" xfId="5" applyNumberFormat="1" applyFill="1" applyBorder="1" applyAlignment="1">
      <alignment wrapText="1"/>
    </xf>
    <xf numFmtId="3" fontId="2" fillId="6" borderId="14" xfId="5" applyNumberFormat="1" applyFill="1" applyBorder="1" applyAlignment="1">
      <alignment wrapText="1"/>
    </xf>
    <xf numFmtId="168" fontId="2" fillId="6" borderId="14" xfId="5" applyNumberFormat="1" applyFill="1" applyBorder="1" applyAlignment="1">
      <alignment wrapText="1"/>
    </xf>
    <xf numFmtId="165" fontId="2" fillId="6" borderId="14" xfId="5" applyNumberFormat="1" applyFill="1" applyBorder="1" applyAlignment="1">
      <alignment wrapText="1"/>
    </xf>
    <xf numFmtId="171" fontId="2" fillId="6" borderId="14" xfId="5" applyNumberFormat="1" applyFill="1" applyBorder="1" applyAlignment="1">
      <alignment wrapText="1"/>
    </xf>
    <xf numFmtId="0" fontId="7" fillId="0" borderId="0" xfId="5" applyFont="1" applyAlignment="1">
      <alignment wrapText="1"/>
    </xf>
    <xf numFmtId="0" fontId="7" fillId="6" borderId="0" xfId="5" applyFont="1" applyFill="1" applyAlignment="1">
      <alignment horizontal="left"/>
    </xf>
    <xf numFmtId="0" fontId="7" fillId="6" borderId="0" xfId="5" applyFont="1" applyFill="1"/>
    <xf numFmtId="9" fontId="6" fillId="8" borderId="14" xfId="5" applyNumberFormat="1" applyFont="1" applyFill="1" applyBorder="1"/>
    <xf numFmtId="0" fontId="6" fillId="6" borderId="18" xfId="5" applyFont="1" applyFill="1" applyBorder="1" applyAlignment="1">
      <alignment horizontal="left"/>
    </xf>
    <xf numFmtId="0" fontId="6" fillId="6" borderId="19" xfId="5" applyFont="1" applyFill="1" applyBorder="1" applyAlignment="1">
      <alignment horizontal="left"/>
    </xf>
    <xf numFmtId="0" fontId="6" fillId="6" borderId="20" xfId="5" applyFont="1" applyFill="1" applyBorder="1" applyAlignment="1">
      <alignment horizontal="left"/>
    </xf>
    <xf numFmtId="0" fontId="6" fillId="6" borderId="0" xfId="5" applyFont="1" applyFill="1" applyAlignment="1">
      <alignment horizontal="left"/>
    </xf>
    <xf numFmtId="0" fontId="6" fillId="6" borderId="0" xfId="5" applyFont="1" applyFill="1"/>
    <xf numFmtId="171" fontId="6" fillId="6" borderId="14" xfId="5" applyNumberFormat="1" applyFont="1" applyFill="1" applyBorder="1"/>
    <xf numFmtId="0" fontId="6" fillId="6" borderId="14" xfId="5" applyFont="1" applyFill="1" applyBorder="1"/>
    <xf numFmtId="0" fontId="14" fillId="0" borderId="0" xfId="5" applyFont="1"/>
    <xf numFmtId="0" fontId="3" fillId="2" borderId="9" xfId="4" applyFont="1" applyFill="1" applyBorder="1" applyAlignment="1">
      <alignment wrapText="1"/>
    </xf>
    <xf numFmtId="0" fontId="3" fillId="3" borderId="0" xfId="4" applyFont="1" applyFill="1" applyAlignment="1"/>
    <xf numFmtId="0" fontId="3" fillId="3" borderId="0" xfId="4" applyFont="1" applyFill="1" applyAlignment="1">
      <alignment wrapText="1"/>
    </xf>
    <xf numFmtId="0" fontId="2" fillId="3" borderId="0" xfId="4" applyFill="1"/>
    <xf numFmtId="172" fontId="2" fillId="0" borderId="0" xfId="2" applyNumberFormat="1" applyFont="1"/>
    <xf numFmtId="172" fontId="3" fillId="3" borderId="0" xfId="2" applyNumberFormat="1" applyFont="1" applyFill="1" applyAlignment="1">
      <alignment wrapText="1"/>
    </xf>
    <xf numFmtId="0" fontId="3" fillId="0" borderId="9" xfId="0" applyFont="1" applyFill="1" applyBorder="1" applyAlignment="1">
      <alignment horizontal="center" vertical="top" wrapText="1"/>
    </xf>
    <xf numFmtId="0" fontId="2" fillId="0" borderId="9" xfId="0" applyFont="1" applyFill="1" applyBorder="1" applyAlignment="1">
      <alignment horizontal="center" vertical="top" wrapText="1"/>
    </xf>
    <xf numFmtId="6" fontId="2" fillId="0" borderId="9" xfId="0" applyNumberFormat="1" applyFont="1" applyFill="1" applyBorder="1" applyAlignment="1">
      <alignment horizontal="center" vertical="top" wrapText="1"/>
    </xf>
    <xf numFmtId="0" fontId="2" fillId="0" borderId="0" xfId="5" applyAlignment="1">
      <alignment wrapText="1"/>
    </xf>
    <xf numFmtId="174" fontId="2" fillId="6" borderId="14" xfId="5" applyNumberFormat="1" applyFill="1" applyBorder="1" applyAlignment="1">
      <alignment wrapText="1"/>
    </xf>
    <xf numFmtId="0" fontId="16" fillId="0" borderId="0" xfId="8" applyFont="1"/>
    <xf numFmtId="0" fontId="2" fillId="0" borderId="0" xfId="8" applyFont="1"/>
    <xf numFmtId="5" fontId="2" fillId="0" borderId="0" xfId="8" applyNumberFormat="1" applyFont="1"/>
    <xf numFmtId="165" fontId="2" fillId="0" borderId="0" xfId="8" applyNumberFormat="1" applyFont="1"/>
    <xf numFmtId="0" fontId="2" fillId="0" borderId="0" xfId="8" applyFont="1" applyFill="1"/>
    <xf numFmtId="175" fontId="2" fillId="0" borderId="0" xfId="8" applyNumberFormat="1" applyFont="1"/>
    <xf numFmtId="0" fontId="16" fillId="0" borderId="0" xfId="8" applyFont="1" applyAlignment="1">
      <alignment horizontal="left"/>
    </xf>
    <xf numFmtId="173" fontId="0" fillId="0" borderId="0" xfId="0" applyNumberFormat="1" applyAlignment="1">
      <alignment horizontal="center" readingOrder="1"/>
    </xf>
    <xf numFmtId="170" fontId="0" fillId="0" borderId="0" xfId="0" applyNumberFormat="1" applyAlignment="1">
      <alignment horizontal="center" readingOrder="1"/>
    </xf>
    <xf numFmtId="0" fontId="2" fillId="0" borderId="0" xfId="8" applyFont="1" applyAlignment="1">
      <alignment horizontal="center"/>
    </xf>
    <xf numFmtId="0" fontId="17" fillId="9" borderId="21" xfId="8" applyFont="1" applyFill="1" applyBorder="1" applyAlignment="1">
      <alignment horizontal="centerContinuous"/>
    </xf>
    <xf numFmtId="0" fontId="18" fillId="9" borderId="21" xfId="8" applyFont="1" applyFill="1" applyBorder="1" applyAlignment="1">
      <alignment horizontal="centerContinuous"/>
    </xf>
    <xf numFmtId="0" fontId="18" fillId="9" borderId="22" xfId="8" applyFont="1" applyFill="1" applyBorder="1" applyAlignment="1">
      <alignment horizontal="centerContinuous"/>
    </xf>
    <xf numFmtId="0" fontId="19" fillId="9" borderId="3" xfId="8" applyFont="1" applyFill="1" applyBorder="1" applyAlignment="1">
      <alignment horizontal="centerContinuous"/>
    </xf>
    <xf numFmtId="0" fontId="18" fillId="0" borderId="0" xfId="8" applyFont="1" applyFill="1" applyBorder="1" applyAlignment="1">
      <alignment horizontal="centerContinuous"/>
    </xf>
    <xf numFmtId="0" fontId="19" fillId="0" borderId="0" xfId="8" applyFont="1" applyFill="1" applyBorder="1" applyAlignment="1">
      <alignment horizontal="centerContinuous"/>
    </xf>
    <xf numFmtId="0" fontId="20" fillId="0" borderId="0" xfId="8" applyFont="1" applyFill="1" applyBorder="1" applyAlignment="1">
      <alignment horizontal="centerContinuous"/>
    </xf>
    <xf numFmtId="0" fontId="2" fillId="0" borderId="0" xfId="8" applyFont="1" applyFill="1" applyBorder="1"/>
    <xf numFmtId="0" fontId="20" fillId="6" borderId="6" xfId="8" applyFont="1" applyFill="1" applyBorder="1" applyAlignment="1">
      <alignment horizontal="center" wrapText="1"/>
    </xf>
    <xf numFmtId="0" fontId="20" fillId="6" borderId="23" xfId="8" applyFont="1" applyFill="1" applyBorder="1" applyAlignment="1">
      <alignment horizontal="center" wrapText="1"/>
    </xf>
    <xf numFmtId="0" fontId="20" fillId="6" borderId="23" xfId="0" applyFont="1" applyFill="1" applyBorder="1" applyAlignment="1">
      <alignment horizontal="center" wrapText="1"/>
    </xf>
    <xf numFmtId="0" fontId="20" fillId="0" borderId="0" xfId="8" applyFont="1" applyFill="1" applyBorder="1" applyAlignment="1">
      <alignment horizontal="center" wrapText="1"/>
    </xf>
    <xf numFmtId="1" fontId="0" fillId="0" borderId="0" xfId="0" applyNumberFormat="1"/>
    <xf numFmtId="0" fontId="2" fillId="14" borderId="0" xfId="4" applyFill="1"/>
    <xf numFmtId="172" fontId="2" fillId="14" borderId="0" xfId="2" applyNumberFormat="1" applyFont="1" applyFill="1"/>
    <xf numFmtId="0" fontId="0" fillId="0" borderId="0" xfId="0" applyFont="1"/>
    <xf numFmtId="0" fontId="3" fillId="0" borderId="0" xfId="5" applyFont="1">
      <alignment readingOrder="1"/>
    </xf>
    <xf numFmtId="0" fontId="2" fillId="0" borderId="0" xfId="5">
      <alignment readingOrder="1"/>
    </xf>
    <xf numFmtId="49" fontId="2" fillId="0" borderId="0" xfId="5" applyNumberFormat="1">
      <alignment readingOrder="1"/>
    </xf>
    <xf numFmtId="0" fontId="2" fillId="15" borderId="0" xfId="5" applyFill="1">
      <alignment readingOrder="1"/>
    </xf>
    <xf numFmtId="0" fontId="2" fillId="0" borderId="0" xfId="5"/>
    <xf numFmtId="0" fontId="23" fillId="13" borderId="9" xfId="5" applyFont="1" applyFill="1" applyBorder="1"/>
    <xf numFmtId="0" fontId="23" fillId="12" borderId="25" xfId="5" applyFont="1" applyFill="1" applyBorder="1"/>
    <xf numFmtId="0" fontId="23" fillId="12" borderId="8" xfId="5" applyFont="1" applyFill="1" applyBorder="1"/>
    <xf numFmtId="1" fontId="2" fillId="0" borderId="0" xfId="5" applyNumberFormat="1">
      <alignment readingOrder="1"/>
    </xf>
    <xf numFmtId="0" fontId="23" fillId="12" borderId="9" xfId="5" applyFont="1" applyFill="1" applyBorder="1"/>
    <xf numFmtId="9" fontId="2" fillId="16" borderId="0" xfId="7" applyFill="1" applyAlignment="1">
      <alignment horizontal="center" readingOrder="1"/>
    </xf>
    <xf numFmtId="9" fontId="23" fillId="12" borderId="9" xfId="7" applyFont="1" applyFill="1" applyBorder="1"/>
    <xf numFmtId="1" fontId="2" fillId="17" borderId="0" xfId="5" applyNumberFormat="1" applyFill="1" applyAlignment="1">
      <alignment horizontal="center" readingOrder="1"/>
    </xf>
    <xf numFmtId="165" fontId="2" fillId="0" borderId="0" xfId="5" applyNumberFormat="1">
      <alignment readingOrder="1"/>
    </xf>
    <xf numFmtId="165" fontId="2" fillId="18" borderId="0" xfId="5" applyNumberFormat="1" applyFill="1" applyAlignment="1">
      <alignment horizontal="center" readingOrder="1"/>
    </xf>
    <xf numFmtId="0" fontId="2" fillId="0" borderId="0" xfId="5" applyAlignment="1">
      <alignment horizontal="center" readingOrder="1"/>
    </xf>
    <xf numFmtId="0" fontId="2" fillId="0" borderId="0" xfId="5" applyFill="1" applyAlignment="1">
      <alignment horizontal="center" readingOrder="1"/>
    </xf>
    <xf numFmtId="0" fontId="23" fillId="16" borderId="9" xfId="5" applyFont="1" applyFill="1" applyBorder="1"/>
    <xf numFmtId="165" fontId="23" fillId="16" borderId="9" xfId="5" applyNumberFormat="1" applyFont="1" applyFill="1" applyBorder="1"/>
    <xf numFmtId="0" fontId="30" fillId="21" borderId="1" xfId="0" applyFont="1" applyFill="1" applyBorder="1" applyAlignment="1">
      <alignment horizontal="left" readingOrder="1"/>
    </xf>
    <xf numFmtId="0" fontId="30" fillId="21" borderId="3" xfId="0" applyFont="1" applyFill="1" applyBorder="1" applyAlignment="1">
      <alignment horizontal="center" wrapText="1" readingOrder="1"/>
    </xf>
    <xf numFmtId="165" fontId="0" fillId="0" borderId="0" xfId="0" applyNumberFormat="1">
      <alignment readingOrder="1"/>
    </xf>
    <xf numFmtId="0" fontId="20" fillId="19" borderId="9" xfId="0" applyFont="1" applyFill="1" applyBorder="1" applyAlignment="1">
      <alignment horizontal="center" wrapText="1" readingOrder="1"/>
    </xf>
    <xf numFmtId="0" fontId="20" fillId="19" borderId="3" xfId="0" applyFont="1" applyFill="1" applyBorder="1" applyAlignment="1">
      <alignment horizontal="center" wrapText="1" readingOrder="1"/>
    </xf>
    <xf numFmtId="165" fontId="20" fillId="19" borderId="3" xfId="0" applyNumberFormat="1" applyFont="1" applyFill="1" applyBorder="1" applyAlignment="1">
      <alignment horizontal="center" wrapText="1" readingOrder="1"/>
    </xf>
    <xf numFmtId="165" fontId="20" fillId="19" borderId="28" xfId="0" applyNumberFormat="1" applyFont="1" applyFill="1" applyBorder="1" applyAlignment="1">
      <alignment horizontal="centerContinuous" wrapText="1" readingOrder="1"/>
    </xf>
    <xf numFmtId="165" fontId="20" fillId="19" borderId="29" xfId="0" applyNumberFormat="1" applyFont="1" applyFill="1" applyBorder="1" applyAlignment="1">
      <alignment horizontal="centerContinuous" wrapText="1" readingOrder="1"/>
    </xf>
    <xf numFmtId="165" fontId="20" fillId="19" borderId="30" xfId="0" applyNumberFormat="1" applyFont="1" applyFill="1" applyBorder="1" applyAlignment="1">
      <alignment horizontal="centerContinuous" wrapText="1" readingOrder="1"/>
    </xf>
    <xf numFmtId="0" fontId="20" fillId="8" borderId="9" xfId="0" applyFont="1" applyFill="1" applyBorder="1" applyAlignment="1">
      <alignment horizontal="center" wrapText="1" readingOrder="1"/>
    </xf>
    <xf numFmtId="0" fontId="20" fillId="8" borderId="3" xfId="0" applyFont="1" applyFill="1" applyBorder="1" applyAlignment="1">
      <alignment horizontal="center" wrapText="1" readingOrder="1"/>
    </xf>
    <xf numFmtId="165" fontId="20" fillId="8" borderId="3" xfId="0" applyNumberFormat="1" applyFont="1" applyFill="1" applyBorder="1" applyAlignment="1">
      <alignment horizontal="center" wrapText="1" readingOrder="1"/>
    </xf>
    <xf numFmtId="9" fontId="0" fillId="0" borderId="0" xfId="0" applyNumberFormat="1"/>
    <xf numFmtId="0" fontId="0" fillId="22" borderId="0" xfId="0" applyFill="1"/>
    <xf numFmtId="0" fontId="3" fillId="2" borderId="4" xfId="4" applyFont="1" applyFill="1" applyBorder="1" applyAlignment="1">
      <alignment wrapText="1"/>
    </xf>
    <xf numFmtId="0" fontId="24" fillId="0" borderId="0" xfId="5" applyFont="1"/>
    <xf numFmtId="0" fontId="31" fillId="14" borderId="31" xfId="5" applyFont="1" applyFill="1" applyBorder="1"/>
    <xf numFmtId="0" fontId="31" fillId="14" borderId="32" xfId="5" applyFont="1" applyFill="1" applyBorder="1"/>
    <xf numFmtId="0" fontId="31" fillId="14" borderId="30" xfId="5" applyFont="1" applyFill="1" applyBorder="1"/>
    <xf numFmtId="0" fontId="32" fillId="12" borderId="23" xfId="35" applyFont="1" applyFill="1" applyBorder="1" applyAlignment="1">
      <alignment horizontal="left" vertical="center" wrapText="1"/>
    </xf>
    <xf numFmtId="0" fontId="32" fillId="12" borderId="9" xfId="35" applyFont="1" applyFill="1" applyBorder="1" applyAlignment="1">
      <alignment horizontal="left" vertical="center" wrapText="1"/>
    </xf>
    <xf numFmtId="0" fontId="33" fillId="0" borderId="9" xfId="35" applyNumberFormat="1" applyFont="1" applyFill="1" applyBorder="1" applyAlignment="1">
      <alignment horizontal="left" vertical="center" wrapText="1"/>
    </xf>
    <xf numFmtId="0" fontId="33" fillId="0" borderId="9" xfId="35" applyFont="1" applyFill="1" applyBorder="1" applyAlignment="1">
      <alignment horizontal="left" vertical="center" wrapText="1"/>
    </xf>
    <xf numFmtId="0" fontId="24" fillId="0" borderId="9" xfId="35" applyFont="1" applyFill="1" applyBorder="1" applyAlignment="1">
      <alignment horizontal="left" vertical="center" wrapText="1"/>
    </xf>
    <xf numFmtId="0" fontId="33" fillId="0" borderId="9" xfId="35" applyFont="1" applyBorder="1" applyAlignment="1">
      <alignment horizontal="left" vertical="center" wrapText="1" readingOrder="1"/>
    </xf>
    <xf numFmtId="0" fontId="33" fillId="0" borderId="9" xfId="35" applyFont="1" applyBorder="1" applyAlignment="1">
      <alignment vertical="center" wrapText="1" readingOrder="1"/>
    </xf>
    <xf numFmtId="0" fontId="33" fillId="0" borderId="9" xfId="35" applyFont="1" applyBorder="1" applyAlignment="1">
      <alignment wrapText="1" readingOrder="1"/>
    </xf>
    <xf numFmtId="0" fontId="33" fillId="0" borderId="9" xfId="35" applyNumberFormat="1" applyFont="1" applyBorder="1" applyAlignment="1">
      <alignment vertical="center" wrapText="1" readingOrder="1"/>
    </xf>
    <xf numFmtId="2" fontId="2" fillId="0" borderId="0" xfId="36" applyNumberFormat="1" applyFont="1"/>
    <xf numFmtId="0" fontId="18" fillId="64" borderId="3" xfId="8" applyFont="1" applyFill="1" applyBorder="1" applyAlignment="1">
      <alignment horizontal="center"/>
    </xf>
    <xf numFmtId="0" fontId="20" fillId="17" borderId="3" xfId="8" applyFont="1" applyFill="1" applyBorder="1" applyAlignment="1">
      <alignment horizontal="center" wrapText="1"/>
    </xf>
    <xf numFmtId="0" fontId="20" fillId="17" borderId="9" xfId="8" applyFont="1" applyFill="1" applyBorder="1" applyAlignment="1">
      <alignment horizontal="center" wrapText="1"/>
    </xf>
    <xf numFmtId="0" fontId="0" fillId="15" borderId="0" xfId="0" applyFill="1">
      <alignment readingOrder="1"/>
    </xf>
    <xf numFmtId="0" fontId="0" fillId="0" borderId="0" xfId="0" quotePrefix="1" applyFill="1">
      <alignment readingOrder="1"/>
    </xf>
    <xf numFmtId="0" fontId="23" fillId="12" borderId="24" xfId="0" applyFont="1" applyFill="1" applyBorder="1"/>
    <xf numFmtId="0" fontId="23" fillId="12" borderId="7" xfId="0" applyFont="1" applyFill="1" applyBorder="1"/>
    <xf numFmtId="1" fontId="0" fillId="0" borderId="0" xfId="0" applyNumberFormat="1">
      <alignment readingOrder="1"/>
    </xf>
    <xf numFmtId="0" fontId="30" fillId="66" borderId="1" xfId="0" applyFont="1" applyFill="1" applyBorder="1" applyAlignment="1">
      <alignment horizontal="left" wrapText="1" readingOrder="1"/>
    </xf>
    <xf numFmtId="0" fontId="30" fillId="66" borderId="3" xfId="0" applyFont="1" applyFill="1" applyBorder="1" applyAlignment="1">
      <alignment horizontal="center" wrapText="1" readingOrder="1"/>
    </xf>
    <xf numFmtId="0" fontId="30" fillId="21" borderId="2" xfId="0" applyFont="1" applyFill="1" applyBorder="1" applyAlignment="1">
      <alignment horizontal="center" wrapText="1" readingOrder="1"/>
    </xf>
    <xf numFmtId="0" fontId="0" fillId="0" borderId="43" xfId="0" applyBorder="1">
      <alignment readingOrder="1"/>
    </xf>
    <xf numFmtId="0" fontId="0" fillId="0" borderId="44" xfId="0" applyBorder="1">
      <alignment readingOrder="1"/>
    </xf>
    <xf numFmtId="0" fontId="0" fillId="0" borderId="45" xfId="0" applyBorder="1">
      <alignment readingOrder="1"/>
    </xf>
    <xf numFmtId="0" fontId="0" fillId="0" borderId="46" xfId="0" applyBorder="1">
      <alignment readingOrder="1"/>
    </xf>
    <xf numFmtId="0" fontId="0" fillId="0" borderId="0" xfId="0" applyBorder="1">
      <alignment readingOrder="1"/>
    </xf>
    <xf numFmtId="0" fontId="0" fillId="0" borderId="47" xfId="0" applyBorder="1">
      <alignment readingOrder="1"/>
    </xf>
    <xf numFmtId="0" fontId="0" fillId="0" borderId="48" xfId="0" applyBorder="1">
      <alignment readingOrder="1"/>
    </xf>
    <xf numFmtId="0" fontId="0" fillId="0" borderId="49" xfId="0" applyBorder="1">
      <alignment readingOrder="1"/>
    </xf>
    <xf numFmtId="0" fontId="0" fillId="0" borderId="50" xfId="0" applyBorder="1">
      <alignment readingOrder="1"/>
    </xf>
    <xf numFmtId="0" fontId="20" fillId="67" borderId="31" xfId="0" applyFont="1" applyFill="1" applyBorder="1" applyAlignment="1">
      <alignment horizontal="centerContinuous" wrapText="1" readingOrder="1"/>
    </xf>
    <xf numFmtId="0" fontId="20" fillId="67" borderId="30" xfId="0" applyFont="1" applyFill="1" applyBorder="1" applyAlignment="1">
      <alignment horizontal="centerContinuous" wrapText="1" readingOrder="1"/>
    </xf>
    <xf numFmtId="165" fontId="20" fillId="67" borderId="31" xfId="0" applyNumberFormat="1" applyFont="1" applyFill="1" applyBorder="1" applyAlignment="1">
      <alignment horizontal="centerContinuous" wrapText="1" readingOrder="1"/>
    </xf>
    <xf numFmtId="165" fontId="20" fillId="67" borderId="32" xfId="0" applyNumberFormat="1" applyFont="1" applyFill="1" applyBorder="1" applyAlignment="1">
      <alignment horizontal="centerContinuous" wrapText="1" readingOrder="1"/>
    </xf>
    <xf numFmtId="165" fontId="20" fillId="67" borderId="30" xfId="0" applyNumberFormat="1" applyFont="1" applyFill="1" applyBorder="1" applyAlignment="1">
      <alignment horizontal="centerContinuous" wrapText="1" readingOrder="1"/>
    </xf>
    <xf numFmtId="165" fontId="20" fillId="67" borderId="2" xfId="0" applyNumberFormat="1" applyFont="1" applyFill="1" applyBorder="1" applyAlignment="1">
      <alignment horizontal="center" wrapText="1" readingOrder="1"/>
    </xf>
    <xf numFmtId="178" fontId="20" fillId="8" borderId="3" xfId="0" applyNumberFormat="1" applyFont="1" applyFill="1" applyBorder="1" applyAlignment="1">
      <alignment horizontal="center" wrapText="1" readingOrder="1"/>
    </xf>
    <xf numFmtId="165" fontId="19" fillId="0" borderId="0" xfId="0" applyNumberFormat="1" applyFont="1">
      <alignment readingOrder="1"/>
    </xf>
    <xf numFmtId="165" fontId="62" fillId="0" borderId="0" xfId="0" applyNumberFormat="1" applyFont="1">
      <alignment readingOrder="1"/>
    </xf>
    <xf numFmtId="0" fontId="20" fillId="19" borderId="31" xfId="0" applyFont="1" applyFill="1" applyBorder="1" applyAlignment="1">
      <alignment horizontal="centerContinuous" wrapText="1" readingOrder="1"/>
    </xf>
    <xf numFmtId="0" fontId="20" fillId="19" borderId="32" xfId="0" applyFont="1" applyFill="1" applyBorder="1" applyAlignment="1">
      <alignment horizontal="centerContinuous" wrapText="1" readingOrder="1"/>
    </xf>
    <xf numFmtId="165" fontId="20" fillId="19" borderId="32" xfId="0" applyNumberFormat="1" applyFont="1" applyFill="1" applyBorder="1" applyAlignment="1">
      <alignment horizontal="centerContinuous" wrapText="1" readingOrder="1"/>
    </xf>
    <xf numFmtId="165" fontId="20" fillId="19" borderId="2" xfId="0" applyNumberFormat="1" applyFont="1" applyFill="1" applyBorder="1" applyAlignment="1">
      <alignment horizontal="center" wrapText="1" readingOrder="1"/>
    </xf>
    <xf numFmtId="165" fontId="20" fillId="19" borderId="31" xfId="0" applyNumberFormat="1" applyFont="1" applyFill="1" applyBorder="1" applyAlignment="1">
      <alignment horizontal="centerContinuous" wrapText="1" readingOrder="1"/>
    </xf>
    <xf numFmtId="0" fontId="3" fillId="0" borderId="0" xfId="0" applyFont="1">
      <alignment readingOrder="1"/>
    </xf>
    <xf numFmtId="179" fontId="3" fillId="0" borderId="0" xfId="0" applyNumberFormat="1" applyFont="1">
      <alignment readingOrder="1"/>
    </xf>
    <xf numFmtId="179" fontId="0" fillId="0" borderId="0" xfId="0" applyNumberFormat="1">
      <alignment readingOrder="1"/>
    </xf>
    <xf numFmtId="179" fontId="62" fillId="0" borderId="0" xfId="0" applyNumberFormat="1" applyFont="1">
      <alignment readingOrder="1"/>
    </xf>
    <xf numFmtId="9" fontId="2" fillId="0" borderId="51" xfId="5" applyNumberFormat="1" applyBorder="1">
      <alignment readingOrder="1"/>
    </xf>
    <xf numFmtId="0" fontId="0" fillId="0" borderId="0" xfId="0" applyFill="1" applyAlignment="1">
      <alignment horizontal="center" readingOrder="1"/>
    </xf>
    <xf numFmtId="0" fontId="23" fillId="12" borderId="9" xfId="213" applyFont="1" applyFill="1" applyBorder="1"/>
    <xf numFmtId="0" fontId="23" fillId="12" borderId="21" xfId="213" applyFont="1" applyFill="1" applyBorder="1"/>
    <xf numFmtId="0" fontId="23" fillId="12" borderId="24" xfId="213" applyFont="1" applyFill="1" applyBorder="1"/>
    <xf numFmtId="0" fontId="23" fillId="12" borderId="25" xfId="213" applyFont="1" applyFill="1" applyBorder="1"/>
    <xf numFmtId="165" fontId="20" fillId="19" borderId="28" xfId="213" applyNumberFormat="1" applyFont="1" applyFill="1" applyBorder="1" applyAlignment="1">
      <alignment horizontal="centerContinuous" wrapText="1" readingOrder="1"/>
    </xf>
    <xf numFmtId="165" fontId="20" fillId="19" borderId="29" xfId="213" applyNumberFormat="1" applyFont="1" applyFill="1" applyBorder="1" applyAlignment="1">
      <alignment horizontal="centerContinuous" wrapText="1" readingOrder="1"/>
    </xf>
    <xf numFmtId="165" fontId="20" fillId="19" borderId="30" xfId="213" applyNumberFormat="1" applyFont="1" applyFill="1" applyBorder="1" applyAlignment="1">
      <alignment horizontal="centerContinuous" wrapText="1" readingOrder="1"/>
    </xf>
    <xf numFmtId="165" fontId="20" fillId="19" borderId="3" xfId="213" applyNumberFormat="1" applyFont="1" applyFill="1" applyBorder="1" applyAlignment="1">
      <alignment horizontal="center" wrapText="1" readingOrder="1"/>
    </xf>
    <xf numFmtId="0" fontId="2" fillId="0" borderId="0" xfId="213"/>
    <xf numFmtId="0" fontId="23" fillId="12" borderId="6" xfId="213" applyFont="1" applyFill="1" applyBorder="1"/>
    <xf numFmtId="0" fontId="23" fillId="12" borderId="7" xfId="213" applyFont="1" applyFill="1" applyBorder="1"/>
    <xf numFmtId="0" fontId="23" fillId="12" borderId="8" xfId="213" applyFont="1" applyFill="1" applyBorder="1"/>
    <xf numFmtId="165" fontId="20" fillId="8" borderId="3" xfId="213" applyNumberFormat="1" applyFont="1" applyFill="1" applyBorder="1" applyAlignment="1">
      <alignment horizontal="center" wrapText="1" readingOrder="1"/>
    </xf>
    <xf numFmtId="0" fontId="23" fillId="13" borderId="9" xfId="213" applyFont="1" applyFill="1" applyBorder="1"/>
    <xf numFmtId="2" fontId="2" fillId="17" borderId="0" xfId="213" applyNumberFormat="1" applyFill="1" applyAlignment="1">
      <alignment horizontal="center" readingOrder="1"/>
    </xf>
    <xf numFmtId="1" fontId="2" fillId="17" borderId="0" xfId="213" applyNumberFormat="1" applyFill="1" applyAlignment="1">
      <alignment horizontal="center" readingOrder="1"/>
    </xf>
    <xf numFmtId="0" fontId="2" fillId="0" borderId="0" xfId="213">
      <alignment readingOrder="1"/>
    </xf>
    <xf numFmtId="165" fontId="2" fillId="0" borderId="0" xfId="213" applyNumberFormat="1">
      <alignment readingOrder="1"/>
    </xf>
    <xf numFmtId="43" fontId="0" fillId="17" borderId="0" xfId="9" applyFont="1" applyFill="1" applyAlignment="1">
      <alignment horizontal="center" readingOrder="1"/>
    </xf>
    <xf numFmtId="0" fontId="0" fillId="12" borderId="0" xfId="0" applyFill="1">
      <alignment readingOrder="1"/>
    </xf>
    <xf numFmtId="0" fontId="0" fillId="12" borderId="0" xfId="0" applyFill="1" applyAlignment="1">
      <alignment vertical="center" wrapText="1" readingOrder="1"/>
    </xf>
    <xf numFmtId="165" fontId="2" fillId="15" borderId="0" xfId="5" applyNumberFormat="1" applyFill="1">
      <alignment readingOrder="1"/>
    </xf>
    <xf numFmtId="0" fontId="2" fillId="14" borderId="0" xfId="5" applyFill="1" applyAlignment="1">
      <alignment horizontal="left" vertical="center" readingOrder="1"/>
    </xf>
    <xf numFmtId="0" fontId="20" fillId="10" borderId="1" xfId="8" applyFont="1" applyFill="1" applyBorder="1" applyAlignment="1">
      <alignment horizontal="center"/>
    </xf>
    <xf numFmtId="0" fontId="20" fillId="10" borderId="2" xfId="8" applyFont="1" applyFill="1" applyBorder="1" applyAlignment="1">
      <alignment horizontal="center"/>
    </xf>
    <xf numFmtId="0" fontId="20" fillId="10" borderId="3" xfId="8" applyFont="1" applyFill="1" applyBorder="1" applyAlignment="1">
      <alignment horizontal="center"/>
    </xf>
    <xf numFmtId="0" fontId="17" fillId="11" borderId="9" xfId="0" applyFont="1" applyFill="1" applyBorder="1" applyAlignment="1">
      <alignment horizontal="center"/>
    </xf>
    <xf numFmtId="0" fontId="3" fillId="0" borderId="9" xfId="0" applyFont="1" applyBorder="1" applyAlignment="1">
      <alignment horizontal="center"/>
    </xf>
    <xf numFmtId="0" fontId="3" fillId="65" borderId="9" xfId="8" applyFont="1" applyFill="1" applyBorder="1" applyAlignment="1">
      <alignment horizontal="center"/>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9" xfId="0" applyFont="1" applyFill="1" applyBorder="1" applyAlignment="1">
      <alignment horizontal="center" vertical="top" wrapText="1"/>
    </xf>
    <xf numFmtId="0" fontId="6" fillId="6" borderId="18" xfId="5" applyFont="1" applyFill="1" applyBorder="1" applyAlignment="1">
      <alignment horizontal="left"/>
    </xf>
    <xf numFmtId="0" fontId="6" fillId="6" borderId="19" xfId="5" applyFont="1" applyFill="1" applyBorder="1" applyAlignment="1">
      <alignment horizontal="left"/>
    </xf>
    <xf numFmtId="0" fontId="6" fillId="6" borderId="20" xfId="5" applyFont="1" applyFill="1" applyBorder="1" applyAlignment="1">
      <alignment horizontal="left"/>
    </xf>
    <xf numFmtId="0" fontId="10" fillId="6" borderId="12" xfId="5" applyFont="1" applyFill="1" applyBorder="1" applyAlignment="1">
      <alignment horizontal="center" vertical="center"/>
    </xf>
    <xf numFmtId="0" fontId="10" fillId="6" borderId="13" xfId="5" applyFont="1" applyFill="1" applyBorder="1" applyAlignment="1">
      <alignment horizontal="center" vertical="center"/>
    </xf>
    <xf numFmtId="0" fontId="10" fillId="6" borderId="14" xfId="5" applyFont="1" applyFill="1" applyBorder="1" applyAlignment="1">
      <alignment horizontal="center" wrapText="1"/>
    </xf>
  </cellXfs>
  <cellStyles count="531">
    <cellStyle name="20% - Accent1 2" xfId="37"/>
    <cellStyle name="20% - Accent1 2 2" xfId="38"/>
    <cellStyle name="20% - Accent1 3" xfId="39"/>
    <cellStyle name="20% - Accent1 3 2" xfId="368"/>
    <cellStyle name="20% - Accent1 4" xfId="369"/>
    <cellStyle name="20% - Accent1 4 2" xfId="370"/>
    <cellStyle name="20% - Accent1 5" xfId="371"/>
    <cellStyle name="20% - Accent2 2" xfId="40"/>
    <cellStyle name="20% - Accent2 2 2" xfId="372"/>
    <cellStyle name="20% - Accent2 3" xfId="41"/>
    <cellStyle name="20% - Accent2 3 2" xfId="373"/>
    <cellStyle name="20% - Accent2 4" xfId="374"/>
    <cellStyle name="20% - Accent2 4 2" xfId="375"/>
    <cellStyle name="20% - Accent2 5" xfId="376"/>
    <cellStyle name="20% - Accent3 2" xfId="42"/>
    <cellStyle name="20% - Accent3 2 2" xfId="43"/>
    <cellStyle name="20% - Accent3 3" xfId="44"/>
    <cellStyle name="20% - Accent3 3 2" xfId="377"/>
    <cellStyle name="20% - Accent3 4" xfId="378"/>
    <cellStyle name="20% - Accent3 4 2" xfId="379"/>
    <cellStyle name="20% - Accent3 5" xfId="380"/>
    <cellStyle name="20% - Accent4 2" xfId="45"/>
    <cellStyle name="20% - Accent4 2 2" xfId="46"/>
    <cellStyle name="20% - Accent4 3" xfId="47"/>
    <cellStyle name="20% - Accent4 3 2" xfId="381"/>
    <cellStyle name="20% - Accent4 4" xfId="382"/>
    <cellStyle name="20% - Accent4 4 2" xfId="383"/>
    <cellStyle name="20% - Accent4 5" xfId="384"/>
    <cellStyle name="20% - Accent5 2" xfId="48"/>
    <cellStyle name="20% - Accent5 2 2" xfId="385"/>
    <cellStyle name="20% - Accent5 3" xfId="49"/>
    <cellStyle name="20% - Accent5 3 2" xfId="386"/>
    <cellStyle name="20% - Accent5 4" xfId="387"/>
    <cellStyle name="20% - Accent5 4 2" xfId="388"/>
    <cellStyle name="20% - Accent5 5" xfId="389"/>
    <cellStyle name="20% - Accent6 2" xfId="50"/>
    <cellStyle name="20% - Accent6 2 2" xfId="390"/>
    <cellStyle name="20% - Accent6 3" xfId="51"/>
    <cellStyle name="20% - Accent6 3 2" xfId="391"/>
    <cellStyle name="20% - Accent6 4" xfId="392"/>
    <cellStyle name="20% - Accent6 4 2" xfId="393"/>
    <cellStyle name="20% - Accent6 5" xfId="394"/>
    <cellStyle name="40% - Accent1 2" xfId="52"/>
    <cellStyle name="40% - Accent1 2 2" xfId="53"/>
    <cellStyle name="40% - Accent1 3" xfId="54"/>
    <cellStyle name="40% - Accent1 3 2" xfId="395"/>
    <cellStyle name="40% - Accent1 4" xfId="396"/>
    <cellStyle name="40% - Accent1 4 2" xfId="397"/>
    <cellStyle name="40% - Accent1 5" xfId="398"/>
    <cellStyle name="40% - Accent2 2" xfId="55"/>
    <cellStyle name="40% - Accent2 2 2" xfId="56"/>
    <cellStyle name="40% - Accent2 3" xfId="57"/>
    <cellStyle name="40% - Accent2 3 2" xfId="399"/>
    <cellStyle name="40% - Accent2 4" xfId="400"/>
    <cellStyle name="40% - Accent2 4 2" xfId="401"/>
    <cellStyle name="40% - Accent2 5" xfId="402"/>
    <cellStyle name="40% - Accent3 2" xfId="58"/>
    <cellStyle name="40% - Accent3 2 2" xfId="59"/>
    <cellStyle name="40% - Accent3 3" xfId="60"/>
    <cellStyle name="40% - Accent3 3 2" xfId="403"/>
    <cellStyle name="40% - Accent3 4" xfId="404"/>
    <cellStyle name="40% - Accent3 4 2" xfId="405"/>
    <cellStyle name="40% - Accent3 5" xfId="406"/>
    <cellStyle name="40% - Accent4 2" xfId="61"/>
    <cellStyle name="40% - Accent4 2 2" xfId="62"/>
    <cellStyle name="40% - Accent4 3" xfId="63"/>
    <cellStyle name="40% - Accent4 3 2" xfId="407"/>
    <cellStyle name="40% - Accent4 4" xfId="408"/>
    <cellStyle name="40% - Accent4 4 2" xfId="409"/>
    <cellStyle name="40% - Accent4 5" xfId="410"/>
    <cellStyle name="40% - Accent5 2" xfId="64"/>
    <cellStyle name="40% - Accent5 2 2" xfId="411"/>
    <cellStyle name="40% - Accent5 3" xfId="65"/>
    <cellStyle name="40% - Accent5 3 2" xfId="412"/>
    <cellStyle name="40% - Accent5 4" xfId="413"/>
    <cellStyle name="40% - Accent5 4 2" xfId="414"/>
    <cellStyle name="40% - Accent5 5" xfId="415"/>
    <cellStyle name="40% - Accent6 2" xfId="66"/>
    <cellStyle name="40% - Accent6 2 2" xfId="67"/>
    <cellStyle name="40% - Accent6 3" xfId="68"/>
    <cellStyle name="40% - Accent6 3 2" xfId="416"/>
    <cellStyle name="40% - Accent6 4" xfId="417"/>
    <cellStyle name="40% - Accent6 4 2" xfId="418"/>
    <cellStyle name="40% - Accent6 5" xfId="419"/>
    <cellStyle name="60% - Accent1 2" xfId="69"/>
    <cellStyle name="60% - Accent1 2 2" xfId="70"/>
    <cellStyle name="60% - Accent1 3" xfId="71"/>
    <cellStyle name="60% - Accent2 2" xfId="72"/>
    <cellStyle name="60% - Accent2 2 2" xfId="73"/>
    <cellStyle name="60% - Accent2 3" xfId="74"/>
    <cellStyle name="60% - Accent3 2" xfId="75"/>
    <cellStyle name="60% - Accent3 2 2" xfId="76"/>
    <cellStyle name="60% - Accent3 3" xfId="77"/>
    <cellStyle name="60% - Accent4 2" xfId="78"/>
    <cellStyle name="60% - Accent4 2 2" xfId="79"/>
    <cellStyle name="60% - Accent4 3" xfId="80"/>
    <cellStyle name="60% - Accent5 2" xfId="81"/>
    <cellStyle name="60% - Accent5 3" xfId="82"/>
    <cellStyle name="60% - Accent6 2" xfId="83"/>
    <cellStyle name="60% - Accent6 2 2" xfId="84"/>
    <cellStyle name="60% - Accent6 3" xfId="85"/>
    <cellStyle name="Accent1 - 20%" xfId="86"/>
    <cellStyle name="Accent1 - 40%" xfId="87"/>
    <cellStyle name="Accent1 - 60%" xfId="88"/>
    <cellStyle name="Accent1 2" xfId="89"/>
    <cellStyle name="Accent1 2 2" xfId="90"/>
    <cellStyle name="Accent1 3" xfId="91"/>
    <cellStyle name="Accent2 - 20%" xfId="92"/>
    <cellStyle name="Accent2 - 40%" xfId="93"/>
    <cellStyle name="Accent2 - 60%" xfId="94"/>
    <cellStyle name="Accent2 2" xfId="95"/>
    <cellStyle name="Accent2 3" xfId="96"/>
    <cellStyle name="Accent3 - 20%" xfId="97"/>
    <cellStyle name="Accent3 - 40%" xfId="98"/>
    <cellStyle name="Accent3 - 60%" xfId="99"/>
    <cellStyle name="Accent3 2" xfId="100"/>
    <cellStyle name="Accent3 2 2" xfId="101"/>
    <cellStyle name="Accent3 3" xfId="102"/>
    <cellStyle name="Accent4 - 20%" xfId="103"/>
    <cellStyle name="Accent4 - 40%" xfId="104"/>
    <cellStyle name="Accent4 - 60%" xfId="105"/>
    <cellStyle name="Accent4 2" xfId="106"/>
    <cellStyle name="Accent4 2 2" xfId="107"/>
    <cellStyle name="Accent4 3" xfId="108"/>
    <cellStyle name="Accent5 - 20%" xfId="109"/>
    <cellStyle name="Accent5 - 40%" xfId="110"/>
    <cellStyle name="Accent5 - 60%" xfId="111"/>
    <cellStyle name="Accent5 2" xfId="112"/>
    <cellStyle name="Accent5 3" xfId="113"/>
    <cellStyle name="Accent6 - 20%" xfId="114"/>
    <cellStyle name="Accent6 - 40%" xfId="115"/>
    <cellStyle name="Accent6 - 60%" xfId="116"/>
    <cellStyle name="Accent6 2" xfId="117"/>
    <cellStyle name="Accent6 3" xfId="118"/>
    <cellStyle name="Bad 2" xfId="119"/>
    <cellStyle name="Bad 2 2" xfId="120"/>
    <cellStyle name="Bad 3" xfId="121"/>
    <cellStyle name="Calculation 2" xfId="122"/>
    <cellStyle name="Calculation 2 2" xfId="123"/>
    <cellStyle name="Calculation 3" xfId="124"/>
    <cellStyle name="Check Cell 2" xfId="125"/>
    <cellStyle name="Check Cell 3" xfId="126"/>
    <cellStyle name="Comma" xfId="1" builtinId="3"/>
    <cellStyle name="Comma [0] 2" xfId="127"/>
    <cellStyle name="Comma 10" xfId="420"/>
    <cellStyle name="Comma 11" xfId="421"/>
    <cellStyle name="Comma 2" xfId="9"/>
    <cellStyle name="Comma 2 2" xfId="128"/>
    <cellStyle name="Comma 2 2 2" xfId="129"/>
    <cellStyle name="Comma 2 2 3" xfId="130"/>
    <cellStyle name="Comma 2 2 3 2" xfId="422"/>
    <cellStyle name="Comma 2 2 4" xfId="423"/>
    <cellStyle name="Comma 2 2 4 2" xfId="424"/>
    <cellStyle name="Comma 2 2 5" xfId="425"/>
    <cellStyle name="Comma 2 2 5 2" xfId="426"/>
    <cellStyle name="Comma 2 2 6" xfId="427"/>
    <cellStyle name="Comma 2 2 6 2" xfId="428"/>
    <cellStyle name="Comma 2 2 7" xfId="429"/>
    <cellStyle name="Comma 2 2 8" xfId="430"/>
    <cellStyle name="Comma 2 3" xfId="131"/>
    <cellStyle name="Comma 2 3 2" xfId="431"/>
    <cellStyle name="Comma 2 4" xfId="132"/>
    <cellStyle name="Comma 2 5" xfId="133"/>
    <cellStyle name="Comma 3" xfId="10"/>
    <cellStyle name="Comma 3 10" xfId="432"/>
    <cellStyle name="Comma 3 2" xfId="134"/>
    <cellStyle name="Comma 3 2 2" xfId="135"/>
    <cellStyle name="Comma 3 2 3" xfId="136"/>
    <cellStyle name="Comma 3 3" xfId="137"/>
    <cellStyle name="Comma 3 3 2" xfId="138"/>
    <cellStyle name="Comma 3 3 3" xfId="139"/>
    <cellStyle name="Comma 3 3 4" xfId="140"/>
    <cellStyle name="Comma 3 4" xfId="141"/>
    <cellStyle name="Comma 3 4 2" xfId="433"/>
    <cellStyle name="Comma 3 5" xfId="434"/>
    <cellStyle name="Comma 3 5 2" xfId="435"/>
    <cellStyle name="Comma 3 6" xfId="436"/>
    <cellStyle name="Comma 3 6 2" xfId="437"/>
    <cellStyle name="Comma 3 7" xfId="438"/>
    <cellStyle name="Comma 3 8" xfId="439"/>
    <cellStyle name="Comma 3 9" xfId="440"/>
    <cellStyle name="Comma 4" xfId="142"/>
    <cellStyle name="Comma 4 2" xfId="143"/>
    <cellStyle name="Comma 4 2 2" xfId="144"/>
    <cellStyle name="Comma 4 3" xfId="145"/>
    <cellStyle name="Comma 5" xfId="146"/>
    <cellStyle name="Comma 5 2" xfId="147"/>
    <cellStyle name="Comma 5 3" xfId="148"/>
    <cellStyle name="Comma 6" xfId="149"/>
    <cellStyle name="Comma 7" xfId="150"/>
    <cellStyle name="Comma 8" xfId="151"/>
    <cellStyle name="Comma 9" xfId="441"/>
    <cellStyle name="Currency" xfId="2" builtinId="4"/>
    <cellStyle name="Currency 2" xfId="11"/>
    <cellStyle name="Currency 2 2" xfId="152"/>
    <cellStyle name="Currency 2 2 2" xfId="153"/>
    <cellStyle name="Currency 2 2 3" xfId="154"/>
    <cellStyle name="Currency 2 3" xfId="155"/>
    <cellStyle name="Currency 2 4" xfId="156"/>
    <cellStyle name="Currency 2 5" xfId="157"/>
    <cellStyle name="Currency 3" xfId="12"/>
    <cellStyle name="Currency 3 2" xfId="158"/>
    <cellStyle name="Currency 3 2 2" xfId="159"/>
    <cellStyle name="Currency 3 2 3" xfId="160"/>
    <cellStyle name="Currency 3 3" xfId="161"/>
    <cellStyle name="Currency 3 4" xfId="162"/>
    <cellStyle name="Currency 3 5" xfId="442"/>
    <cellStyle name="Currency 4" xfId="13"/>
    <cellStyle name="Currency 4 2" xfId="443"/>
    <cellStyle name="Currency 4 3" xfId="444"/>
    <cellStyle name="Currency 5" xfId="163"/>
    <cellStyle name="Currency 5 2" xfId="164"/>
    <cellStyle name="Currency 5 2 2" xfId="165"/>
    <cellStyle name="Currency 5 3" xfId="166"/>
    <cellStyle name="Currency 6" xfId="167"/>
    <cellStyle name="Currency 6 2" xfId="168"/>
    <cellStyle name="Currency 7" xfId="169"/>
    <cellStyle name="Currency 7 2" xfId="170"/>
    <cellStyle name="Currency 8" xfId="171"/>
    <cellStyle name="Data Field" xfId="14"/>
    <cellStyle name="Data Field 2" xfId="172"/>
    <cellStyle name="Data Field 2 2" xfId="173"/>
    <cellStyle name="Data Field 2 3" xfId="174"/>
    <cellStyle name="Data Field 3" xfId="175"/>
    <cellStyle name="Data Field 4" xfId="176"/>
    <cellStyle name="Data Field 5" xfId="445"/>
    <cellStyle name="Data Name" xfId="15"/>
    <cellStyle name="Data Name 2" xfId="16"/>
    <cellStyle name="Data Name 2 2" xfId="446"/>
    <cellStyle name="Data Name 3" xfId="447"/>
    <cellStyle name="Data Name 4" xfId="448"/>
    <cellStyle name="Date/Time" xfId="17"/>
    <cellStyle name="Emphasis 1" xfId="177"/>
    <cellStyle name="Emphasis 2" xfId="178"/>
    <cellStyle name="Emphasis 3" xfId="179"/>
    <cellStyle name="Explanatory Text 2" xfId="180"/>
    <cellStyle name="Explanatory Text 3" xfId="181"/>
    <cellStyle name="Good 2" xfId="182"/>
    <cellStyle name="Good 3" xfId="183"/>
    <cellStyle name="Heading" xfId="18"/>
    <cellStyle name="Heading 1 2" xfId="184"/>
    <cellStyle name="Heading 1 2 2" xfId="185"/>
    <cellStyle name="Heading 1 3" xfId="186"/>
    <cellStyle name="Heading 2 2" xfId="19"/>
    <cellStyle name="Heading 2 3" xfId="20"/>
    <cellStyle name="Heading 3 2" xfId="187"/>
    <cellStyle name="Heading 3 2 2" xfId="188"/>
    <cellStyle name="Heading 3 3" xfId="189"/>
    <cellStyle name="Heading 4 2" xfId="190"/>
    <cellStyle name="Heading 4 2 2" xfId="191"/>
    <cellStyle name="Heading 4 3" xfId="192"/>
    <cellStyle name="Hyperlink 2" xfId="6"/>
    <cellStyle name="Hyperlink 2 2" xfId="21"/>
    <cellStyle name="Hyperlink 2 2 2" xfId="193"/>
    <cellStyle name="Hyperlink 2 3" xfId="449"/>
    <cellStyle name="Hyperlink 2_ResWXMF_FY10v2_0" xfId="194"/>
    <cellStyle name="Hyperlink 3" xfId="195"/>
    <cellStyle name="Hyperlink 3 2" xfId="196"/>
    <cellStyle name="Hyperlink 3 2 2" xfId="197"/>
    <cellStyle name="Hyperlink 4" xfId="198"/>
    <cellStyle name="Hyperlink 5" xfId="199"/>
    <cellStyle name="Hyperlink 6" xfId="200"/>
    <cellStyle name="Hyperlink 7" xfId="201"/>
    <cellStyle name="Hyperlink 8" xfId="202"/>
    <cellStyle name="Input 2" xfId="203"/>
    <cellStyle name="Input 3" xfId="204"/>
    <cellStyle name="Linked Cell 2" xfId="205"/>
    <cellStyle name="Linked Cell 3" xfId="206"/>
    <cellStyle name="Neutral 2" xfId="207"/>
    <cellStyle name="Neutral 3" xfId="208"/>
    <cellStyle name="Normal" xfId="0" builtinId="0"/>
    <cellStyle name="Normal 10" xfId="209"/>
    <cellStyle name="Normal 10 2" xfId="210"/>
    <cellStyle name="Normal 11" xfId="211"/>
    <cellStyle name="Normal 11 2" xfId="450"/>
    <cellStyle name="Normal 12" xfId="212"/>
    <cellStyle name="Normal 12 2" xfId="451"/>
    <cellStyle name="Normal 13" xfId="213"/>
    <cellStyle name="Normal 13 2" xfId="214"/>
    <cellStyle name="Normal 13 3" xfId="215"/>
    <cellStyle name="Normal 14" xfId="216"/>
    <cellStyle name="Normal 14 2" xfId="217"/>
    <cellStyle name="Normal 14 2 2" xfId="218"/>
    <cellStyle name="Normal 14 3" xfId="219"/>
    <cellStyle name="Normal 14 3 2" xfId="220"/>
    <cellStyle name="Normal 14 4" xfId="221"/>
    <cellStyle name="Normal 14 5" xfId="452"/>
    <cellStyle name="Normal 15" xfId="222"/>
    <cellStyle name="Normal 15 2" xfId="223"/>
    <cellStyle name="Normal 15 2 2" xfId="224"/>
    <cellStyle name="Normal 15 3" xfId="225"/>
    <cellStyle name="Normal 15 4" xfId="226"/>
    <cellStyle name="Normal 15 5" xfId="453"/>
    <cellStyle name="Normal 16" xfId="227"/>
    <cellStyle name="Normal 16 2" xfId="228"/>
    <cellStyle name="Normal 16 3" xfId="229"/>
    <cellStyle name="Normal 16 4" xfId="454"/>
    <cellStyle name="Normal 17" xfId="230"/>
    <cellStyle name="Normal 17 2" xfId="231"/>
    <cellStyle name="Normal 18" xfId="232"/>
    <cellStyle name="Normal 19" xfId="233"/>
    <cellStyle name="Normal 2" xfId="22"/>
    <cellStyle name="Normal 2 10" xfId="455"/>
    <cellStyle name="Normal 2 11" xfId="456"/>
    <cellStyle name="Normal 2 12" xfId="457"/>
    <cellStyle name="Normal 2 2" xfId="5"/>
    <cellStyle name="Normal 2 2 2" xfId="234"/>
    <cellStyle name="Normal 2 2 2 2" xfId="235"/>
    <cellStyle name="Normal 2 2 2 3" xfId="236"/>
    <cellStyle name="Normal 2 2 3" xfId="237"/>
    <cellStyle name="Normal 2 2 3 2" xfId="238"/>
    <cellStyle name="Normal 2 2 3 3" xfId="239"/>
    <cellStyle name="Normal 2 2 4" xfId="240"/>
    <cellStyle name="Normal 2 2 4 2" xfId="458"/>
    <cellStyle name="Normal 2 2 5" xfId="459"/>
    <cellStyle name="Normal 2 2 6" xfId="460"/>
    <cellStyle name="Normal 2 3" xfId="23"/>
    <cellStyle name="Normal 2 3 2" xfId="241"/>
    <cellStyle name="Normal 2 3 2 2" xfId="242"/>
    <cellStyle name="Normal 2 3 2 2 2" xfId="243"/>
    <cellStyle name="Normal 2 3 2 3" xfId="461"/>
    <cellStyle name="Normal 2 3 3" xfId="244"/>
    <cellStyle name="Normal 2 3 3 2" xfId="245"/>
    <cellStyle name="Normal 2 3 4" xfId="462"/>
    <cellStyle name="Normal 2 4" xfId="246"/>
    <cellStyle name="Normal 2 4 2" xfId="247"/>
    <cellStyle name="Normal 2 4 2 2" xfId="248"/>
    <cellStyle name="Normal 2 4 2 3" xfId="249"/>
    <cellStyle name="Normal 2 4 2 4" xfId="250"/>
    <cellStyle name="Normal 2 4 3" xfId="251"/>
    <cellStyle name="Normal 2 5" xfId="252"/>
    <cellStyle name="Normal 2 5 2" xfId="463"/>
    <cellStyle name="Normal 2 6" xfId="253"/>
    <cellStyle name="Normal 2 6 2" xfId="254"/>
    <cellStyle name="Normal 2 6 2 2" xfId="255"/>
    <cellStyle name="Normal 2 6 2 3" xfId="256"/>
    <cellStyle name="Normal 2 6 3" xfId="257"/>
    <cellStyle name="Normal 2 6 3 2" xfId="258"/>
    <cellStyle name="Normal 2 6 4" xfId="259"/>
    <cellStyle name="Normal 2 6 4 2" xfId="260"/>
    <cellStyle name="Normal 2 6 5" xfId="261"/>
    <cellStyle name="Normal 2 6 6" xfId="262"/>
    <cellStyle name="Normal 2 7" xfId="263"/>
    <cellStyle name="Normal 2 7 2" xfId="264"/>
    <cellStyle name="Normal 2 7 2 2" xfId="265"/>
    <cellStyle name="Normal 2 7 3" xfId="266"/>
    <cellStyle name="Normal 2 8" xfId="267"/>
    <cellStyle name="Normal 2 8 2" xfId="464"/>
    <cellStyle name="Normal 2 9" xfId="268"/>
    <cellStyle name="Normal 2 9 2" xfId="465"/>
    <cellStyle name="Normal 2_EStarLighting_ExistingFY10v1_5_CWv1" xfId="24"/>
    <cellStyle name="Normal 20" xfId="269"/>
    <cellStyle name="Normal 21" xfId="270"/>
    <cellStyle name="Normal 22" xfId="271"/>
    <cellStyle name="Normal 23" xfId="272"/>
    <cellStyle name="Normal 24" xfId="273"/>
    <cellStyle name="Normal 25" xfId="274"/>
    <cellStyle name="Normal 26" xfId="275"/>
    <cellStyle name="Normal 27" xfId="276"/>
    <cellStyle name="Normal 28" xfId="277"/>
    <cellStyle name="Normal 29" xfId="278"/>
    <cellStyle name="Normal 3" xfId="25"/>
    <cellStyle name="Normal 3 2" xfId="26"/>
    <cellStyle name="Normal 3 2 2" xfId="279"/>
    <cellStyle name="Normal 3 2 3" xfId="280"/>
    <cellStyle name="Normal 3 3" xfId="281"/>
    <cellStyle name="Normal 3 3 2" xfId="282"/>
    <cellStyle name="Normal 3 3 2 2" xfId="283"/>
    <cellStyle name="Normal 3 4" xfId="284"/>
    <cellStyle name="Normal 3 4 2" xfId="466"/>
    <cellStyle name="Normal 3 5" xfId="467"/>
    <cellStyle name="Normal 3 66" xfId="285"/>
    <cellStyle name="Normal 30" xfId="286"/>
    <cellStyle name="Normal 31" xfId="287"/>
    <cellStyle name="Normal 32" xfId="288"/>
    <cellStyle name="Normal 33" xfId="289"/>
    <cellStyle name="Normal 34" xfId="290"/>
    <cellStyle name="Normal 35" xfId="291"/>
    <cellStyle name="Normal 36" xfId="292"/>
    <cellStyle name="Normal 37" xfId="293"/>
    <cellStyle name="Normal 38" xfId="294"/>
    <cellStyle name="Normal 39" xfId="295"/>
    <cellStyle name="Normal 4" xfId="27"/>
    <cellStyle name="Normal 4 2" xfId="28"/>
    <cellStyle name="Normal 4 2 2" xfId="468"/>
    <cellStyle name="Normal 4 3" xfId="296"/>
    <cellStyle name="Normal 4 3 2" xfId="297"/>
    <cellStyle name="Normal 4 3 2 2" xfId="298"/>
    <cellStyle name="Normal 4 3 2 3" xfId="299"/>
    <cellStyle name="Normal 4 3 3" xfId="300"/>
    <cellStyle name="Normal 4 3 4" xfId="469"/>
    <cellStyle name="Normal 4 4" xfId="301"/>
    <cellStyle name="Normal 4 4 2" xfId="302"/>
    <cellStyle name="Normal 4 4 3" xfId="303"/>
    <cellStyle name="Normal 4 5" xfId="304"/>
    <cellStyle name="Normal 4 5 2" xfId="305"/>
    <cellStyle name="Normal 4 5 3" xfId="306"/>
    <cellStyle name="Normal 4 6" xfId="307"/>
    <cellStyle name="Normal 4 7" xfId="308"/>
    <cellStyle name="Normal 4 8" xfId="470"/>
    <cellStyle name="Normal 40" xfId="309"/>
    <cellStyle name="Normal 41" xfId="310"/>
    <cellStyle name="Normal 42" xfId="311"/>
    <cellStyle name="Normal 43" xfId="312"/>
    <cellStyle name="Normal 44" xfId="313"/>
    <cellStyle name="Normal 45" xfId="314"/>
    <cellStyle name="Normal 46" xfId="315"/>
    <cellStyle name="Normal 47" xfId="316"/>
    <cellStyle name="Normal 48" xfId="317"/>
    <cellStyle name="Normal 48 2" xfId="318"/>
    <cellStyle name="Normal 49" xfId="319"/>
    <cellStyle name="Normal 5" xfId="320"/>
    <cellStyle name="Normal 5 2" xfId="321"/>
    <cellStyle name="Normal 5 2 2" xfId="471"/>
    <cellStyle name="Normal 5 3" xfId="472"/>
    <cellStyle name="Normal 5 3 2" xfId="473"/>
    <cellStyle name="Normal 5 4" xfId="474"/>
    <cellStyle name="Normal 5 4 2" xfId="475"/>
    <cellStyle name="Normal 5 5" xfId="476"/>
    <cellStyle name="Normal 5 5 2" xfId="477"/>
    <cellStyle name="Normal 5 6" xfId="478"/>
    <cellStyle name="Normal 5 6 2" xfId="479"/>
    <cellStyle name="Normal 5 7" xfId="480"/>
    <cellStyle name="Normal 50" xfId="322"/>
    <cellStyle name="Normal 51" xfId="481"/>
    <cellStyle name="Normal 6" xfId="323"/>
    <cellStyle name="Normal 6 2" xfId="482"/>
    <cellStyle name="Normal 6 3" xfId="483"/>
    <cellStyle name="Normal 6 4" xfId="484"/>
    <cellStyle name="Normal 6 5" xfId="485"/>
    <cellStyle name="Normal 7" xfId="324"/>
    <cellStyle name="Normal 7 2" xfId="325"/>
    <cellStyle name="Normal 7 2 2" xfId="486"/>
    <cellStyle name="Normal 7 3" xfId="487"/>
    <cellStyle name="Normal 8" xfId="326"/>
    <cellStyle name="Normal 8 2" xfId="327"/>
    <cellStyle name="Normal 8 2 2" xfId="488"/>
    <cellStyle name="Normal 8 3" xfId="489"/>
    <cellStyle name="Normal 9" xfId="328"/>
    <cellStyle name="Normal 9 2" xfId="329"/>
    <cellStyle name="Normal 9 3" xfId="330"/>
    <cellStyle name="Normal_MTDUCT" xfId="8"/>
    <cellStyle name="Normal_MTRESAPPLPOT" xfId="36"/>
    <cellStyle name="Normal_PC-LPDPackage-6P-D14" xfId="35"/>
    <cellStyle name="Normal_ResDHWHeatRecoveryFY07v1_0" xfId="4"/>
    <cellStyle name="Note 2" xfId="29"/>
    <cellStyle name="Note 2 2" xfId="331"/>
    <cellStyle name="Note 2 2 2" xfId="490"/>
    <cellStyle name="Note 2 3" xfId="491"/>
    <cellStyle name="Note 2 3 2" xfId="492"/>
    <cellStyle name="Note 2 4" xfId="493"/>
    <cellStyle name="Note 2 4 2" xfId="494"/>
    <cellStyle name="Note 2 5" xfId="495"/>
    <cellStyle name="Note 3" xfId="30"/>
    <cellStyle name="Output 2" xfId="332"/>
    <cellStyle name="Output 2 2" xfId="333"/>
    <cellStyle name="Output 3" xfId="334"/>
    <cellStyle name="Percent" xfId="3" builtinId="5"/>
    <cellStyle name="Percent 2" xfId="7"/>
    <cellStyle name="Percent 2 10" xfId="496"/>
    <cellStyle name="Percent 2 2" xfId="31"/>
    <cellStyle name="Percent 2 2 2" xfId="335"/>
    <cellStyle name="Percent 2 2 2 2" xfId="336"/>
    <cellStyle name="Percent 2 2 2 2 2" xfId="497"/>
    <cellStyle name="Percent 2 2 2 3" xfId="337"/>
    <cellStyle name="Percent 2 2 3" xfId="338"/>
    <cellStyle name="Percent 2 2 4" xfId="339"/>
    <cellStyle name="Percent 2 3" xfId="340"/>
    <cellStyle name="Percent 2 3 2" xfId="341"/>
    <cellStyle name="Percent 2 3 2 2" xfId="498"/>
    <cellStyle name="Percent 2 3 2 2 2" xfId="499"/>
    <cellStyle name="Percent 2 3 2 3" xfId="500"/>
    <cellStyle name="Percent 2 3 2 3 2" xfId="501"/>
    <cellStyle name="Percent 2 3 2 4" xfId="502"/>
    <cellStyle name="Percent 2 3 2 4 2" xfId="503"/>
    <cellStyle name="Percent 2 3 2 5" xfId="504"/>
    <cellStyle name="Percent 2 3 2 6" xfId="505"/>
    <cellStyle name="Percent 2 3 3" xfId="342"/>
    <cellStyle name="Percent 2 4" xfId="506"/>
    <cellStyle name="Percent 2 4 2" xfId="507"/>
    <cellStyle name="Percent 2 4 3" xfId="508"/>
    <cellStyle name="Percent 2 5" xfId="509"/>
    <cellStyle name="Percent 2 5 2" xfId="510"/>
    <cellStyle name="Percent 2 6" xfId="511"/>
    <cellStyle name="Percent 2 6 2" xfId="512"/>
    <cellStyle name="Percent 2 7" xfId="513"/>
    <cellStyle name="Percent 2 7 2" xfId="514"/>
    <cellStyle name="Percent 2 8" xfId="515"/>
    <cellStyle name="Percent 2 9" xfId="516"/>
    <cellStyle name="Percent 3" xfId="32"/>
    <cellStyle name="Percent 3 2" xfId="343"/>
    <cellStyle name="Percent 3 2 2" xfId="344"/>
    <cellStyle name="Percent 3 2 2 2" xfId="517"/>
    <cellStyle name="Percent 3 2 3" xfId="345"/>
    <cellStyle name="Percent 3 2 3 2" xfId="518"/>
    <cellStyle name="Percent 3 2 4" xfId="519"/>
    <cellStyle name="Percent 3 2 4 2" xfId="520"/>
    <cellStyle name="Percent 3 2 5" xfId="521"/>
    <cellStyle name="Percent 3 2 5 2" xfId="522"/>
    <cellStyle name="Percent 3 2 6" xfId="523"/>
    <cellStyle name="Percent 3 2 7" xfId="524"/>
    <cellStyle name="Percent 3 2 8" xfId="525"/>
    <cellStyle name="Percent 3 3" xfId="346"/>
    <cellStyle name="Percent 3 4" xfId="347"/>
    <cellStyle name="Percent 3 5" xfId="526"/>
    <cellStyle name="Percent 4" xfId="348"/>
    <cellStyle name="Percent 4 2" xfId="349"/>
    <cellStyle name="Percent 4 2 2" xfId="527"/>
    <cellStyle name="Percent 4 3" xfId="528"/>
    <cellStyle name="Percent 5" xfId="350"/>
    <cellStyle name="Percent 5 2" xfId="529"/>
    <cellStyle name="Percent 6" xfId="351"/>
    <cellStyle name="Percent 6 2" xfId="352"/>
    <cellStyle name="Percent 7" xfId="353"/>
    <cellStyle name="Percent 8" xfId="354"/>
    <cellStyle name="Percent 9" xfId="530"/>
    <cellStyle name="Sheet Title" xfId="355"/>
    <cellStyle name="Style 1" xfId="356"/>
    <cellStyle name="Style 1 2" xfId="357"/>
    <cellStyle name="Style 28" xfId="358"/>
    <cellStyle name="Title 2" xfId="359"/>
    <cellStyle name="Title 2 2" xfId="360"/>
    <cellStyle name="Title 3" xfId="361"/>
    <cellStyle name="Total 2" xfId="362"/>
    <cellStyle name="Total 2 2" xfId="363"/>
    <cellStyle name="Total 3" xfId="364"/>
    <cellStyle name="Warning Text 2" xfId="365"/>
    <cellStyle name="Warning Text 3" xfId="366"/>
    <cellStyle name="표준 2_WP-1 보고자료 (2009.06.03)" xfId="367"/>
    <cellStyle name="표준_ENERGY CONSUMP" xfId="33"/>
    <cellStyle name="常规_海外市场服务网站资料操作BOM" xfId="3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strRef>
          <c:f>'SC-New'!$A$21</c:f>
          <c:strCache>
            <c:ptCount val="1"/>
            <c:pt idx="0">
              <c:v># HOMES APPLICABLE BY YEAR FOR MEASURE - WasteWater Heat Recovery - New</c:v>
            </c:pt>
          </c:strCache>
        </c:strRef>
      </c:tx>
      <c:layout>
        <c:manualLayout>
          <c:xMode val="edge"/>
          <c:yMode val="edge"/>
          <c:x val="0.27677829502253981"/>
          <c:y val="3.2608695652174433E-2"/>
        </c:manualLayout>
      </c:layout>
      <c:spPr>
        <a:noFill/>
        <a:ln w="25400">
          <a:noFill/>
        </a:ln>
      </c:spPr>
      <c:txPr>
        <a:bodyPr/>
        <a:lstStyle/>
        <a:p>
          <a:pPr>
            <a:defRPr sz="1125" b="1" i="0" u="none" strike="noStrike" baseline="0">
              <a:solidFill>
                <a:srgbClr val="000000"/>
              </a:solidFill>
              <a:latin typeface="Arial"/>
              <a:ea typeface="Arial"/>
              <a:cs typeface="Arial"/>
            </a:defRPr>
          </a:pPr>
          <a:endParaRPr lang="en-US"/>
        </a:p>
      </c:txPr>
    </c:title>
    <c:plotArea>
      <c:layout>
        <c:manualLayout>
          <c:layoutTarget val="inner"/>
          <c:xMode val="edge"/>
          <c:yMode val="edge"/>
          <c:x val="0.11996582446797487"/>
          <c:y val="0.14402173913043667"/>
          <c:w val="0.79605893521962634"/>
          <c:h val="0.67391304347826164"/>
        </c:manualLayout>
      </c:layout>
      <c:barChart>
        <c:barDir val="col"/>
        <c:grouping val="stacked"/>
        <c:ser>
          <c:idx val="0"/>
          <c:order val="0"/>
          <c:tx>
            <c:strRef>
              <c:f>'SC-New'!$C$23</c:f>
              <c:strCache>
                <c:ptCount val="1"/>
                <c:pt idx="0">
                  <c:v>Single Family</c:v>
                </c:pt>
              </c:strCache>
            </c:strRef>
          </c:tx>
          <c:spPr>
            <a:solidFill>
              <a:srgbClr val="9999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'SC-New'!$E$23:$Y$23</c:f>
              <c:numCache>
                <c:formatCode>0</c:formatCode>
                <c:ptCount val="21"/>
                <c:pt idx="0">
                  <c:v>31142.285071200004</c:v>
                </c:pt>
                <c:pt idx="1">
                  <c:v>29789.012800800007</c:v>
                </c:pt>
                <c:pt idx="2">
                  <c:v>28235.137161600003</c:v>
                </c:pt>
                <c:pt idx="3">
                  <c:v>27316.643882400003</c:v>
                </c:pt>
                <c:pt idx="4">
                  <c:v>26582.513083200003</c:v>
                </c:pt>
                <c:pt idx="5">
                  <c:v>25327.882440000001</c:v>
                </c:pt>
                <c:pt idx="6">
                  <c:v>24622.237159200005</c:v>
                </c:pt>
                <c:pt idx="7">
                  <c:v>24504.420542400003</c:v>
                </c:pt>
                <c:pt idx="8">
                  <c:v>24251.674536000002</c:v>
                </c:pt>
                <c:pt idx="9">
                  <c:v>24682.639593600004</c:v>
                </c:pt>
                <c:pt idx="10">
                  <c:v>24854.972061600005</c:v>
                </c:pt>
                <c:pt idx="11">
                  <c:v>24535.840658400004</c:v>
                </c:pt>
                <c:pt idx="12">
                  <c:v>23885.8190928</c:v>
                </c:pt>
                <c:pt idx="13">
                  <c:v>23910.512536800004</c:v>
                </c:pt>
                <c:pt idx="14">
                  <c:v>24189.474679200008</c:v>
                </c:pt>
                <c:pt idx="15">
                  <c:v>24086.286835200004</c:v>
                </c:pt>
                <c:pt idx="16">
                  <c:v>23289.487696799999</c:v>
                </c:pt>
                <c:pt idx="17">
                  <c:v>23249.6329104</c:v>
                </c:pt>
                <c:pt idx="18">
                  <c:v>23308.677093600003</c:v>
                </c:pt>
                <c:pt idx="19">
                  <c:v>23466.916836000004</c:v>
                </c:pt>
              </c:numCache>
            </c:numRef>
          </c:val>
        </c:ser>
        <c:ser>
          <c:idx val="1"/>
          <c:order val="1"/>
          <c:tx>
            <c:strRef>
              <c:f>'SC-New'!#REF!</c:f>
              <c:strCache>
                <c:ptCount val="1"/>
                <c:pt idx="0">
                  <c:v>#REF!</c:v>
                </c:pt>
              </c:strCache>
            </c:strRef>
          </c:tx>
          <c:spPr>
            <a:solidFill>
              <a:srgbClr val="993366"/>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2"/>
          <c:order val="2"/>
          <c:tx>
            <c:strRef>
              <c:f>'SC-New'!$C$24</c:f>
              <c:strCache>
                <c:ptCount val="1"/>
                <c:pt idx="0">
                  <c:v>Multifamily - Low Rise</c:v>
                </c:pt>
              </c:strCache>
            </c:strRef>
          </c:tx>
          <c:spPr>
            <a:solidFill>
              <a:srgbClr val="FFFFCC"/>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'SC-New'!$E$24:$Y$24</c:f>
              <c:numCache>
                <c:formatCode>0</c:formatCode>
                <c:ptCount val="21"/>
                <c:pt idx="0">
                  <c:v>11023.244352278311</c:v>
                </c:pt>
                <c:pt idx="1">
                  <c:v>10898.7474732093</c:v>
                </c:pt>
                <c:pt idx="2">
                  <c:v>10801.296637853311</c:v>
                </c:pt>
                <c:pt idx="3">
                  <c:v>10457.681405078927</c:v>
                </c:pt>
                <c:pt idx="4">
                  <c:v>9857.2538255036234</c:v>
                </c:pt>
                <c:pt idx="5">
                  <c:v>9503.2772627372469</c:v>
                </c:pt>
                <c:pt idx="6">
                  <c:v>9416.8881131310263</c:v>
                </c:pt>
                <c:pt idx="7">
                  <c:v>9591.9656498456461</c:v>
                </c:pt>
                <c:pt idx="8">
                  <c:v>9825.299261965225</c:v>
                </c:pt>
                <c:pt idx="9">
                  <c:v>10092.337281458893</c:v>
                </c:pt>
                <c:pt idx="10">
                  <c:v>10134.456034533327</c:v>
                </c:pt>
                <c:pt idx="11">
                  <c:v>10137.226614071706</c:v>
                </c:pt>
                <c:pt idx="12">
                  <c:v>10153.430151395823</c:v>
                </c:pt>
                <c:pt idx="13">
                  <c:v>10042.871374158525</c:v>
                </c:pt>
                <c:pt idx="14">
                  <c:v>9921.8032748739297</c:v>
                </c:pt>
                <c:pt idx="15">
                  <c:v>9718.7959498650398</c:v>
                </c:pt>
                <c:pt idx="16">
                  <c:v>9553.1019004418522</c:v>
                </c:pt>
                <c:pt idx="17">
                  <c:v>9431.9892796639433</c:v>
                </c:pt>
                <c:pt idx="18">
                  <c:v>9250.3878904481717</c:v>
                </c:pt>
                <c:pt idx="19">
                  <c:v>9215.3929565357193</c:v>
                </c:pt>
              </c:numCache>
            </c:numRef>
          </c:val>
        </c:ser>
        <c:ser>
          <c:idx val="3"/>
          <c:order val="3"/>
          <c:tx>
            <c:strRef>
              <c:f>'SC-New'!$C$26</c:f>
              <c:strCache>
                <c:ptCount val="1"/>
                <c:pt idx="0">
                  <c:v>Manufactured</c:v>
                </c:pt>
              </c:strCache>
            </c:strRef>
          </c:tx>
          <c:spPr>
            <a:solidFill>
              <a:srgbClr val="CC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'SC-New'!$E$26:$Y$26</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4"/>
          <c:order val="4"/>
          <c:tx>
            <c:strRef>
              <c:f>'SC-New'!#REF!</c:f>
              <c:strCache>
                <c:ptCount val="1"/>
                <c:pt idx="0">
                  <c:v>#REF!</c:v>
                </c:pt>
              </c:strCache>
            </c:strRef>
          </c:tx>
          <c:spPr>
            <a:solidFill>
              <a:srgbClr val="660066"/>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5"/>
          <c:order val="5"/>
          <c:tx>
            <c:strRef>
              <c:f>'SC-New'!#REF!</c:f>
              <c:strCache>
                <c:ptCount val="1"/>
                <c:pt idx="0">
                  <c:v>#REF!</c:v>
                </c:pt>
              </c:strCache>
            </c:strRef>
          </c:tx>
          <c:spPr>
            <a:solidFill>
              <a:srgbClr val="FF8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6"/>
          <c:order val="6"/>
          <c:tx>
            <c:strRef>
              <c:f>'SC-New'!#REF!</c:f>
              <c:strCache>
                <c:ptCount val="1"/>
                <c:pt idx="0">
                  <c:v>#REF!</c:v>
                </c:pt>
              </c:strCache>
            </c:strRef>
          </c:tx>
          <c:spPr>
            <a:solidFill>
              <a:srgbClr val="0066CC"/>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7"/>
          <c:order val="7"/>
          <c:tx>
            <c:strRef>
              <c:f>'SC-New'!#REF!</c:f>
              <c:strCache>
                <c:ptCount val="1"/>
                <c:pt idx="0">
                  <c:v>#REF!</c:v>
                </c:pt>
              </c:strCache>
            </c:strRef>
          </c:tx>
          <c:spPr>
            <a:solidFill>
              <a:srgbClr val="CCCC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8"/>
          <c:order val="8"/>
          <c:tx>
            <c:strRef>
              <c:f>'SC-New'!#REF!</c:f>
              <c:strCache>
                <c:ptCount val="1"/>
                <c:pt idx="0">
                  <c:v>#REF!</c:v>
                </c:pt>
              </c:strCache>
            </c:strRef>
          </c:tx>
          <c:spPr>
            <a:solidFill>
              <a:srgbClr val="000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9"/>
          <c:order val="9"/>
          <c:tx>
            <c:strRef>
              <c:f>'SC-New'!#REF!</c:f>
              <c:strCache>
                <c:ptCount val="1"/>
                <c:pt idx="0">
                  <c:v>#REF!</c:v>
                </c:pt>
              </c:strCache>
            </c:strRef>
          </c:tx>
          <c:spPr>
            <a:solidFill>
              <a:srgbClr val="FF00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0"/>
          <c:order val="10"/>
          <c:tx>
            <c:strRef>
              <c:f>'SC-New'!#REF!</c:f>
              <c:strCache>
                <c:ptCount val="1"/>
                <c:pt idx="0">
                  <c:v>#REF!</c:v>
                </c:pt>
              </c:strCache>
            </c:strRef>
          </c:tx>
          <c:spPr>
            <a:solidFill>
              <a:srgbClr val="FFFF0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1"/>
          <c:order val="11"/>
          <c:tx>
            <c:strRef>
              <c:f>'SC-New'!#REF!</c:f>
              <c:strCache>
                <c:ptCount val="1"/>
                <c:pt idx="0">
                  <c:v>#REF!</c:v>
                </c:pt>
              </c:strCache>
            </c:strRef>
          </c:tx>
          <c:spPr>
            <a:solidFill>
              <a:srgbClr val="00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2"/>
          <c:order val="12"/>
          <c:tx>
            <c:strRef>
              <c:f>'SC-New'!#REF!</c:f>
              <c:strCache>
                <c:ptCount val="1"/>
                <c:pt idx="0">
                  <c:v>#REF!</c:v>
                </c:pt>
              </c:strCache>
            </c:strRef>
          </c:tx>
          <c:spPr>
            <a:solidFill>
              <a:srgbClr val="800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3"/>
          <c:order val="13"/>
          <c:tx>
            <c:strRef>
              <c:f>'SC-New'!#REF!</c:f>
              <c:strCache>
                <c:ptCount val="1"/>
                <c:pt idx="0">
                  <c:v>#REF!</c:v>
                </c:pt>
              </c:strCache>
            </c:strRef>
          </c:tx>
          <c:spPr>
            <a:solidFill>
              <a:srgbClr val="80000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4"/>
          <c:order val="14"/>
          <c:tx>
            <c:strRef>
              <c:f>'SC-New'!#REF!</c:f>
              <c:strCache>
                <c:ptCount val="1"/>
                <c:pt idx="0">
                  <c:v>#REF!</c:v>
                </c:pt>
              </c:strCache>
            </c:strRef>
          </c:tx>
          <c:spPr>
            <a:solidFill>
              <a:srgbClr val="008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5"/>
          <c:order val="15"/>
          <c:tx>
            <c:strRef>
              <c:f>'SC-New'!#REF!</c:f>
              <c:strCache>
                <c:ptCount val="1"/>
                <c:pt idx="0">
                  <c:v>#REF!</c:v>
                </c:pt>
              </c:strCache>
            </c:strRef>
          </c:tx>
          <c:spPr>
            <a:solidFill>
              <a:srgbClr val="0000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6"/>
          <c:order val="16"/>
          <c:tx>
            <c:strRef>
              <c:f>'SC-New'!#REF!</c:f>
              <c:strCache>
                <c:ptCount val="1"/>
                <c:pt idx="0">
                  <c:v>#REF!</c:v>
                </c:pt>
              </c:strCache>
            </c:strRef>
          </c:tx>
          <c:spPr>
            <a:solidFill>
              <a:srgbClr val="00CC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7"/>
          <c:order val="17"/>
          <c:tx>
            <c:strRef>
              <c:f>'SC-New'!#REF!</c:f>
              <c:strCache>
                <c:ptCount val="1"/>
                <c:pt idx="0">
                  <c:v>#REF!</c:v>
                </c:pt>
              </c:strCache>
            </c:strRef>
          </c:tx>
          <c:spPr>
            <a:solidFill>
              <a:srgbClr val="CC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overlap val="100"/>
        <c:axId val="72455680"/>
        <c:axId val="72457216"/>
      </c:barChart>
      <c:catAx>
        <c:axId val="72455680"/>
        <c:scaling>
          <c:orientation val="minMax"/>
        </c:scaling>
        <c:axPos val="b"/>
        <c:numFmt formatCode="General"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72457216"/>
        <c:crosses val="autoZero"/>
        <c:auto val="1"/>
        <c:lblAlgn val="ctr"/>
        <c:lblOffset val="100"/>
        <c:tickLblSkip val="1"/>
        <c:tickMarkSkip val="1"/>
      </c:catAx>
      <c:valAx>
        <c:axId val="72457216"/>
        <c:scaling>
          <c:orientation val="minMax"/>
        </c:scaling>
        <c:axPos val="l"/>
        <c:majorGridlines>
          <c:spPr>
            <a:ln w="3175">
              <a:solidFill>
                <a:srgbClr val="000000"/>
              </a:solidFill>
              <a:prstDash val="solid"/>
            </a:ln>
          </c:spPr>
        </c:majorGridlines>
        <c:title>
          <c:tx>
            <c:strRef>
              <c:f>'SC-New'!$C$11</c:f>
              <c:strCache>
                <c:ptCount val="1"/>
                <c:pt idx="0">
                  <c:v># homes</c:v>
                </c:pt>
              </c:strCache>
            </c:strRef>
          </c:tx>
          <c:layout>
            <c:manualLayout>
              <c:xMode val="edge"/>
              <c:yMode val="edge"/>
              <c:x val="7.0265697188384713E-2"/>
              <c:y val="0.40489130434782838"/>
            </c:manualLayout>
          </c:layout>
          <c:spPr>
            <a:noFill/>
            <a:ln w="25400">
              <a:noFill/>
            </a:ln>
          </c:spPr>
          <c:txPr>
            <a:bodyPr/>
            <a:lstStyle/>
            <a:p>
              <a:pPr>
                <a:defRPr sz="900" b="1" i="0" u="none" strike="noStrike" baseline="0">
                  <a:solidFill>
                    <a:srgbClr val="000000"/>
                  </a:solidFill>
                  <a:latin typeface="Arial"/>
                  <a:ea typeface="Arial"/>
                  <a:cs typeface="Arial"/>
                </a:defRPr>
              </a:pPr>
              <a:endParaRPr lang="en-US"/>
            </a:p>
          </c:txPr>
        </c:title>
        <c:numFmt formatCode="0"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72455680"/>
        <c:crosses val="autoZero"/>
        <c:crossBetween val="between"/>
      </c:valAx>
      <c:spPr>
        <a:solidFill>
          <a:srgbClr val="C0C0C0"/>
        </a:solidFill>
        <a:ln w="12700">
          <a:solidFill>
            <a:srgbClr val="808080"/>
          </a:solidFill>
          <a:prstDash val="solid"/>
        </a:ln>
      </c:spPr>
    </c:plotArea>
    <c:legend>
      <c:legendPos val="r"/>
      <c:layout>
        <c:manualLayout>
          <c:xMode val="edge"/>
          <c:yMode val="edge"/>
          <c:x val="0.92545064589579806"/>
          <c:y val="5.9782608695652183E-2"/>
          <c:w val="6.7695000949785533E-2"/>
          <c:h val="0.93206521739130765"/>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644" r="0.75000000000000644"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30</xdr:col>
      <xdr:colOff>247650</xdr:colOff>
      <xdr:row>20</xdr:row>
      <xdr:rowOff>152400</xdr:rowOff>
    </xdr:from>
    <xdr:to>
      <xdr:col>39</xdr:col>
      <xdr:colOff>190500</xdr:colOff>
      <xdr:row>28</xdr:row>
      <xdr:rowOff>95250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1</xdr:rowOff>
    </xdr:from>
    <xdr:to>
      <xdr:col>2</xdr:col>
      <xdr:colOff>900559</xdr:colOff>
      <xdr:row>31</xdr:row>
      <xdr:rowOff>85725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4048126"/>
          <a:ext cx="4396234" cy="3648074"/>
        </a:xfrm>
        <a:prstGeom prst="rect">
          <a:avLst/>
        </a:prstGeom>
        <a:noFill/>
      </xdr:spPr>
    </xdr:pic>
    <xdr:clientData/>
  </xdr:twoCellAnchor>
  <xdr:twoCellAnchor editAs="oneCell">
    <xdr:from>
      <xdr:col>2</xdr:col>
      <xdr:colOff>1447799</xdr:colOff>
      <xdr:row>8</xdr:row>
      <xdr:rowOff>81603</xdr:rowOff>
    </xdr:from>
    <xdr:to>
      <xdr:col>7</xdr:col>
      <xdr:colOff>304799</xdr:colOff>
      <xdr:row>29</xdr:row>
      <xdr:rowOff>94965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943474" y="3967803"/>
          <a:ext cx="3876675" cy="3413787"/>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3">
          <cell r="D23" t="str">
            <v>WASHINGTON</v>
          </cell>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3">
          <cell r="D33" t="str">
            <v>IDAHO</v>
          </cell>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3">
          <cell r="D43" t="str">
            <v>MONTANA</v>
          </cell>
          <cell r="E43">
            <v>0.56999999999999995</v>
          </cell>
          <cell r="F43" t="str">
            <v>Western MT portion of state</v>
          </cell>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row>
        <row r="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D58" t="str">
            <v>Single Family</v>
          </cell>
          <cell r="E58" t="str">
            <v>Existing</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D59" t="str">
            <v>Multifamily - Low Rise</v>
          </cell>
          <cell r="E59" t="str">
            <v>Existing</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D61" t="str">
            <v>Manufactured</v>
          </cell>
          <cell r="E61" t="str">
            <v>Existing</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 val="Res_Master"/>
    </sheetNames>
    <definedNames>
      <definedName name="NewSat" refersTo="='SATS'!$B$87:$F$152"/>
      <definedName name="ResApplic" refersTo="='APPLIC'!$B$8:$F$119"/>
    </definedNames>
    <sheetDataSet>
      <sheetData sheetId="0"/>
      <sheetData sheetId="1"/>
      <sheetData sheetId="2">
        <row r="16">
          <cell r="B16" t="str">
            <v>WasteWater Heat Recovery</v>
          </cell>
        </row>
        <row r="75">
          <cell r="B75" t="str">
            <v>Controls Commissioning and Sizing</v>
          </cell>
        </row>
        <row r="76">
          <cell r="B76" t="str">
            <v>Controls Commissioning and Sizing</v>
          </cell>
        </row>
      </sheetData>
      <sheetData sheetId="3">
        <row r="4">
          <cell r="H4">
            <v>2035</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cell r="C43"/>
          <cell r="D43"/>
          <cell r="E43"/>
          <cell r="F43"/>
        </row>
        <row r="44">
          <cell r="B44" t="str">
            <v>Computer - NR</v>
          </cell>
          <cell r="C44"/>
          <cell r="D44"/>
          <cell r="E44"/>
          <cell r="F44"/>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B100"/>
          <cell r="C100">
            <v>0</v>
          </cell>
          <cell r="D100">
            <v>0</v>
          </cell>
          <cell r="E100">
            <v>0</v>
          </cell>
          <cell r="F100">
            <v>0</v>
          </cell>
        </row>
        <row r="101">
          <cell r="B101"/>
        </row>
        <row r="102">
          <cell r="B102"/>
        </row>
        <row r="103">
          <cell r="B103"/>
        </row>
        <row r="104">
          <cell r="B104"/>
        </row>
        <row r="105">
          <cell r="B105"/>
        </row>
        <row r="106">
          <cell r="B106"/>
        </row>
        <row r="107">
          <cell r="B107"/>
        </row>
        <row r="108">
          <cell r="B108"/>
        </row>
        <row r="109">
          <cell r="B109"/>
        </row>
        <row r="110">
          <cell r="B110"/>
        </row>
        <row r="111">
          <cell r="B111"/>
        </row>
        <row r="112">
          <cell r="B112"/>
        </row>
        <row r="113">
          <cell r="B113"/>
        </row>
        <row r="114">
          <cell r="B114"/>
        </row>
        <row r="115">
          <cell r="B115"/>
        </row>
        <row r="116">
          <cell r="B116"/>
        </row>
        <row r="117">
          <cell r="B117"/>
        </row>
        <row r="118">
          <cell r="B118"/>
        </row>
        <row r="119">
          <cell r="B119"/>
        </row>
        <row r="120">
          <cell r="B120"/>
        </row>
      </sheetData>
      <sheetData sheetId="5"/>
      <sheetData sheetId="6"/>
      <sheetData sheetId="7"/>
      <sheetData sheetId="8">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row r="78">
          <cell r="C78"/>
          <cell r="D78"/>
          <cell r="E78"/>
          <cell r="F78"/>
        </row>
        <row r="79">
          <cell r="C79"/>
          <cell r="D79"/>
          <cell r="E79"/>
          <cell r="F79"/>
        </row>
      </sheetData>
      <sheetData sheetId="9">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cell r="X9"/>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cell r="X10"/>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cell r="X11"/>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cell r="X12"/>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cell r="X13"/>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cell r="X14"/>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cell r="X15"/>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cell r="X16"/>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row>
        <row r="18">
          <cell r="B18"/>
          <cell r="C18"/>
          <cell r="D18"/>
          <cell r="E18"/>
          <cell r="F18"/>
          <cell r="G18"/>
          <cell r="H18"/>
          <cell r="I18"/>
          <cell r="J18"/>
          <cell r="K18"/>
          <cell r="L18"/>
          <cell r="M18"/>
          <cell r="N18"/>
          <cell r="O18"/>
          <cell r="P18"/>
          <cell r="Q18"/>
          <cell r="R18"/>
          <cell r="S18"/>
          <cell r="T18"/>
          <cell r="U18"/>
          <cell r="V18"/>
          <cell r="W18"/>
          <cell r="X18"/>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cell r="X19"/>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cell r="X20"/>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cell r="X21"/>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cell r="X22"/>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cell r="X24"/>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cell r="X25"/>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cell r="X26"/>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cell r="X27"/>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cell r="X28"/>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cell r="X29"/>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cell r="X30"/>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cell r="X31"/>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cell r="X32"/>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cell r="X33"/>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cell r="X34"/>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cell r="X35"/>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cell r="X36"/>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cell r="X37"/>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cell r="X38"/>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cell r="X39"/>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cell r="X40"/>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cell r="X41"/>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cell r="X42"/>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cell r="X43"/>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cell r="X44"/>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cell r="X45"/>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cell r="X46"/>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cell r="X47"/>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cell r="X48"/>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cell r="X49"/>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cell r="X50"/>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cell r="X51"/>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cell r="X52"/>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cell r="X53"/>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cell r="X54"/>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cell r="X55"/>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cell r="X56"/>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cell r="X57"/>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cell r="X58"/>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cell r="X59"/>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cell r="X60"/>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cell r="X61"/>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cell r="X62"/>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cell r="X63"/>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cell r="X64"/>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cell r="X65"/>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cell r="X66"/>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cell r="X67"/>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cell r="X68"/>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cell r="X69"/>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cell r="X70"/>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cell r="X71"/>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cell r="X72"/>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cell r="X73"/>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cell r="X74"/>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cell r="X75"/>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cell r="X76"/>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cell r="X77"/>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cell r="X78"/>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cell r="X79"/>
        </row>
        <row r="80">
          <cell r="A80" t="str">
            <v>HVAC</v>
          </cell>
          <cell r="B80" t="str">
            <v>ECM for HVAC ventilation - NR</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cell r="X80"/>
        </row>
        <row r="81">
          <cell r="A81" t="str">
            <v>HVAC</v>
          </cell>
          <cell r="B81" t="str">
            <v>Whole house/attic fan - New</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cell r="X81"/>
        </row>
        <row r="82">
          <cell r="A82" t="str">
            <v>HVAC</v>
          </cell>
          <cell r="B82" t="str">
            <v>Whole house/attic fan - Retro</v>
          </cell>
          <cell r="C82" t="str">
            <v>Retro12Med</v>
          </cell>
          <cell r="D82">
            <v>0.10937459468255628</v>
          </cell>
          <cell r="E82">
            <v>0.10937459468255628</v>
          </cell>
          <cell r="F82">
            <v>0.10937459468255628</v>
          </cell>
          <cell r="G82">
            <v>0.10937459468255628</v>
          </cell>
          <cell r="H82">
            <v>0.10937459468255628</v>
          </cell>
          <cell r="I82">
            <v>9.8437135214300656E-2</v>
          </cell>
          <cell r="J82">
            <v>7.874970817144053E-2</v>
          </cell>
          <cell r="K82">
            <v>6.2999766537152418E-2</v>
          </cell>
          <cell r="L82">
            <v>5.0399813229721938E-2</v>
          </cell>
          <cell r="M82">
            <v>4.0319850583777551E-2</v>
          </cell>
          <cell r="N82">
            <v>3.225588046702204E-2</v>
          </cell>
          <cell r="O82">
            <v>2.5804704373617631E-2</v>
          </cell>
          <cell r="P82">
            <v>2.0643763498894106E-2</v>
          </cell>
          <cell r="Q82">
            <v>1.6515010799115284E-2</v>
          </cell>
          <cell r="R82">
            <v>1.3212008639292228E-2</v>
          </cell>
          <cell r="S82">
            <v>1.0569606911433781E-2</v>
          </cell>
          <cell r="T82">
            <v>7.2092823794611682E-5</v>
          </cell>
          <cell r="U82">
            <v>2.5747437069512102E-5</v>
          </cell>
          <cell r="V82">
            <v>8.7775353646568632E-6</v>
          </cell>
          <cell r="W82">
            <v>2.8622397928446119E-6</v>
          </cell>
          <cell r="X82"/>
        </row>
        <row r="83">
          <cell r="A83" t="str">
            <v>Water heating</v>
          </cell>
          <cell r="B83" t="str">
            <v>WH Pipe insulation - Retro</v>
          </cell>
          <cell r="C83" t="str">
            <v>Retro12Med</v>
          </cell>
          <cell r="D83">
            <v>0.10937459468255628</v>
          </cell>
          <cell r="E83">
            <v>0.10937459468255628</v>
          </cell>
          <cell r="F83">
            <v>0.10937459468255628</v>
          </cell>
          <cell r="G83">
            <v>0.10937459468255628</v>
          </cell>
          <cell r="H83">
            <v>0.10937459468255628</v>
          </cell>
          <cell r="I83">
            <v>9.8437135214300656E-2</v>
          </cell>
          <cell r="J83">
            <v>7.874970817144053E-2</v>
          </cell>
          <cell r="K83">
            <v>6.2999766537152418E-2</v>
          </cell>
          <cell r="L83">
            <v>5.0399813229721938E-2</v>
          </cell>
          <cell r="M83">
            <v>4.0319850583777551E-2</v>
          </cell>
          <cell r="N83">
            <v>3.225588046702204E-2</v>
          </cell>
          <cell r="O83">
            <v>2.5804704373617631E-2</v>
          </cell>
          <cell r="P83">
            <v>2.0643763498894106E-2</v>
          </cell>
          <cell r="Q83">
            <v>1.6515010799115284E-2</v>
          </cell>
          <cell r="R83">
            <v>1.3212008639292228E-2</v>
          </cell>
          <cell r="S83">
            <v>1.0569606911433781E-2</v>
          </cell>
          <cell r="T83">
            <v>7.2092823794611682E-5</v>
          </cell>
          <cell r="U83">
            <v>2.5747437069512102E-5</v>
          </cell>
          <cell r="V83">
            <v>8.7775353646568632E-6</v>
          </cell>
          <cell r="W83">
            <v>2.8622397928446119E-6</v>
          </cell>
          <cell r="X83"/>
        </row>
        <row r="84">
          <cell r="A84" t="str">
            <v>HVAC</v>
          </cell>
          <cell r="B84" t="str">
            <v>DHP Ducted - 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cell r="X84"/>
        </row>
        <row r="85">
          <cell r="A85" t="str">
            <v>Electronics</v>
          </cell>
          <cell r="B85" t="str">
            <v>Advanced Power Strips - New</v>
          </cell>
          <cell r="C85" t="str">
            <v>LO5Med</v>
          </cell>
          <cell r="D85">
            <v>4.2999999999999997E-2</v>
          </cell>
          <cell r="E85">
            <v>9.5797142280278316E-2</v>
          </cell>
          <cell r="F85">
            <v>0.16040539374775648</v>
          </cell>
          <cell r="G85">
            <v>0.23540539374775649</v>
          </cell>
          <cell r="H85">
            <v>0.32095239121809005</v>
          </cell>
          <cell r="I85">
            <v>0.42096711425629652</v>
          </cell>
          <cell r="J85">
            <v>0.53068481860864725</v>
          </cell>
          <cell r="K85">
            <v>0.642769203728351</v>
          </cell>
          <cell r="L85">
            <v>0.74839528535557953</v>
          </cell>
          <cell r="M85">
            <v>0.83918984935345187</v>
          </cell>
          <cell r="N85">
            <v>0.90945051634530116</v>
          </cell>
          <cell r="O85">
            <v>0.9576688767502457</v>
          </cell>
          <cell r="P85">
            <v>0.9865231113648858</v>
          </cell>
          <cell r="Q85">
            <v>1.0012970762896924</v>
          </cell>
          <cell r="R85">
            <v>1.0076356106578106</v>
          </cell>
          <cell r="S85">
            <v>1.0098624683774413</v>
          </cell>
          <cell r="T85">
            <v>1.0104871783970797</v>
          </cell>
          <cell r="U85">
            <v>1.010623336815976</v>
          </cell>
          <cell r="V85">
            <v>1.0106457174525985</v>
          </cell>
          <cell r="W85">
            <v>1.0106484038909742</v>
          </cell>
          <cell r="X85"/>
        </row>
        <row r="86">
          <cell r="A86" t="str">
            <v>Electronics</v>
          </cell>
          <cell r="B86" t="str">
            <v>Advanced Power Strips - 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cell r="X86"/>
        </row>
        <row r="87">
          <cell r="A87" t="str">
            <v>HVAC</v>
          </cell>
          <cell r="B87" t="str">
            <v>Controls Commissioning and Sizing - New</v>
          </cell>
          <cell r="C87" t="str">
            <v>LO5Med</v>
          </cell>
          <cell r="D87">
            <v>4.2999999999999997E-2</v>
          </cell>
          <cell r="E87">
            <v>9.5797142280278316E-2</v>
          </cell>
          <cell r="F87">
            <v>0.16040539374775648</v>
          </cell>
          <cell r="G87">
            <v>0.23540539374775649</v>
          </cell>
          <cell r="H87">
            <v>0.32095239121809005</v>
          </cell>
          <cell r="I87">
            <v>0.42096711425629652</v>
          </cell>
          <cell r="J87">
            <v>0.53068481860864725</v>
          </cell>
          <cell r="K87">
            <v>0.642769203728351</v>
          </cell>
          <cell r="L87">
            <v>0.74839528535557953</v>
          </cell>
          <cell r="M87">
            <v>0.83918984935345187</v>
          </cell>
          <cell r="N87">
            <v>0.90945051634530116</v>
          </cell>
          <cell r="O87">
            <v>0.9576688767502457</v>
          </cell>
          <cell r="P87">
            <v>0.9865231113648858</v>
          </cell>
          <cell r="Q87">
            <v>1.0012970762896924</v>
          </cell>
          <cell r="R87">
            <v>1.0076356106578106</v>
          </cell>
          <cell r="S87">
            <v>1.0098624683774413</v>
          </cell>
          <cell r="T87">
            <v>1.0104871783970797</v>
          </cell>
          <cell r="U87">
            <v>1.010623336815976</v>
          </cell>
          <cell r="V87">
            <v>1.0106457174525985</v>
          </cell>
          <cell r="W87">
            <v>1.0106484038909742</v>
          </cell>
          <cell r="X87"/>
        </row>
        <row r="88">
          <cell r="A88" t="str">
            <v>HVAC</v>
          </cell>
          <cell r="B88" t="str">
            <v>Controls Commissioning and Sizing - NR</v>
          </cell>
          <cell r="C88" t="str">
            <v>LO5Med</v>
          </cell>
          <cell r="D88">
            <v>4.2999999999999997E-2</v>
          </cell>
          <cell r="E88">
            <v>9.5797142280278316E-2</v>
          </cell>
          <cell r="F88">
            <v>0.16040539374775648</v>
          </cell>
          <cell r="G88">
            <v>0.23540539374775649</v>
          </cell>
          <cell r="H88">
            <v>0.32095239121809005</v>
          </cell>
          <cell r="I88">
            <v>0.42096711425629652</v>
          </cell>
          <cell r="J88">
            <v>0.53068481860864725</v>
          </cell>
          <cell r="K88">
            <v>0.642769203728351</v>
          </cell>
          <cell r="L88">
            <v>0.74839528535557953</v>
          </cell>
          <cell r="M88">
            <v>0.83918984935345187</v>
          </cell>
          <cell r="N88">
            <v>0.90945051634530116</v>
          </cell>
          <cell r="O88">
            <v>0.9576688767502457</v>
          </cell>
          <cell r="P88">
            <v>0.9865231113648858</v>
          </cell>
          <cell r="Q88">
            <v>1.0012970762896924</v>
          </cell>
          <cell r="R88">
            <v>1.0076356106578106</v>
          </cell>
          <cell r="S88">
            <v>1.0098624683774413</v>
          </cell>
          <cell r="T88">
            <v>1.0104871783970797</v>
          </cell>
          <cell r="U88">
            <v>1.010623336815976</v>
          </cell>
          <cell r="V88">
            <v>1.0106457174525985</v>
          </cell>
          <cell r="W88">
            <v>1.0106484038909742</v>
          </cell>
          <cell r="X88"/>
        </row>
        <row r="89">
          <cell r="A89" t="str">
            <v>HVAC</v>
          </cell>
          <cell r="B89" t="str">
            <v>ResWx - Retro</v>
          </cell>
          <cell r="C89" t="str">
            <v>Retro12Med</v>
          </cell>
          <cell r="D89">
            <v>0.10937459468255628</v>
          </cell>
          <cell r="E89">
            <v>0.10937459468255628</v>
          </cell>
          <cell r="F89">
            <v>0.10937459468255628</v>
          </cell>
          <cell r="G89">
            <v>0.10937459468255628</v>
          </cell>
          <cell r="H89">
            <v>0.10937459468255628</v>
          </cell>
          <cell r="I89">
            <v>9.8437135214300656E-2</v>
          </cell>
          <cell r="J89">
            <v>7.874970817144053E-2</v>
          </cell>
          <cell r="K89">
            <v>6.2999766537152418E-2</v>
          </cell>
          <cell r="L89">
            <v>5.0399813229721938E-2</v>
          </cell>
          <cell r="M89">
            <v>4.0319850583777551E-2</v>
          </cell>
          <cell r="N89">
            <v>3.225588046702204E-2</v>
          </cell>
          <cell r="O89">
            <v>2.5804704373617631E-2</v>
          </cell>
          <cell r="P89">
            <v>2.0643763498894106E-2</v>
          </cell>
          <cell r="Q89">
            <v>1.6515010799115284E-2</v>
          </cell>
          <cell r="R89">
            <v>1.3212008639292228E-2</v>
          </cell>
          <cell r="S89">
            <v>1.0569606911433781E-2</v>
          </cell>
          <cell r="T89">
            <v>7.2092823794611682E-5</v>
          </cell>
          <cell r="U89">
            <v>2.5747437069512102E-5</v>
          </cell>
          <cell r="V89">
            <v>8.7775353646568632E-6</v>
          </cell>
          <cell r="W89">
            <v>2.8622397928446119E-6</v>
          </cell>
          <cell r="X89"/>
        </row>
        <row r="90">
          <cell r="D90"/>
          <cell r="E90"/>
          <cell r="F90"/>
          <cell r="G90"/>
          <cell r="H90"/>
          <cell r="I90"/>
          <cell r="J90"/>
          <cell r="K90"/>
          <cell r="L90"/>
          <cell r="M90"/>
          <cell r="N90"/>
          <cell r="O90"/>
          <cell r="P90"/>
          <cell r="Q90"/>
          <cell r="R90"/>
          <cell r="S90"/>
          <cell r="T90"/>
          <cell r="U90"/>
          <cell r="V90"/>
          <cell r="W90"/>
          <cell r="X90"/>
        </row>
        <row r="91">
          <cell r="D91"/>
          <cell r="E91"/>
          <cell r="F91"/>
          <cell r="G91"/>
          <cell r="H91"/>
          <cell r="I91"/>
          <cell r="J91"/>
          <cell r="K91"/>
          <cell r="L91"/>
          <cell r="M91"/>
          <cell r="N91"/>
          <cell r="O91"/>
          <cell r="P91"/>
          <cell r="Q91"/>
          <cell r="R91"/>
          <cell r="S91"/>
          <cell r="T91"/>
          <cell r="U91"/>
          <cell r="V91"/>
          <cell r="W91"/>
          <cell r="X91"/>
        </row>
        <row r="92">
          <cell r="D92"/>
          <cell r="E92"/>
          <cell r="F92"/>
          <cell r="G92"/>
          <cell r="H92"/>
          <cell r="I92"/>
          <cell r="J92"/>
          <cell r="K92"/>
          <cell r="L92"/>
          <cell r="M92"/>
          <cell r="N92"/>
          <cell r="O92"/>
          <cell r="P92"/>
          <cell r="Q92"/>
          <cell r="R92"/>
          <cell r="S92"/>
          <cell r="T92"/>
          <cell r="U92"/>
          <cell r="V92"/>
          <cell r="W92"/>
          <cell r="X92"/>
        </row>
        <row r="93">
          <cell r="D93"/>
          <cell r="E93"/>
          <cell r="F93"/>
          <cell r="G93"/>
          <cell r="H93"/>
          <cell r="I93"/>
          <cell r="J93"/>
          <cell r="K93"/>
          <cell r="L93"/>
          <cell r="M93"/>
          <cell r="N93"/>
          <cell r="O93"/>
          <cell r="P93"/>
          <cell r="Q93"/>
          <cell r="R93"/>
          <cell r="S93"/>
          <cell r="T93"/>
          <cell r="U93"/>
          <cell r="V93"/>
          <cell r="W93"/>
          <cell r="X93"/>
        </row>
        <row r="94">
          <cell r="D94"/>
          <cell r="E94"/>
          <cell r="F94"/>
          <cell r="G94"/>
          <cell r="H94"/>
          <cell r="I94"/>
          <cell r="J94"/>
          <cell r="K94"/>
          <cell r="L94"/>
          <cell r="M94"/>
          <cell r="N94"/>
          <cell r="O94"/>
          <cell r="P94"/>
          <cell r="Q94"/>
          <cell r="R94"/>
          <cell r="S94"/>
          <cell r="T94"/>
          <cell r="U94"/>
          <cell r="V94"/>
          <cell r="W94"/>
          <cell r="X94"/>
        </row>
        <row r="95">
          <cell r="D95"/>
          <cell r="E95"/>
          <cell r="F95"/>
          <cell r="G95"/>
          <cell r="H95"/>
          <cell r="I95"/>
          <cell r="J95"/>
          <cell r="K95"/>
          <cell r="L95"/>
          <cell r="M95"/>
          <cell r="N95"/>
          <cell r="O95"/>
          <cell r="P95"/>
          <cell r="Q95"/>
          <cell r="R95"/>
          <cell r="S95"/>
          <cell r="T95"/>
          <cell r="U95"/>
          <cell r="V95"/>
          <cell r="W95"/>
          <cell r="X95"/>
        </row>
        <row r="96">
          <cell r="D96"/>
          <cell r="E96"/>
          <cell r="F96"/>
          <cell r="G96"/>
          <cell r="H96"/>
          <cell r="I96"/>
          <cell r="J96"/>
          <cell r="K96"/>
          <cell r="L96"/>
          <cell r="M96"/>
          <cell r="N96"/>
          <cell r="O96"/>
          <cell r="P96"/>
          <cell r="Q96"/>
          <cell r="R96"/>
          <cell r="S96"/>
          <cell r="T96"/>
          <cell r="U96"/>
          <cell r="V96"/>
          <cell r="W96"/>
          <cell r="X96"/>
        </row>
        <row r="97">
          <cell r="D97"/>
          <cell r="E97"/>
          <cell r="F97"/>
          <cell r="G97"/>
          <cell r="H97"/>
          <cell r="I97"/>
          <cell r="J97"/>
          <cell r="K97"/>
          <cell r="L97"/>
          <cell r="M97"/>
          <cell r="N97"/>
          <cell r="O97"/>
          <cell r="P97"/>
          <cell r="Q97"/>
          <cell r="R97"/>
          <cell r="S97"/>
          <cell r="T97"/>
          <cell r="U97"/>
          <cell r="V97"/>
          <cell r="W97"/>
          <cell r="X97"/>
        </row>
        <row r="98">
          <cell r="D98"/>
          <cell r="E98"/>
          <cell r="F98"/>
          <cell r="G98"/>
          <cell r="H98"/>
          <cell r="I98"/>
          <cell r="J98"/>
          <cell r="K98"/>
          <cell r="L98"/>
          <cell r="M98"/>
          <cell r="N98"/>
          <cell r="O98"/>
          <cell r="P98"/>
          <cell r="Q98"/>
          <cell r="R98"/>
          <cell r="S98"/>
          <cell r="T98"/>
          <cell r="U98"/>
          <cell r="V98"/>
          <cell r="W98"/>
          <cell r="X98"/>
        </row>
        <row r="99">
          <cell r="D99"/>
          <cell r="E99"/>
          <cell r="F99"/>
          <cell r="G99"/>
          <cell r="H99"/>
          <cell r="I99"/>
          <cell r="J99"/>
          <cell r="K99"/>
          <cell r="L99"/>
          <cell r="M99"/>
          <cell r="N99"/>
          <cell r="O99"/>
          <cell r="P99"/>
          <cell r="Q99"/>
          <cell r="R99"/>
          <cell r="S99"/>
          <cell r="T99"/>
          <cell r="U99"/>
          <cell r="V99"/>
          <cell r="W99"/>
          <cell r="X99"/>
        </row>
        <row r="100">
          <cell r="D100"/>
          <cell r="E100"/>
          <cell r="F100"/>
          <cell r="G100"/>
          <cell r="H100"/>
          <cell r="I100"/>
          <cell r="J100"/>
          <cell r="K100"/>
          <cell r="L100"/>
          <cell r="M100"/>
          <cell r="N100"/>
          <cell r="O100"/>
          <cell r="P100"/>
          <cell r="Q100"/>
          <cell r="R100"/>
          <cell r="S100"/>
          <cell r="T100"/>
          <cell r="U100"/>
          <cell r="V100"/>
          <cell r="W100"/>
          <cell r="X100"/>
        </row>
      </sheetData>
      <sheetData sheetId="10"/>
      <sheetData sheetId="11">
        <row r="11">
          <cell r="D11">
            <v>2.9671514740017984E-2</v>
          </cell>
          <cell r="E11">
            <v>2.9671514740017984E-2</v>
          </cell>
        </row>
        <row r="12">
          <cell r="D12">
            <v>0</v>
          </cell>
          <cell r="E12">
            <v>0</v>
          </cell>
        </row>
        <row r="13">
          <cell r="D13">
            <v>0</v>
          </cell>
          <cell r="E13">
            <v>0</v>
          </cell>
        </row>
        <row r="14">
          <cell r="D14">
            <v>0</v>
          </cell>
          <cell r="E14">
            <v>0</v>
          </cell>
        </row>
        <row r="15">
          <cell r="D15">
            <v>2.279607208754721E-2</v>
          </cell>
          <cell r="E15">
            <v>2.279607208754721E-2</v>
          </cell>
        </row>
        <row r="16">
          <cell r="D16">
            <v>0</v>
          </cell>
          <cell r="E16">
            <v>0</v>
          </cell>
        </row>
        <row r="18">
          <cell r="D18">
            <v>0</v>
          </cell>
          <cell r="E18">
            <v>0</v>
          </cell>
        </row>
        <row r="19">
          <cell r="D19">
            <v>0</v>
          </cell>
          <cell r="E19">
            <v>0</v>
          </cell>
        </row>
        <row r="20">
          <cell r="D20">
            <v>0</v>
          </cell>
          <cell r="E20">
            <v>0</v>
          </cell>
        </row>
        <row r="21">
          <cell r="D21">
            <v>0</v>
          </cell>
          <cell r="E21">
            <v>0</v>
          </cell>
        </row>
        <row r="22">
          <cell r="D22">
            <v>1.0945836048995988E-3</v>
          </cell>
          <cell r="E22">
            <v>1.0945836048995988E-3</v>
          </cell>
        </row>
        <row r="23">
          <cell r="D23">
            <v>4.9999998343195358E-2</v>
          </cell>
          <cell r="E23">
            <v>4.9999998343195358E-2</v>
          </cell>
        </row>
        <row r="24">
          <cell r="D24">
            <v>0</v>
          </cell>
          <cell r="E24">
            <v>0</v>
          </cell>
        </row>
        <row r="25">
          <cell r="D25">
            <v>0</v>
          </cell>
          <cell r="E25">
            <v>0</v>
          </cell>
        </row>
        <row r="26">
          <cell r="D26">
            <v>1.2426879154171162E-2</v>
          </cell>
          <cell r="E26">
            <v>1.2426879154171162E-2</v>
          </cell>
        </row>
        <row r="27">
          <cell r="D27">
            <v>0</v>
          </cell>
          <cell r="E27">
            <v>0</v>
          </cell>
        </row>
        <row r="47">
          <cell r="C47">
            <v>0.55200000000000005</v>
          </cell>
        </row>
        <row r="51">
          <cell r="C51">
            <v>4.0633005829326954E-2</v>
          </cell>
          <cell r="D51">
            <v>5.571349522752414E-2</v>
          </cell>
          <cell r="E51">
            <v>5.571349522752414E-2</v>
          </cell>
        </row>
        <row r="52">
          <cell r="C52">
            <v>1.9105116539180608E-2</v>
          </cell>
          <cell r="D52">
            <v>0</v>
          </cell>
          <cell r="E52">
            <v>0</v>
          </cell>
        </row>
        <row r="53">
          <cell r="C53">
            <v>7.8395734639023578E-4</v>
          </cell>
          <cell r="D53">
            <v>0</v>
          </cell>
          <cell r="E53">
            <v>0</v>
          </cell>
        </row>
        <row r="87">
          <cell r="B87" t="str">
            <v>Vars</v>
          </cell>
          <cell r="C87" t="str">
            <v>Single Family</v>
          </cell>
          <cell r="D87" t="str">
            <v>Multifamily - Low Rise</v>
          </cell>
          <cell r="E87" t="str">
            <v>Multifamily - High Rise</v>
          </cell>
          <cell r="F87" t="str">
            <v>Manufactured</v>
          </cell>
        </row>
        <row r="88">
          <cell r="B88" t="str">
            <v>Electric FAF - HZ1CZ1</v>
          </cell>
          <cell r="C88">
            <v>1.8379055706406227E-2</v>
          </cell>
          <cell r="D88">
            <v>2.9671514740017984E-2</v>
          </cell>
          <cell r="E88">
            <v>2.9671514740017984E-2</v>
          </cell>
          <cell r="F88">
            <v>0.68310644913823848</v>
          </cell>
        </row>
        <row r="89">
          <cell r="B89" t="str">
            <v>Electric FAF - HZ1CZ23</v>
          </cell>
          <cell r="C89">
            <v>2.412923495568365E-2</v>
          </cell>
          <cell r="D89">
            <v>0</v>
          </cell>
          <cell r="E89">
            <v>0</v>
          </cell>
          <cell r="F89">
            <v>0.53068387215316171</v>
          </cell>
        </row>
        <row r="90">
          <cell r="B90" t="str">
            <v>Electric FAF - HZ23CZ1</v>
          </cell>
          <cell r="C90">
            <v>1.4117647058823532E-2</v>
          </cell>
          <cell r="D90">
            <v>0</v>
          </cell>
          <cell r="E90">
            <v>0</v>
          </cell>
          <cell r="F90">
            <v>0.29641575914254098</v>
          </cell>
        </row>
        <row r="91">
          <cell r="B91" t="str">
            <v>Electric FAF - HZ23CZ23</v>
          </cell>
          <cell r="C91">
            <v>0.14117647058823535</v>
          </cell>
          <cell r="D91">
            <v>0</v>
          </cell>
          <cell r="E91">
            <v>0</v>
          </cell>
          <cell r="F91">
            <v>0.49242118699820225</v>
          </cell>
        </row>
        <row r="92">
          <cell r="B92" t="str">
            <v>Electric FAF - HZ1</v>
          </cell>
          <cell r="C92">
            <v>2.0048426314096562E-2</v>
          </cell>
          <cell r="D92">
            <v>2.279607208754721E-2</v>
          </cell>
          <cell r="E92">
            <v>2.279607208754721E-2</v>
          </cell>
          <cell r="F92">
            <v>0.6103855317692306</v>
          </cell>
        </row>
        <row r="93">
          <cell r="B93" t="str">
            <v>Electric FAF - HZ23</v>
          </cell>
          <cell r="C93">
            <v>8.8458324594873558E-2</v>
          </cell>
          <cell r="D93">
            <v>0</v>
          </cell>
          <cell r="E93">
            <v>0</v>
          </cell>
          <cell r="F93">
            <v>0.42117367880782697</v>
          </cell>
        </row>
        <row r="94">
          <cell r="B94" t="str">
            <v>Electric FAF - Region</v>
          </cell>
          <cell r="C94">
            <v>2.1766292465668989E-2</v>
          </cell>
          <cell r="D94">
            <v>1.96145349060163E-2</v>
          </cell>
          <cell r="E94">
            <v>1.96145349060163E-2</v>
          </cell>
          <cell r="F94">
            <v>0.54052539788177201</v>
          </cell>
        </row>
        <row r="95">
          <cell r="B95" t="str">
            <v>Electric FAF w/ CAC - HZ1CZ1</v>
          </cell>
          <cell r="C95">
            <v>0.13310430527104683</v>
          </cell>
          <cell r="D95">
            <v>0</v>
          </cell>
          <cell r="E95">
            <v>0</v>
          </cell>
          <cell r="F95">
            <v>0.15868069027846163</v>
          </cell>
        </row>
        <row r="96">
          <cell r="B96" t="str">
            <v>Electric FAF w/ CAC - HZ1CZ23</v>
          </cell>
          <cell r="C96">
            <v>0.12117534162825606</v>
          </cell>
          <cell r="D96">
            <v>0</v>
          </cell>
          <cell r="E96">
            <v>0</v>
          </cell>
          <cell r="F96">
            <v>4.8523578535561704E-2</v>
          </cell>
        </row>
        <row r="97">
          <cell r="B97" t="str">
            <v>Electric FAF w/ CAC - HZ23CZ1</v>
          </cell>
          <cell r="C97">
            <v>1.9503476240466618E-2</v>
          </cell>
          <cell r="D97">
            <v>0</v>
          </cell>
          <cell r="E97">
            <v>0</v>
          </cell>
          <cell r="F97">
            <v>8.6847892074621388E-2</v>
          </cell>
        </row>
        <row r="98">
          <cell r="B98" t="str">
            <v>Electric FAF w/ CAC - HZ23CZ23</v>
          </cell>
          <cell r="C98">
            <v>3.0407952417464763E-2</v>
          </cell>
          <cell r="D98">
            <v>0</v>
          </cell>
          <cell r="E98">
            <v>0</v>
          </cell>
          <cell r="F98">
            <v>6.4577174474630405E-2</v>
          </cell>
        </row>
        <row r="99">
          <cell r="B99" t="str">
            <v>Heat Pump - HZ1CZ1</v>
          </cell>
          <cell r="C99">
            <v>7.4095770994953139E-2</v>
          </cell>
          <cell r="D99">
            <v>1.0945836048995988E-3</v>
          </cell>
          <cell r="E99">
            <v>1.0945836048995988E-3</v>
          </cell>
          <cell r="F99">
            <v>0.11042200533666623</v>
          </cell>
        </row>
        <row r="100">
          <cell r="B100" t="str">
            <v>Heat Pump - HZ1CZ23</v>
          </cell>
          <cell r="C100">
            <v>0.1235678638282882</v>
          </cell>
          <cell r="D100">
            <v>4.9999998343195358E-2</v>
          </cell>
          <cell r="E100">
            <v>4.9999998343195358E-2</v>
          </cell>
          <cell r="F100">
            <v>0.3014354043468136</v>
          </cell>
        </row>
        <row r="101">
          <cell r="B101" t="str">
            <v>Heat Pump - HZ23CZ1</v>
          </cell>
          <cell r="C101">
            <v>0.11294117647058827</v>
          </cell>
          <cell r="D101">
            <v>0</v>
          </cell>
          <cell r="E101">
            <v>0</v>
          </cell>
          <cell r="F101">
            <v>1.6598912836278519E-2</v>
          </cell>
        </row>
        <row r="102">
          <cell r="B102" t="str">
            <v>Heat Pump - HZ23CZ23</v>
          </cell>
          <cell r="C102">
            <v>0</v>
          </cell>
          <cell r="D102">
            <v>0</v>
          </cell>
          <cell r="E102">
            <v>0</v>
          </cell>
          <cell r="F102">
            <v>7.8940309013942875E-2</v>
          </cell>
        </row>
        <row r="103">
          <cell r="B103" t="str">
            <v>Heat Pump - HZ1</v>
          </cell>
          <cell r="C103">
            <v>8.8458324594873558E-2</v>
          </cell>
          <cell r="D103">
            <v>1.2426879154171162E-2</v>
          </cell>
          <cell r="E103">
            <v>1.2426879154171162E-2</v>
          </cell>
          <cell r="F103">
            <v>0.20155463070325005</v>
          </cell>
        </row>
        <row r="104">
          <cell r="B104" t="str">
            <v>Heat Pump - HZ23</v>
          </cell>
          <cell r="C104">
            <v>9.6333066453162572E-2</v>
          </cell>
          <cell r="D104">
            <v>0</v>
          </cell>
          <cell r="E104">
            <v>0</v>
          </cell>
          <cell r="F104">
            <v>5.6279359348618191E-2</v>
          </cell>
        </row>
        <row r="105">
          <cell r="B105" t="str">
            <v>Heat Pump - Region</v>
          </cell>
          <cell r="C105">
            <v>8.9373362312324317E-2</v>
          </cell>
          <cell r="D105">
            <v>1.0692519922126772E-2</v>
          </cell>
          <cell r="E105">
            <v>1.0692519922126772E-2</v>
          </cell>
          <cell r="F105">
            <v>0.14791660671834839</v>
          </cell>
        </row>
        <row r="106">
          <cell r="B106" t="str">
            <v>Electric Zonal - HZ1CZ1</v>
          </cell>
          <cell r="C106">
            <v>6.1965327738795109E-2</v>
          </cell>
          <cell r="D106">
            <v>0.85383980263040493</v>
          </cell>
          <cell r="E106">
            <v>0.85383980263040493</v>
          </cell>
          <cell r="F106">
            <v>3.0024948086295324E-2</v>
          </cell>
        </row>
        <row r="107">
          <cell r="B107" t="str">
            <v>Electric Zonal - HZ1CZ23</v>
          </cell>
          <cell r="C107">
            <v>6.7430556561826104E-3</v>
          </cell>
          <cell r="D107">
            <v>0.73333333554240632</v>
          </cell>
          <cell r="E107">
            <v>0.73333333554240632</v>
          </cell>
          <cell r="F107">
            <v>2.9788775817665265E-2</v>
          </cell>
        </row>
        <row r="108">
          <cell r="B108" t="str">
            <v>Electric Zonal - HZ23CZ1</v>
          </cell>
          <cell r="C108">
            <v>1.4117647058823532E-2</v>
          </cell>
          <cell r="D108">
            <v>0.59999998409467525</v>
          </cell>
          <cell r="E108">
            <v>0.59999998409467525</v>
          </cell>
          <cell r="F108">
            <v>3.3197825672557038E-2</v>
          </cell>
        </row>
        <row r="109">
          <cell r="B109" t="str">
            <v>Electric Zonal - HZ23CZ23</v>
          </cell>
          <cell r="C109">
            <v>0</v>
          </cell>
          <cell r="D109">
            <v>0.77777778759587934</v>
          </cell>
          <cell r="E109">
            <v>0.77777778759587934</v>
          </cell>
          <cell r="F109">
            <v>3.9084849826646118E-2</v>
          </cell>
        </row>
        <row r="110">
          <cell r="B110" t="str">
            <v>Electric Zonal - HZ1</v>
          </cell>
          <cell r="C110">
            <v>2.0048426314096562E-2</v>
          </cell>
          <cell r="D110">
            <v>0.82591620954879041</v>
          </cell>
          <cell r="E110">
            <v>0.82591620954879041</v>
          </cell>
          <cell r="F110">
            <v>2.9912270132860779E-2</v>
          </cell>
        </row>
        <row r="111">
          <cell r="B111" t="str">
            <v>Electric Zonal - HZ23</v>
          </cell>
          <cell r="C111">
            <v>1.204163330664532E-2</v>
          </cell>
          <cell r="D111">
            <v>0.71428571563820797</v>
          </cell>
          <cell r="E111">
            <v>0.71428571563820797</v>
          </cell>
          <cell r="F111">
            <v>3.6944930507961368E-2</v>
          </cell>
        </row>
        <row r="112">
          <cell r="B112" t="str">
            <v>Electric Zonal - Region</v>
          </cell>
          <cell r="C112">
            <v>4.1178226016708668E-2</v>
          </cell>
          <cell r="D112">
            <v>0.81033648311148054</v>
          </cell>
          <cell r="E112">
            <v>0.81033648311148054</v>
          </cell>
          <cell r="F112">
            <v>3.2508844225339915E-2</v>
          </cell>
        </row>
        <row r="113">
          <cell r="B113" t="str">
            <v>DHP - HZ1CZ1</v>
          </cell>
          <cell r="C113">
            <v>0</v>
          </cell>
          <cell r="D113">
            <v>2.3692380398754449E-2</v>
          </cell>
          <cell r="E113">
            <v>2.3692380398754449E-2</v>
          </cell>
          <cell r="F113">
            <v>1.2931050080460879E-2</v>
          </cell>
        </row>
        <row r="114">
          <cell r="B114" t="str">
            <v>DHP - HZ1CZ23</v>
          </cell>
          <cell r="C114">
            <v>0</v>
          </cell>
          <cell r="D114">
            <v>0</v>
          </cell>
          <cell r="E114">
            <v>0</v>
          </cell>
          <cell r="F114">
            <v>0</v>
          </cell>
        </row>
        <row r="115">
          <cell r="B115" t="str">
            <v>DHP - HZ23CZ1</v>
          </cell>
          <cell r="C115">
            <v>0</v>
          </cell>
          <cell r="D115">
            <v>0</v>
          </cell>
          <cell r="E115">
            <v>0</v>
          </cell>
          <cell r="F115">
            <v>2.3801185576297144E-2</v>
          </cell>
        </row>
        <row r="116">
          <cell r="B116" t="str">
            <v>DHP - HZ23CZ23</v>
          </cell>
          <cell r="C116">
            <v>0</v>
          </cell>
          <cell r="D116">
            <v>0</v>
          </cell>
          <cell r="E116">
            <v>0</v>
          </cell>
          <cell r="F116">
            <v>9.4794076514498494E-3</v>
          </cell>
        </row>
        <row r="117">
          <cell r="B117" t="str">
            <v>DHP - HZ1</v>
          </cell>
          <cell r="C117">
            <v>0</v>
          </cell>
          <cell r="D117">
            <v>1.8202414545664333E-2</v>
          </cell>
          <cell r="E117">
            <v>1.8202414545664333E-2</v>
          </cell>
          <cell r="F117">
            <v>6.761637103748332E-3</v>
          </cell>
        </row>
        <row r="118">
          <cell r="B118" t="str">
            <v>DHP - HZ23</v>
          </cell>
          <cell r="C118">
            <v>0</v>
          </cell>
          <cell r="D118">
            <v>0</v>
          </cell>
          <cell r="E118">
            <v>0</v>
          </cell>
          <cell r="F118">
            <v>1.4685339962430082E-2</v>
          </cell>
        </row>
        <row r="119">
          <cell r="B119" t="str">
            <v>DHP - Region</v>
          </cell>
          <cell r="C119">
            <v>0</v>
          </cell>
          <cell r="D119">
            <v>1.5661991860200661E-2</v>
          </cell>
          <cell r="E119">
            <v>1.5661991860200661E-2</v>
          </cell>
          <cell r="F119">
            <v>9.6871987634867523E-3</v>
          </cell>
        </row>
        <row r="120">
          <cell r="B120" t="str">
            <v>Central AC - CZ1</v>
          </cell>
          <cell r="C120">
            <v>0.99177648564154341</v>
          </cell>
          <cell r="D120">
            <v>1.2325175673207357E-2</v>
          </cell>
          <cell r="E120">
            <v>1.2325175673207357E-2</v>
          </cell>
          <cell r="F120">
            <v>0.14076353391268348</v>
          </cell>
        </row>
        <row r="121">
          <cell r="B121" t="str">
            <v>Central AC - CZ23</v>
          </cell>
          <cell r="C121">
            <v>0.97720135258324703</v>
          </cell>
          <cell r="D121">
            <v>6.8965519290222155E-2</v>
          </cell>
          <cell r="E121">
            <v>6.8965519290222155E-2</v>
          </cell>
          <cell r="F121">
            <v>0.17641272113455647</v>
          </cell>
        </row>
        <row r="122">
          <cell r="B122" t="str">
            <v>Room A/C - CZ1</v>
          </cell>
          <cell r="C122">
            <v>8.2235143584565747E-3</v>
          </cell>
          <cell r="D122">
            <v>5.3226756579866766E-2</v>
          </cell>
          <cell r="E122">
            <v>5.3226756579866766E-2</v>
          </cell>
          <cell r="F122">
            <v>0.21069287259219041</v>
          </cell>
        </row>
        <row r="123">
          <cell r="B123" t="str">
            <v>Room A/C - CZ23</v>
          </cell>
          <cell r="C123">
            <v>2.2798647416753057E-2</v>
          </cell>
          <cell r="D123">
            <v>0.10344827665008544</v>
          </cell>
          <cell r="E123">
            <v>0.10344827665008544</v>
          </cell>
          <cell r="F123">
            <v>0.16156829862253547</v>
          </cell>
        </row>
        <row r="124">
          <cell r="B124" t="str">
            <v>Electric WH</v>
          </cell>
          <cell r="C124">
            <v>0.55200000000000005</v>
          </cell>
          <cell r="D124">
            <v>0.94699999999999995</v>
          </cell>
          <cell r="E124">
            <v>0.94699999999999995</v>
          </cell>
          <cell r="F124">
            <v>0.88900000000000001</v>
          </cell>
        </row>
        <row r="125">
          <cell r="B125" t="str">
            <v xml:space="preserve">DHW &lt;55 </v>
          </cell>
          <cell r="C125">
            <v>0.58017916240221834</v>
          </cell>
          <cell r="D125"/>
          <cell r="E125"/>
          <cell r="F125"/>
        </row>
        <row r="126">
          <cell r="B126" t="str">
            <v>DHW &gt;55</v>
          </cell>
          <cell r="C126">
            <v>0.4198208375977816</v>
          </cell>
          <cell r="D126"/>
          <cell r="E126"/>
          <cell r="F126"/>
        </row>
        <row r="127">
          <cell r="B127" t="str">
            <v>Refrigerator</v>
          </cell>
          <cell r="C127">
            <v>1.2831400506742725</v>
          </cell>
          <cell r="D127">
            <v>1.0236201688615751</v>
          </cell>
          <cell r="E127">
            <v>1.0236201688615751</v>
          </cell>
          <cell r="F127">
            <v>1.1963734390534748</v>
          </cell>
        </row>
        <row r="128">
          <cell r="B128" t="str">
            <v>Freezer</v>
          </cell>
          <cell r="C128">
            <v>0.52766223341265472</v>
          </cell>
          <cell r="D128">
            <v>4.7085148422193572E-2</v>
          </cell>
          <cell r="E128">
            <v>4.7085148422193572E-2</v>
          </cell>
          <cell r="F128">
            <v>0.44147575101117187</v>
          </cell>
        </row>
        <row r="129">
          <cell r="B129" t="str">
            <v>Clothes Washer</v>
          </cell>
          <cell r="C129">
            <v>0.98546930096285335</v>
          </cell>
          <cell r="D129">
            <v>0.46477658924872384</v>
          </cell>
          <cell r="E129">
            <v>0.46477658924872384</v>
          </cell>
          <cell r="F129">
            <v>0.95368270905809616</v>
          </cell>
        </row>
        <row r="130">
          <cell r="B130" t="str">
            <v>Clothes Dryer</v>
          </cell>
          <cell r="C130">
            <v>0.93640551858187504</v>
          </cell>
          <cell r="D130">
            <v>0.46266057162974022</v>
          </cell>
          <cell r="E130">
            <v>0.46266057162974022</v>
          </cell>
          <cell r="F130">
            <v>0.88480083438048951</v>
          </cell>
        </row>
        <row r="131">
          <cell r="B131" t="str">
            <v>Dishwasher</v>
          </cell>
          <cell r="C131">
            <v>0.87764489634961651</v>
          </cell>
          <cell r="D131">
            <v>0.78113749066870952</v>
          </cell>
          <cell r="E131">
            <v>0.78113749066870952</v>
          </cell>
          <cell r="F131">
            <v>0.76196535734220561</v>
          </cell>
        </row>
        <row r="132">
          <cell r="B132" t="str">
            <v>Microwave</v>
          </cell>
          <cell r="C132">
            <v>0.95</v>
          </cell>
          <cell r="D132">
            <v>0.95</v>
          </cell>
          <cell r="E132">
            <v>0.95</v>
          </cell>
          <cell r="F132">
            <v>0.95</v>
          </cell>
        </row>
        <row r="133">
          <cell r="B133" t="str">
            <v>Electric Oven</v>
          </cell>
          <cell r="C133">
            <v>0.86895503473004965</v>
          </cell>
          <cell r="D133">
            <v>0.96585088459989477</v>
          </cell>
          <cell r="E133">
            <v>0.96585088459989477</v>
          </cell>
          <cell r="F133">
            <v>0.89920410170315002</v>
          </cell>
        </row>
        <row r="134">
          <cell r="B134" t="str">
            <v>TV</v>
          </cell>
          <cell r="C134">
            <v>2.6054137843968896</v>
          </cell>
          <cell r="D134">
            <v>1.5145007606068333</v>
          </cell>
          <cell r="E134">
            <v>1.5145007606068333</v>
          </cell>
          <cell r="F134">
            <v>2.0454162110233622</v>
          </cell>
        </row>
        <row r="135">
          <cell r="B135" t="str">
            <v>Set top box</v>
          </cell>
          <cell r="C135">
            <v>1.0654190989347723</v>
          </cell>
          <cell r="D135">
            <v>1.038434724492763</v>
          </cell>
          <cell r="E135">
            <v>1.038434724492763</v>
          </cell>
          <cell r="F135">
            <v>1.3170555258448295</v>
          </cell>
        </row>
        <row r="136">
          <cell r="B136" t="str">
            <v>Computer</v>
          </cell>
          <cell r="C136">
            <v>1.6074234662188889</v>
          </cell>
          <cell r="D136">
            <v>0.71239882016544165</v>
          </cell>
          <cell r="E136">
            <v>0.71239882016544165</v>
          </cell>
          <cell r="F136">
            <v>1.1331497454290105</v>
          </cell>
        </row>
        <row r="137">
          <cell r="B137" t="str">
            <v>Monitor</v>
          </cell>
          <cell r="C137">
            <v>1.0109839382712824</v>
          </cell>
          <cell r="D137">
            <v>0.45062457275939666</v>
          </cell>
          <cell r="E137">
            <v>0.45062457275939666</v>
          </cell>
          <cell r="F137">
            <v>0.72198913200149617</v>
          </cell>
        </row>
        <row r="138">
          <cell r="B138" t="str">
            <v>EISA nx</v>
          </cell>
          <cell r="C138">
            <v>0.73183262488926393</v>
          </cell>
          <cell r="D138">
            <v>0.41826483853544827</v>
          </cell>
          <cell r="E138">
            <v>0.41826483853544827</v>
          </cell>
          <cell r="F138">
            <v>0.81140182193357802</v>
          </cell>
        </row>
        <row r="139">
          <cell r="B139" t="str">
            <v>EISA x</v>
          </cell>
          <cell r="C139">
            <v>0.26816737511073607</v>
          </cell>
          <cell r="D139">
            <v>0.58148897029728519</v>
          </cell>
          <cell r="E139">
            <v>0.58148897029728519</v>
          </cell>
          <cell r="F139">
            <v>0.18859817806642193</v>
          </cell>
        </row>
        <row r="140">
          <cell r="B140" t="str">
            <v>WallSqft</v>
          </cell>
          <cell r="C140">
            <v>583.40896061568401</v>
          </cell>
          <cell r="D140"/>
          <cell r="E140"/>
          <cell r="F140"/>
        </row>
        <row r="141">
          <cell r="B141" t="str">
            <v>AtticSqft</v>
          </cell>
          <cell r="C141">
            <v>1177.7370772549227</v>
          </cell>
          <cell r="D141"/>
          <cell r="E141"/>
          <cell r="F141"/>
        </row>
        <row r="142">
          <cell r="B142" t="str">
            <v>FloorSqft</v>
          </cell>
          <cell r="C142">
            <v>1177.7370772549227</v>
          </cell>
          <cell r="D142"/>
          <cell r="E142"/>
          <cell r="F142"/>
        </row>
        <row r="143">
          <cell r="B143" t="str">
            <v>WindowSqft</v>
          </cell>
          <cell r="C143">
            <v>147.21713465686534</v>
          </cell>
          <cell r="D143"/>
          <cell r="E143"/>
          <cell r="F143"/>
        </row>
        <row r="144">
          <cell r="B144" t="str">
            <v>HomeSqft</v>
          </cell>
          <cell r="C144">
            <v>2355.4741545098454</v>
          </cell>
          <cell r="D144"/>
          <cell r="E144"/>
          <cell r="F144"/>
        </row>
        <row r="145">
          <cell r="B145" t="str">
            <v>Lighting</v>
          </cell>
          <cell r="C145">
            <v>77</v>
          </cell>
          <cell r="D145">
            <v>23</v>
          </cell>
          <cell r="E145">
            <v>23</v>
          </cell>
          <cell r="F145">
            <v>34.5</v>
          </cell>
        </row>
        <row r="146">
          <cell r="B146"/>
          <cell r="C146"/>
          <cell r="D146"/>
          <cell r="E146"/>
          <cell r="F146"/>
        </row>
        <row r="147">
          <cell r="B147"/>
          <cell r="C147"/>
          <cell r="D147"/>
          <cell r="E147"/>
          <cell r="F147"/>
        </row>
        <row r="148">
          <cell r="B148"/>
          <cell r="C148"/>
          <cell r="D148"/>
          <cell r="E148"/>
          <cell r="F148"/>
        </row>
        <row r="149">
          <cell r="B149"/>
          <cell r="C149"/>
          <cell r="D149"/>
          <cell r="E149"/>
          <cell r="F149"/>
        </row>
        <row r="150">
          <cell r="B150"/>
          <cell r="C150"/>
          <cell r="D150"/>
          <cell r="E150"/>
          <cell r="F150"/>
        </row>
      </sheetData>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sheetPr codeName="Sheet6"/>
  <dimension ref="C1:F27"/>
  <sheetViews>
    <sheetView topLeftCell="C1" workbookViewId="0">
      <selection activeCell="D30" sqref="D30"/>
    </sheetView>
  </sheetViews>
  <sheetFormatPr defaultRowHeight="15"/>
  <cols>
    <col min="1" max="1" width="4" style="176" customWidth="1"/>
    <col min="2" max="2" width="4.28515625" style="176" customWidth="1"/>
    <col min="3" max="3" width="28.140625" style="176" customWidth="1"/>
    <col min="4" max="4" width="69.85546875" style="176" customWidth="1"/>
    <col min="5" max="5" width="55.140625" style="176" customWidth="1"/>
    <col min="6" max="6" width="61.42578125" style="176" customWidth="1"/>
    <col min="7" max="16384" width="9.140625" style="176"/>
  </cols>
  <sheetData>
    <row r="1" spans="3:6" ht="15.75" thickBot="1"/>
    <row r="2" spans="3:6" ht="19.5" thickBot="1">
      <c r="C2" s="177" t="s">
        <v>596</v>
      </c>
      <c r="D2" s="178" t="s">
        <v>611</v>
      </c>
      <c r="E2" s="178"/>
      <c r="F2" s="179"/>
    </row>
    <row r="3" spans="3:6">
      <c r="C3" s="180" t="s">
        <v>1</v>
      </c>
      <c r="D3" s="180" t="s">
        <v>597</v>
      </c>
      <c r="E3" s="180" t="s">
        <v>598</v>
      </c>
      <c r="F3" s="180" t="s">
        <v>599</v>
      </c>
    </row>
    <row r="4" spans="3:6" ht="30">
      <c r="C4" s="181" t="s">
        <v>600</v>
      </c>
      <c r="D4" s="182" t="s">
        <v>612</v>
      </c>
      <c r="E4" s="183"/>
      <c r="F4" s="184" t="s">
        <v>613</v>
      </c>
    </row>
    <row r="5" spans="3:6" ht="30">
      <c r="C5" s="181" t="s">
        <v>602</v>
      </c>
      <c r="D5" s="185" t="s">
        <v>614</v>
      </c>
      <c r="E5" s="183"/>
      <c r="F5" s="184" t="s">
        <v>851</v>
      </c>
    </row>
    <row r="6" spans="3:6" ht="30">
      <c r="C6" s="181" t="s">
        <v>603</v>
      </c>
      <c r="D6" s="185" t="s">
        <v>812</v>
      </c>
      <c r="E6" s="185" t="s">
        <v>810</v>
      </c>
      <c r="F6" s="184"/>
    </row>
    <row r="7" spans="3:6" ht="30">
      <c r="C7" s="181" t="s">
        <v>604</v>
      </c>
      <c r="D7" s="185" t="s">
        <v>615</v>
      </c>
      <c r="E7" s="185" t="s">
        <v>616</v>
      </c>
      <c r="F7" s="184" t="s">
        <v>601</v>
      </c>
    </row>
    <row r="8" spans="3:6">
      <c r="C8" s="181" t="s">
        <v>605</v>
      </c>
      <c r="D8" s="185" t="s">
        <v>64</v>
      </c>
      <c r="E8" s="186"/>
      <c r="F8" s="184"/>
    </row>
    <row r="9" spans="3:6">
      <c r="C9" s="181" t="s">
        <v>606</v>
      </c>
      <c r="D9" s="185" t="s">
        <v>621</v>
      </c>
      <c r="E9" s="186"/>
      <c r="F9" s="184" t="s">
        <v>601</v>
      </c>
    </row>
    <row r="10" spans="3:6">
      <c r="C10" s="181" t="s">
        <v>607</v>
      </c>
      <c r="D10" s="185" t="s">
        <v>617</v>
      </c>
      <c r="E10" s="185" t="s">
        <v>622</v>
      </c>
      <c r="F10" s="184" t="s">
        <v>623</v>
      </c>
    </row>
    <row r="11" spans="3:6">
      <c r="C11" s="181" t="s">
        <v>608</v>
      </c>
      <c r="D11" s="187" t="s">
        <v>618</v>
      </c>
      <c r="E11" s="186" t="s">
        <v>852</v>
      </c>
      <c r="F11" s="184" t="s">
        <v>601</v>
      </c>
    </row>
    <row r="12" spans="3:6">
      <c r="C12" s="181" t="s">
        <v>609</v>
      </c>
      <c r="D12" s="187" t="s">
        <v>619</v>
      </c>
      <c r="E12" s="188"/>
      <c r="F12" s="184" t="s">
        <v>811</v>
      </c>
    </row>
    <row r="13" spans="3:6">
      <c r="C13" s="181" t="s">
        <v>610</v>
      </c>
      <c r="D13" s="187" t="s">
        <v>853</v>
      </c>
      <c r="E13" s="186" t="s">
        <v>620</v>
      </c>
      <c r="F13" s="184"/>
    </row>
    <row r="21" spans="3:3">
      <c r="C21" s="189"/>
    </row>
    <row r="22" spans="3:3">
      <c r="C22" s="189"/>
    </row>
    <row r="23" spans="3:3">
      <c r="C23" s="189"/>
    </row>
    <row r="24" spans="3:3">
      <c r="C24" s="189"/>
    </row>
    <row r="25" spans="3:3">
      <c r="C25" s="189"/>
    </row>
    <row r="26" spans="3:3">
      <c r="C26" s="189"/>
    </row>
    <row r="27" spans="3:3">
      <c r="C27" s="18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0"/>
  <dimension ref="A1:R228"/>
  <sheetViews>
    <sheetView workbookViewId="0">
      <selection activeCell="J1" sqref="J1"/>
    </sheetView>
  </sheetViews>
  <sheetFormatPr defaultRowHeight="12.75"/>
  <cols>
    <col min="2" max="2" width="15.140625" customWidth="1"/>
  </cols>
  <sheetData>
    <row r="1" spans="1:18">
      <c r="A1" t="s">
        <v>154</v>
      </c>
      <c r="B1" t="s">
        <v>345</v>
      </c>
      <c r="C1" s="174" t="s">
        <v>346</v>
      </c>
      <c r="D1" t="s">
        <v>347</v>
      </c>
      <c r="E1" t="s">
        <v>348</v>
      </c>
      <c r="F1" t="s">
        <v>349</v>
      </c>
      <c r="G1" t="s">
        <v>350</v>
      </c>
      <c r="H1" t="s">
        <v>351</v>
      </c>
      <c r="I1" t="s">
        <v>352</v>
      </c>
      <c r="J1" t="s">
        <v>353</v>
      </c>
      <c r="K1" t="s">
        <v>354</v>
      </c>
      <c r="L1" t="s">
        <v>355</v>
      </c>
      <c r="M1" t="s">
        <v>356</v>
      </c>
      <c r="N1" t="s">
        <v>357</v>
      </c>
      <c r="O1" t="s">
        <v>358</v>
      </c>
      <c r="P1" t="s">
        <v>359</v>
      </c>
      <c r="R1" t="s">
        <v>592</v>
      </c>
    </row>
    <row r="2" spans="1:18">
      <c r="A2" t="s">
        <v>360</v>
      </c>
      <c r="B2" t="s">
        <v>361</v>
      </c>
      <c r="C2">
        <v>30.4</v>
      </c>
      <c r="D2">
        <v>1105</v>
      </c>
      <c r="E2" t="s">
        <v>362</v>
      </c>
      <c r="F2">
        <v>102</v>
      </c>
      <c r="G2">
        <v>4</v>
      </c>
      <c r="H2">
        <v>1065</v>
      </c>
      <c r="I2">
        <v>42</v>
      </c>
      <c r="J2">
        <v>5.63</v>
      </c>
      <c r="K2">
        <v>19239.5</v>
      </c>
      <c r="L2">
        <v>3.6</v>
      </c>
      <c r="M2">
        <v>0.5</v>
      </c>
      <c r="N2">
        <v>13.01</v>
      </c>
      <c r="O2">
        <v>28.67</v>
      </c>
      <c r="R2" t="s">
        <v>593</v>
      </c>
    </row>
    <row r="3" spans="1:18">
      <c r="A3" t="s">
        <v>363</v>
      </c>
      <c r="B3" t="s">
        <v>361</v>
      </c>
      <c r="C3">
        <v>30.7</v>
      </c>
      <c r="D3">
        <v>1116</v>
      </c>
      <c r="E3" t="s">
        <v>362</v>
      </c>
      <c r="F3">
        <v>76</v>
      </c>
      <c r="G3">
        <v>3</v>
      </c>
      <c r="H3">
        <v>710</v>
      </c>
      <c r="I3">
        <v>28</v>
      </c>
      <c r="J3">
        <v>5.69</v>
      </c>
      <c r="K3">
        <v>19429.400000000001</v>
      </c>
      <c r="L3">
        <v>7.7</v>
      </c>
      <c r="M3">
        <v>1.1000000000000001</v>
      </c>
      <c r="N3">
        <v>6.14</v>
      </c>
      <c r="O3">
        <v>13.54</v>
      </c>
    </row>
    <row r="4" spans="1:18">
      <c r="A4" t="s">
        <v>364</v>
      </c>
      <c r="B4" t="s">
        <v>361</v>
      </c>
      <c r="C4">
        <v>30.9</v>
      </c>
      <c r="D4">
        <v>1124</v>
      </c>
      <c r="E4" t="s">
        <v>362</v>
      </c>
      <c r="F4">
        <v>102</v>
      </c>
      <c r="G4">
        <v>4</v>
      </c>
      <c r="H4">
        <v>610</v>
      </c>
      <c r="I4">
        <v>24</v>
      </c>
      <c r="J4">
        <v>5.73</v>
      </c>
      <c r="K4">
        <v>19555.900000000001</v>
      </c>
      <c r="L4">
        <v>5.2</v>
      </c>
      <c r="M4">
        <v>0.7</v>
      </c>
      <c r="N4">
        <v>7.32</v>
      </c>
      <c r="O4">
        <v>16.13</v>
      </c>
    </row>
    <row r="5" spans="1:18">
      <c r="A5" t="s">
        <v>365</v>
      </c>
      <c r="B5" t="s">
        <v>361</v>
      </c>
      <c r="C5">
        <v>31</v>
      </c>
      <c r="D5">
        <v>1127</v>
      </c>
      <c r="E5" t="s">
        <v>362</v>
      </c>
      <c r="F5">
        <v>76</v>
      </c>
      <c r="G5">
        <v>3</v>
      </c>
      <c r="H5">
        <v>990</v>
      </c>
      <c r="I5">
        <v>39</v>
      </c>
      <c r="J5">
        <v>5.74</v>
      </c>
      <c r="K5">
        <v>19619.2</v>
      </c>
      <c r="L5">
        <v>3.2</v>
      </c>
      <c r="M5">
        <v>0.5</v>
      </c>
      <c r="N5">
        <v>8.51</v>
      </c>
      <c r="O5">
        <v>18.760000000000002</v>
      </c>
    </row>
    <row r="6" spans="1:18">
      <c r="A6" t="s">
        <v>366</v>
      </c>
      <c r="B6" t="s">
        <v>361</v>
      </c>
      <c r="C6">
        <v>31.3</v>
      </c>
      <c r="D6">
        <v>1138</v>
      </c>
      <c r="E6" t="s">
        <v>362</v>
      </c>
      <c r="F6">
        <v>51</v>
      </c>
      <c r="G6">
        <v>2</v>
      </c>
      <c r="H6">
        <v>915</v>
      </c>
      <c r="I6">
        <v>36</v>
      </c>
      <c r="J6">
        <v>5.8</v>
      </c>
      <c r="K6">
        <v>19809.099999999999</v>
      </c>
      <c r="L6">
        <v>5.7</v>
      </c>
      <c r="M6">
        <v>0.8</v>
      </c>
      <c r="N6">
        <v>6.79</v>
      </c>
      <c r="O6">
        <v>14.96</v>
      </c>
    </row>
    <row r="7" spans="1:18">
      <c r="A7" t="s">
        <v>367</v>
      </c>
      <c r="B7" t="s">
        <v>361</v>
      </c>
      <c r="C7">
        <v>32.5</v>
      </c>
      <c r="D7">
        <v>1182</v>
      </c>
      <c r="E7" t="s">
        <v>362</v>
      </c>
      <c r="F7">
        <v>102</v>
      </c>
      <c r="G7">
        <v>4</v>
      </c>
      <c r="H7">
        <v>660</v>
      </c>
      <c r="I7">
        <v>26</v>
      </c>
      <c r="J7">
        <v>6.02</v>
      </c>
      <c r="K7">
        <v>20568.5</v>
      </c>
      <c r="L7">
        <v>5.6</v>
      </c>
      <c r="M7">
        <v>0.8</v>
      </c>
      <c r="N7">
        <v>7.91</v>
      </c>
      <c r="O7">
        <v>17.43</v>
      </c>
    </row>
    <row r="8" spans="1:18">
      <c r="A8" t="s">
        <v>368</v>
      </c>
      <c r="B8" t="s">
        <v>361</v>
      </c>
      <c r="C8">
        <v>32.799999999999997</v>
      </c>
      <c r="D8">
        <v>1193</v>
      </c>
      <c r="E8" t="s">
        <v>362</v>
      </c>
      <c r="F8">
        <v>102</v>
      </c>
      <c r="G8">
        <v>4</v>
      </c>
      <c r="H8">
        <v>1145</v>
      </c>
      <c r="I8">
        <v>45</v>
      </c>
      <c r="J8">
        <v>6.08</v>
      </c>
      <c r="K8">
        <v>20758.400000000001</v>
      </c>
      <c r="L8">
        <v>3.9</v>
      </c>
      <c r="M8">
        <v>0.6</v>
      </c>
      <c r="N8">
        <v>13.92</v>
      </c>
      <c r="O8">
        <v>30.69</v>
      </c>
    </row>
    <row r="9" spans="1:18">
      <c r="A9" t="s">
        <v>369</v>
      </c>
      <c r="B9" t="s">
        <v>361</v>
      </c>
      <c r="C9">
        <v>32.9</v>
      </c>
      <c r="D9">
        <v>1196</v>
      </c>
      <c r="E9" t="s">
        <v>362</v>
      </c>
      <c r="F9">
        <v>51</v>
      </c>
      <c r="G9">
        <v>2</v>
      </c>
      <c r="H9">
        <v>965</v>
      </c>
      <c r="I9">
        <v>38</v>
      </c>
      <c r="J9">
        <v>6.1</v>
      </c>
      <c r="K9">
        <v>20821.7</v>
      </c>
      <c r="L9">
        <v>6</v>
      </c>
      <c r="M9">
        <v>0.9</v>
      </c>
      <c r="N9">
        <v>7.17</v>
      </c>
      <c r="O9">
        <v>15.81</v>
      </c>
    </row>
    <row r="10" spans="1:18">
      <c r="A10" t="s">
        <v>370</v>
      </c>
      <c r="B10" t="s">
        <v>361</v>
      </c>
      <c r="C10">
        <v>33.299999999999997</v>
      </c>
      <c r="D10">
        <v>1211</v>
      </c>
      <c r="E10" t="s">
        <v>362</v>
      </c>
      <c r="F10">
        <v>76</v>
      </c>
      <c r="G10">
        <v>3</v>
      </c>
      <c r="H10">
        <v>1065</v>
      </c>
      <c r="I10">
        <v>42</v>
      </c>
      <c r="J10">
        <v>6.17</v>
      </c>
      <c r="K10">
        <v>21074.799999999999</v>
      </c>
      <c r="L10">
        <v>3.4</v>
      </c>
      <c r="M10">
        <v>0.5</v>
      </c>
      <c r="N10">
        <v>9.09</v>
      </c>
      <c r="O10">
        <v>20.04</v>
      </c>
    </row>
    <row r="11" spans="1:18">
      <c r="A11" t="s">
        <v>371</v>
      </c>
      <c r="B11" t="s">
        <v>361</v>
      </c>
      <c r="C11">
        <v>34</v>
      </c>
      <c r="D11">
        <v>1236</v>
      </c>
      <c r="E11" t="s">
        <v>362</v>
      </c>
      <c r="F11">
        <v>102</v>
      </c>
      <c r="G11">
        <v>4</v>
      </c>
      <c r="H11">
        <v>710</v>
      </c>
      <c r="I11">
        <v>28</v>
      </c>
      <c r="J11">
        <v>6.3</v>
      </c>
      <c r="K11">
        <v>21517.9</v>
      </c>
      <c r="L11">
        <v>6</v>
      </c>
      <c r="M11">
        <v>0.9</v>
      </c>
      <c r="N11">
        <v>8.5</v>
      </c>
      <c r="O11">
        <v>18.73</v>
      </c>
    </row>
    <row r="12" spans="1:18">
      <c r="A12" t="s">
        <v>372</v>
      </c>
      <c r="B12" t="s">
        <v>361</v>
      </c>
      <c r="C12">
        <v>34.4</v>
      </c>
      <c r="D12">
        <v>1251</v>
      </c>
      <c r="E12" t="s">
        <v>362</v>
      </c>
      <c r="F12">
        <v>51</v>
      </c>
      <c r="G12">
        <v>2</v>
      </c>
      <c r="H12">
        <v>1015</v>
      </c>
      <c r="I12">
        <v>40</v>
      </c>
      <c r="J12">
        <v>6.37</v>
      </c>
      <c r="K12">
        <v>21771</v>
      </c>
      <c r="L12">
        <v>6.3</v>
      </c>
      <c r="M12">
        <v>0.9</v>
      </c>
      <c r="N12">
        <v>7.55</v>
      </c>
      <c r="O12">
        <v>16.649999999999999</v>
      </c>
    </row>
    <row r="13" spans="1:18">
      <c r="A13" t="s">
        <v>373</v>
      </c>
      <c r="B13" t="s">
        <v>361</v>
      </c>
      <c r="C13">
        <v>34.799999999999997</v>
      </c>
      <c r="D13">
        <v>1265</v>
      </c>
      <c r="E13" t="s">
        <v>362</v>
      </c>
      <c r="F13">
        <v>76</v>
      </c>
      <c r="G13">
        <v>3</v>
      </c>
      <c r="H13">
        <v>760</v>
      </c>
      <c r="I13">
        <v>30</v>
      </c>
      <c r="J13">
        <v>6.45</v>
      </c>
      <c r="K13">
        <v>22024.2</v>
      </c>
      <c r="L13">
        <v>8.1999999999999993</v>
      </c>
      <c r="M13">
        <v>1.2</v>
      </c>
      <c r="N13">
        <v>6.54</v>
      </c>
      <c r="O13">
        <v>14.41</v>
      </c>
    </row>
    <row r="14" spans="1:18">
      <c r="A14" t="s">
        <v>374</v>
      </c>
      <c r="B14" t="s">
        <v>361</v>
      </c>
      <c r="C14">
        <v>35.1</v>
      </c>
      <c r="D14">
        <v>1276</v>
      </c>
      <c r="E14" t="s">
        <v>362</v>
      </c>
      <c r="F14">
        <v>102</v>
      </c>
      <c r="G14">
        <v>4</v>
      </c>
      <c r="H14">
        <v>1220</v>
      </c>
      <c r="I14">
        <v>48</v>
      </c>
      <c r="J14">
        <v>6.5</v>
      </c>
      <c r="K14">
        <v>22214</v>
      </c>
      <c r="L14">
        <v>4.0999999999999996</v>
      </c>
      <c r="M14">
        <v>0.6</v>
      </c>
      <c r="N14">
        <v>14.83</v>
      </c>
      <c r="O14">
        <v>32.700000000000003</v>
      </c>
    </row>
    <row r="15" spans="1:18">
      <c r="A15" t="s">
        <v>375</v>
      </c>
      <c r="B15" t="s">
        <v>361</v>
      </c>
      <c r="C15">
        <v>35.4</v>
      </c>
      <c r="D15">
        <v>1287</v>
      </c>
      <c r="E15" t="s">
        <v>362</v>
      </c>
      <c r="F15">
        <v>76</v>
      </c>
      <c r="G15">
        <v>3</v>
      </c>
      <c r="H15">
        <v>1145</v>
      </c>
      <c r="I15">
        <v>45</v>
      </c>
      <c r="J15">
        <v>6.56</v>
      </c>
      <c r="K15">
        <v>22403.9</v>
      </c>
      <c r="L15">
        <v>3.7</v>
      </c>
      <c r="M15">
        <v>0.5</v>
      </c>
      <c r="N15">
        <v>9.68</v>
      </c>
      <c r="O15">
        <v>21.33</v>
      </c>
    </row>
    <row r="16" spans="1:18">
      <c r="A16" t="s">
        <v>376</v>
      </c>
      <c r="B16" t="s">
        <v>361</v>
      </c>
      <c r="C16">
        <v>35.5</v>
      </c>
      <c r="D16">
        <v>1291</v>
      </c>
      <c r="E16" t="s">
        <v>362</v>
      </c>
      <c r="F16">
        <v>102</v>
      </c>
      <c r="G16">
        <v>4</v>
      </c>
      <c r="H16">
        <v>760</v>
      </c>
      <c r="I16">
        <v>30</v>
      </c>
      <c r="J16">
        <v>6.58</v>
      </c>
      <c r="K16">
        <v>22467.200000000001</v>
      </c>
      <c r="L16">
        <v>6.4</v>
      </c>
      <c r="M16">
        <v>0.9</v>
      </c>
      <c r="N16">
        <v>9.08</v>
      </c>
      <c r="O16">
        <v>20.03</v>
      </c>
    </row>
    <row r="17" spans="1:15">
      <c r="A17" t="s">
        <v>377</v>
      </c>
      <c r="B17" t="s">
        <v>361</v>
      </c>
      <c r="C17">
        <v>35.9</v>
      </c>
      <c r="D17">
        <v>1305</v>
      </c>
      <c r="E17" t="s">
        <v>362</v>
      </c>
      <c r="F17">
        <v>51</v>
      </c>
      <c r="G17">
        <v>2</v>
      </c>
      <c r="H17">
        <v>1065</v>
      </c>
      <c r="I17">
        <v>42</v>
      </c>
      <c r="J17">
        <v>6.65</v>
      </c>
      <c r="K17">
        <v>22720.3</v>
      </c>
      <c r="L17">
        <v>6.6</v>
      </c>
      <c r="M17">
        <v>1</v>
      </c>
      <c r="N17">
        <v>7.93</v>
      </c>
      <c r="O17">
        <v>17.489999999999998</v>
      </c>
    </row>
    <row r="18" spans="1:15">
      <c r="A18" t="s">
        <v>378</v>
      </c>
      <c r="B18" t="s">
        <v>361</v>
      </c>
      <c r="C18">
        <v>36.200000000000003</v>
      </c>
      <c r="D18">
        <v>1316</v>
      </c>
      <c r="E18" t="s">
        <v>362</v>
      </c>
      <c r="F18">
        <v>76</v>
      </c>
      <c r="G18">
        <v>3</v>
      </c>
      <c r="H18">
        <v>815</v>
      </c>
      <c r="I18">
        <v>32</v>
      </c>
      <c r="J18">
        <v>6.71</v>
      </c>
      <c r="K18">
        <v>22910.2</v>
      </c>
      <c r="L18">
        <v>8.8000000000000007</v>
      </c>
      <c r="M18">
        <v>1.3</v>
      </c>
      <c r="N18">
        <v>6.93</v>
      </c>
      <c r="O18">
        <v>15.27</v>
      </c>
    </row>
    <row r="19" spans="1:15">
      <c r="A19" t="s">
        <v>379</v>
      </c>
      <c r="B19" t="s">
        <v>361</v>
      </c>
      <c r="C19">
        <v>36.9</v>
      </c>
      <c r="D19">
        <v>1342</v>
      </c>
      <c r="E19" t="s">
        <v>362</v>
      </c>
      <c r="F19">
        <v>102</v>
      </c>
      <c r="G19">
        <v>4</v>
      </c>
      <c r="H19">
        <v>815</v>
      </c>
      <c r="I19">
        <v>32</v>
      </c>
      <c r="J19">
        <v>6.84</v>
      </c>
      <c r="K19">
        <v>23353.200000000001</v>
      </c>
      <c r="L19">
        <v>6.8</v>
      </c>
      <c r="M19">
        <v>1</v>
      </c>
      <c r="N19">
        <v>9.67</v>
      </c>
      <c r="O19">
        <v>21.33</v>
      </c>
    </row>
    <row r="20" spans="1:15">
      <c r="A20" t="s">
        <v>380</v>
      </c>
      <c r="B20" t="s">
        <v>361</v>
      </c>
      <c r="C20">
        <v>37.299999999999997</v>
      </c>
      <c r="D20">
        <v>1356</v>
      </c>
      <c r="E20" t="s">
        <v>362</v>
      </c>
      <c r="F20">
        <v>102</v>
      </c>
      <c r="G20">
        <v>4</v>
      </c>
      <c r="H20">
        <v>1295</v>
      </c>
      <c r="I20">
        <v>51</v>
      </c>
      <c r="J20">
        <v>6.91</v>
      </c>
      <c r="K20">
        <v>23606.400000000001</v>
      </c>
      <c r="L20">
        <v>4.4000000000000004</v>
      </c>
      <c r="M20">
        <v>0.6</v>
      </c>
      <c r="N20">
        <v>15.75</v>
      </c>
      <c r="O20">
        <v>34.72</v>
      </c>
    </row>
    <row r="21" spans="1:15">
      <c r="A21" t="s">
        <v>381</v>
      </c>
      <c r="B21" t="s">
        <v>361</v>
      </c>
      <c r="C21">
        <v>37.4</v>
      </c>
      <c r="D21">
        <v>1360</v>
      </c>
      <c r="E21" t="s">
        <v>362</v>
      </c>
      <c r="F21">
        <v>51</v>
      </c>
      <c r="G21">
        <v>2</v>
      </c>
      <c r="H21">
        <v>1120</v>
      </c>
      <c r="I21">
        <v>44</v>
      </c>
      <c r="J21">
        <v>6.93</v>
      </c>
      <c r="K21">
        <v>23669.599999999999</v>
      </c>
      <c r="L21">
        <v>6.9</v>
      </c>
      <c r="M21">
        <v>1</v>
      </c>
      <c r="N21">
        <v>8.32</v>
      </c>
      <c r="O21">
        <v>18.34</v>
      </c>
    </row>
    <row r="22" spans="1:15">
      <c r="A22" t="s">
        <v>382</v>
      </c>
      <c r="B22" t="s">
        <v>361</v>
      </c>
      <c r="C22">
        <v>37.5</v>
      </c>
      <c r="D22">
        <v>1364</v>
      </c>
      <c r="E22" t="s">
        <v>362</v>
      </c>
      <c r="F22">
        <v>76</v>
      </c>
      <c r="G22">
        <v>3</v>
      </c>
      <c r="H22">
        <v>1220</v>
      </c>
      <c r="I22">
        <v>48</v>
      </c>
      <c r="J22">
        <v>6.95</v>
      </c>
      <c r="K22">
        <v>23732.9</v>
      </c>
      <c r="L22">
        <v>4</v>
      </c>
      <c r="M22">
        <v>0.6</v>
      </c>
      <c r="N22">
        <v>10.26</v>
      </c>
      <c r="O22">
        <v>22.62</v>
      </c>
    </row>
    <row r="23" spans="1:15">
      <c r="A23" t="s">
        <v>383</v>
      </c>
      <c r="B23" t="s">
        <v>361</v>
      </c>
      <c r="C23">
        <v>37.6</v>
      </c>
      <c r="D23">
        <v>1367</v>
      </c>
      <c r="E23" t="s">
        <v>362</v>
      </c>
      <c r="F23">
        <v>76</v>
      </c>
      <c r="G23">
        <v>3</v>
      </c>
      <c r="H23">
        <v>865</v>
      </c>
      <c r="I23">
        <v>34</v>
      </c>
      <c r="J23">
        <v>6.97</v>
      </c>
      <c r="K23">
        <v>23796.2</v>
      </c>
      <c r="L23">
        <v>9.3000000000000007</v>
      </c>
      <c r="M23">
        <v>1.4</v>
      </c>
      <c r="N23">
        <v>7.32</v>
      </c>
      <c r="O23">
        <v>16.13</v>
      </c>
    </row>
    <row r="24" spans="1:15">
      <c r="A24" t="s">
        <v>384</v>
      </c>
      <c r="B24" t="s">
        <v>361</v>
      </c>
      <c r="C24">
        <v>38.299999999999997</v>
      </c>
      <c r="D24">
        <v>1393</v>
      </c>
      <c r="E24" t="s">
        <v>362</v>
      </c>
      <c r="F24">
        <v>102</v>
      </c>
      <c r="G24">
        <v>4</v>
      </c>
      <c r="H24">
        <v>865</v>
      </c>
      <c r="I24">
        <v>34</v>
      </c>
      <c r="J24">
        <v>7.1</v>
      </c>
      <c r="K24">
        <v>24239.200000000001</v>
      </c>
      <c r="L24">
        <v>7.2</v>
      </c>
      <c r="M24">
        <v>1</v>
      </c>
      <c r="N24">
        <v>10.26</v>
      </c>
      <c r="O24">
        <v>22.63</v>
      </c>
    </row>
    <row r="25" spans="1:15">
      <c r="A25" t="s">
        <v>385</v>
      </c>
      <c r="B25" t="s">
        <v>361</v>
      </c>
      <c r="C25">
        <v>38.700000000000003</v>
      </c>
      <c r="D25">
        <v>1407</v>
      </c>
      <c r="E25" t="s">
        <v>362</v>
      </c>
      <c r="F25">
        <v>51</v>
      </c>
      <c r="G25">
        <v>2</v>
      </c>
      <c r="H25">
        <v>1170</v>
      </c>
      <c r="I25">
        <v>46</v>
      </c>
      <c r="J25">
        <v>7.17</v>
      </c>
      <c r="K25">
        <v>24492.400000000001</v>
      </c>
      <c r="L25">
        <v>7.2</v>
      </c>
      <c r="M25">
        <v>1</v>
      </c>
      <c r="N25">
        <v>8.6999999999999993</v>
      </c>
      <c r="O25">
        <v>19.18</v>
      </c>
    </row>
    <row r="26" spans="1:15">
      <c r="A26" t="s">
        <v>386</v>
      </c>
      <c r="B26" t="s">
        <v>387</v>
      </c>
      <c r="C26">
        <v>39</v>
      </c>
      <c r="D26">
        <v>1418</v>
      </c>
      <c r="E26" t="s">
        <v>388</v>
      </c>
      <c r="F26">
        <v>75</v>
      </c>
      <c r="G26">
        <v>3</v>
      </c>
      <c r="H26">
        <v>1016</v>
      </c>
      <c r="I26">
        <v>40</v>
      </c>
      <c r="J26">
        <v>7</v>
      </c>
      <c r="K26">
        <v>23896</v>
      </c>
      <c r="L26">
        <v>9</v>
      </c>
      <c r="M26">
        <v>1.3</v>
      </c>
      <c r="N26">
        <v>9.8000000000000007</v>
      </c>
      <c r="O26">
        <v>21.1</v>
      </c>
    </row>
    <row r="27" spans="1:15">
      <c r="A27" t="s">
        <v>389</v>
      </c>
      <c r="B27" t="s">
        <v>361</v>
      </c>
      <c r="C27">
        <v>39</v>
      </c>
      <c r="D27">
        <v>1418</v>
      </c>
      <c r="E27" t="s">
        <v>362</v>
      </c>
      <c r="F27">
        <v>76</v>
      </c>
      <c r="G27">
        <v>3</v>
      </c>
      <c r="H27">
        <v>915</v>
      </c>
      <c r="I27">
        <v>36</v>
      </c>
      <c r="J27">
        <v>7.23</v>
      </c>
      <c r="K27">
        <v>24682.2</v>
      </c>
      <c r="L27">
        <v>9.9</v>
      </c>
      <c r="M27">
        <v>1.4</v>
      </c>
      <c r="N27">
        <v>7.71</v>
      </c>
      <c r="O27">
        <v>17</v>
      </c>
    </row>
    <row r="28" spans="1:15">
      <c r="A28" t="s">
        <v>390</v>
      </c>
      <c r="B28" t="s">
        <v>387</v>
      </c>
      <c r="C28">
        <v>39.200000000000003</v>
      </c>
      <c r="D28">
        <v>1425</v>
      </c>
      <c r="E28" t="s">
        <v>362</v>
      </c>
      <c r="F28">
        <v>75</v>
      </c>
      <c r="G28">
        <v>3</v>
      </c>
      <c r="H28">
        <v>914.4</v>
      </c>
      <c r="I28">
        <v>36</v>
      </c>
      <c r="J28">
        <v>7</v>
      </c>
      <c r="K28">
        <v>23884.98</v>
      </c>
      <c r="L28">
        <v>9.1</v>
      </c>
      <c r="M28">
        <v>1.3</v>
      </c>
      <c r="N28">
        <v>10</v>
      </c>
      <c r="O28">
        <v>22</v>
      </c>
    </row>
    <row r="29" spans="1:15">
      <c r="A29" t="s">
        <v>391</v>
      </c>
      <c r="B29" t="s">
        <v>361</v>
      </c>
      <c r="C29">
        <v>39.200000000000003</v>
      </c>
      <c r="D29">
        <v>1425</v>
      </c>
      <c r="E29" t="s">
        <v>362</v>
      </c>
      <c r="F29">
        <v>51</v>
      </c>
      <c r="G29">
        <v>2</v>
      </c>
      <c r="H29">
        <v>1220</v>
      </c>
      <c r="I29">
        <v>48</v>
      </c>
      <c r="J29">
        <v>7.26</v>
      </c>
      <c r="K29">
        <v>24808.799999999999</v>
      </c>
      <c r="L29">
        <v>7.5</v>
      </c>
      <c r="M29">
        <v>1.1000000000000001</v>
      </c>
      <c r="N29">
        <v>9.08</v>
      </c>
      <c r="O29">
        <v>20.03</v>
      </c>
    </row>
    <row r="30" spans="1:15">
      <c r="A30" t="s">
        <v>392</v>
      </c>
      <c r="B30" t="s">
        <v>361</v>
      </c>
      <c r="C30">
        <v>39.4</v>
      </c>
      <c r="D30">
        <v>1433</v>
      </c>
      <c r="E30" t="s">
        <v>362</v>
      </c>
      <c r="F30">
        <v>76</v>
      </c>
      <c r="G30">
        <v>3</v>
      </c>
      <c r="H30">
        <v>1295</v>
      </c>
      <c r="I30">
        <v>51</v>
      </c>
      <c r="J30">
        <v>7.3</v>
      </c>
      <c r="K30">
        <v>24935.4</v>
      </c>
      <c r="L30">
        <v>4.2</v>
      </c>
      <c r="M30">
        <v>0.6</v>
      </c>
      <c r="N30">
        <v>10.84</v>
      </c>
      <c r="O30">
        <v>23.9</v>
      </c>
    </row>
    <row r="31" spans="1:15">
      <c r="A31" t="s">
        <v>393</v>
      </c>
      <c r="B31" t="s">
        <v>361</v>
      </c>
      <c r="C31">
        <v>39.5</v>
      </c>
      <c r="D31">
        <v>1436</v>
      </c>
      <c r="E31" t="s">
        <v>362</v>
      </c>
      <c r="F31">
        <v>102</v>
      </c>
      <c r="G31">
        <v>4</v>
      </c>
      <c r="H31">
        <v>1370</v>
      </c>
      <c r="I31">
        <v>54</v>
      </c>
      <c r="J31">
        <v>7.32</v>
      </c>
      <c r="K31">
        <v>24998.7</v>
      </c>
      <c r="L31">
        <v>4.5999999999999996</v>
      </c>
      <c r="M31">
        <v>0.7</v>
      </c>
      <c r="N31">
        <v>16.66</v>
      </c>
      <c r="O31">
        <v>36.74</v>
      </c>
    </row>
    <row r="32" spans="1:15">
      <c r="A32" t="s">
        <v>394</v>
      </c>
      <c r="B32" t="s">
        <v>361</v>
      </c>
      <c r="C32">
        <v>39.700000000000003</v>
      </c>
      <c r="D32">
        <v>1444</v>
      </c>
      <c r="E32" t="s">
        <v>362</v>
      </c>
      <c r="F32">
        <v>102</v>
      </c>
      <c r="G32">
        <v>4</v>
      </c>
      <c r="H32">
        <v>915</v>
      </c>
      <c r="I32">
        <v>36</v>
      </c>
      <c r="J32">
        <v>7.36</v>
      </c>
      <c r="K32">
        <v>25125.3</v>
      </c>
      <c r="L32">
        <v>7.6</v>
      </c>
      <c r="M32">
        <v>1.1000000000000001</v>
      </c>
      <c r="N32">
        <v>10.85</v>
      </c>
      <c r="O32">
        <v>23.93</v>
      </c>
    </row>
    <row r="33" spans="1:15">
      <c r="A33" t="s">
        <v>395</v>
      </c>
      <c r="B33" t="s">
        <v>361</v>
      </c>
      <c r="C33">
        <v>40.299999999999997</v>
      </c>
      <c r="D33">
        <v>1465</v>
      </c>
      <c r="E33" t="s">
        <v>362</v>
      </c>
      <c r="F33">
        <v>76</v>
      </c>
      <c r="G33">
        <v>3</v>
      </c>
      <c r="H33">
        <v>965</v>
      </c>
      <c r="I33">
        <v>38</v>
      </c>
      <c r="J33">
        <v>7.47</v>
      </c>
      <c r="K33">
        <v>25505</v>
      </c>
      <c r="L33">
        <v>10.4</v>
      </c>
      <c r="M33">
        <v>1.5</v>
      </c>
      <c r="N33">
        <v>8.1</v>
      </c>
      <c r="O33">
        <v>17.86</v>
      </c>
    </row>
    <row r="34" spans="1:15">
      <c r="A34" t="s">
        <v>396</v>
      </c>
      <c r="B34" t="s">
        <v>387</v>
      </c>
      <c r="C34">
        <v>40.4</v>
      </c>
      <c r="D34">
        <v>1469</v>
      </c>
      <c r="E34" t="s">
        <v>362</v>
      </c>
      <c r="F34">
        <v>75</v>
      </c>
      <c r="G34">
        <v>3</v>
      </c>
      <c r="H34">
        <v>965.2</v>
      </c>
      <c r="I34">
        <v>38</v>
      </c>
      <c r="J34">
        <v>7.2</v>
      </c>
      <c r="K34">
        <v>24567.407999999999</v>
      </c>
      <c r="L34">
        <v>9.6999999999999993</v>
      </c>
      <c r="M34">
        <v>1.4</v>
      </c>
      <c r="N34">
        <v>10.4</v>
      </c>
      <c r="O34">
        <v>22.88</v>
      </c>
    </row>
    <row r="35" spans="1:15">
      <c r="A35" t="s">
        <v>397</v>
      </c>
      <c r="B35" t="s">
        <v>361</v>
      </c>
      <c r="C35">
        <v>40.4</v>
      </c>
      <c r="D35">
        <v>1469</v>
      </c>
      <c r="E35" t="s">
        <v>362</v>
      </c>
      <c r="F35">
        <v>51</v>
      </c>
      <c r="G35">
        <v>2</v>
      </c>
      <c r="H35">
        <v>1270</v>
      </c>
      <c r="I35">
        <v>50</v>
      </c>
      <c r="J35">
        <v>7.49</v>
      </c>
      <c r="K35">
        <v>25568.3</v>
      </c>
      <c r="L35">
        <v>7.8</v>
      </c>
      <c r="M35">
        <v>1.1000000000000001</v>
      </c>
      <c r="N35">
        <v>9.4700000000000006</v>
      </c>
      <c r="O35">
        <v>20.87</v>
      </c>
    </row>
    <row r="36" spans="1:15">
      <c r="A36" t="s">
        <v>398</v>
      </c>
      <c r="B36" t="s">
        <v>399</v>
      </c>
      <c r="C36">
        <v>40.6</v>
      </c>
      <c r="D36">
        <v>1476</v>
      </c>
      <c r="E36" t="s">
        <v>362</v>
      </c>
      <c r="F36">
        <v>75</v>
      </c>
      <c r="G36">
        <v>3</v>
      </c>
      <c r="H36">
        <v>914</v>
      </c>
      <c r="I36">
        <v>36</v>
      </c>
      <c r="J36">
        <v>7.46</v>
      </c>
      <c r="K36">
        <v>25477.200000000001</v>
      </c>
      <c r="L36">
        <v>9</v>
      </c>
      <c r="M36">
        <v>1.35</v>
      </c>
      <c r="N36">
        <v>9.8000000000000007</v>
      </c>
      <c r="O36">
        <v>22</v>
      </c>
    </row>
    <row r="37" spans="1:15">
      <c r="A37" t="s">
        <v>400</v>
      </c>
      <c r="B37" t="s">
        <v>361</v>
      </c>
      <c r="C37">
        <v>41.1</v>
      </c>
      <c r="D37">
        <v>1494</v>
      </c>
      <c r="E37" t="s">
        <v>362</v>
      </c>
      <c r="F37">
        <v>102</v>
      </c>
      <c r="G37">
        <v>4</v>
      </c>
      <c r="H37">
        <v>965</v>
      </c>
      <c r="I37">
        <v>38</v>
      </c>
      <c r="J37">
        <v>7.62</v>
      </c>
      <c r="K37">
        <v>26011.3</v>
      </c>
      <c r="L37">
        <v>8</v>
      </c>
      <c r="M37">
        <v>1.2</v>
      </c>
      <c r="N37">
        <v>11.44</v>
      </c>
      <c r="O37">
        <v>25.23</v>
      </c>
    </row>
    <row r="38" spans="1:15">
      <c r="A38" t="s">
        <v>401</v>
      </c>
      <c r="B38" t="s">
        <v>361</v>
      </c>
      <c r="C38">
        <v>41.3</v>
      </c>
      <c r="D38">
        <v>1502</v>
      </c>
      <c r="E38" t="s">
        <v>362</v>
      </c>
      <c r="F38">
        <v>76</v>
      </c>
      <c r="G38">
        <v>3</v>
      </c>
      <c r="H38">
        <v>1370</v>
      </c>
      <c r="I38">
        <v>54</v>
      </c>
      <c r="J38">
        <v>7.65</v>
      </c>
      <c r="K38">
        <v>26137.9</v>
      </c>
      <c r="L38">
        <v>4.5</v>
      </c>
      <c r="M38">
        <v>0.7</v>
      </c>
      <c r="N38">
        <v>11.43</v>
      </c>
      <c r="O38">
        <v>25.19</v>
      </c>
    </row>
    <row r="39" spans="1:15">
      <c r="A39" t="s">
        <v>402</v>
      </c>
      <c r="B39" t="s">
        <v>361</v>
      </c>
      <c r="C39">
        <v>41.5</v>
      </c>
      <c r="D39">
        <v>1509</v>
      </c>
      <c r="E39" t="s">
        <v>362</v>
      </c>
      <c r="F39">
        <v>102</v>
      </c>
      <c r="G39">
        <v>4</v>
      </c>
      <c r="H39">
        <v>1450</v>
      </c>
      <c r="I39">
        <v>57</v>
      </c>
      <c r="J39">
        <v>7.69</v>
      </c>
      <c r="K39">
        <v>26264.400000000001</v>
      </c>
      <c r="L39">
        <v>4.8</v>
      </c>
      <c r="M39">
        <v>0.7</v>
      </c>
      <c r="N39">
        <v>17.579999999999998</v>
      </c>
      <c r="O39">
        <v>38.75</v>
      </c>
    </row>
    <row r="40" spans="1:15">
      <c r="A40" t="s">
        <v>403</v>
      </c>
      <c r="B40" t="s">
        <v>387</v>
      </c>
      <c r="C40">
        <v>41.6</v>
      </c>
      <c r="D40">
        <v>1513</v>
      </c>
      <c r="E40" t="s">
        <v>362</v>
      </c>
      <c r="F40">
        <v>75</v>
      </c>
      <c r="G40">
        <v>3</v>
      </c>
      <c r="H40">
        <v>1016</v>
      </c>
      <c r="I40">
        <v>40</v>
      </c>
      <c r="J40">
        <v>7.5</v>
      </c>
      <c r="K40">
        <v>25591.05</v>
      </c>
      <c r="L40">
        <v>10.3</v>
      </c>
      <c r="M40">
        <v>1.5</v>
      </c>
      <c r="N40">
        <v>10.9</v>
      </c>
      <c r="O40">
        <v>23.98</v>
      </c>
    </row>
    <row r="41" spans="1:15">
      <c r="A41" t="s">
        <v>404</v>
      </c>
      <c r="B41" t="s">
        <v>361</v>
      </c>
      <c r="C41">
        <v>41.6</v>
      </c>
      <c r="D41">
        <v>1513</v>
      </c>
      <c r="E41" t="s">
        <v>362</v>
      </c>
      <c r="F41">
        <v>51</v>
      </c>
      <c r="G41">
        <v>2</v>
      </c>
      <c r="H41">
        <v>1320</v>
      </c>
      <c r="I41">
        <v>52</v>
      </c>
      <c r="J41">
        <v>7.71</v>
      </c>
      <c r="K41">
        <v>26327.7</v>
      </c>
      <c r="L41">
        <v>8.1</v>
      </c>
      <c r="M41">
        <v>1.2</v>
      </c>
      <c r="N41">
        <v>9.85</v>
      </c>
      <c r="O41">
        <v>21.71</v>
      </c>
    </row>
    <row r="42" spans="1:15">
      <c r="A42" t="s">
        <v>405</v>
      </c>
      <c r="B42" t="s">
        <v>361</v>
      </c>
      <c r="C42">
        <v>41.7</v>
      </c>
      <c r="D42">
        <v>1516</v>
      </c>
      <c r="E42" t="s">
        <v>362</v>
      </c>
      <c r="F42">
        <v>76</v>
      </c>
      <c r="G42">
        <v>3</v>
      </c>
      <c r="H42">
        <v>1015</v>
      </c>
      <c r="I42">
        <v>40</v>
      </c>
      <c r="J42">
        <v>7.73</v>
      </c>
      <c r="K42">
        <v>26391</v>
      </c>
      <c r="L42">
        <v>11</v>
      </c>
      <c r="M42">
        <v>1.6</v>
      </c>
      <c r="N42">
        <v>8.49</v>
      </c>
      <c r="O42">
        <v>18.72</v>
      </c>
    </row>
    <row r="43" spans="1:15">
      <c r="A43" t="s">
        <v>406</v>
      </c>
      <c r="B43" t="s">
        <v>399</v>
      </c>
      <c r="C43">
        <v>42</v>
      </c>
      <c r="D43">
        <v>1527</v>
      </c>
      <c r="E43" t="s">
        <v>388</v>
      </c>
      <c r="F43">
        <v>75</v>
      </c>
      <c r="G43">
        <v>3</v>
      </c>
      <c r="H43">
        <v>1466.85</v>
      </c>
      <c r="I43">
        <v>57.75</v>
      </c>
      <c r="J43">
        <v>7.54</v>
      </c>
      <c r="K43">
        <v>25740</v>
      </c>
      <c r="L43">
        <v>16.547999999999998</v>
      </c>
      <c r="M43">
        <v>2.4</v>
      </c>
      <c r="N43">
        <v>12.7</v>
      </c>
      <c r="O43">
        <v>28</v>
      </c>
    </row>
    <row r="44" spans="1:15">
      <c r="A44" t="s">
        <v>407</v>
      </c>
      <c r="B44" t="s">
        <v>361</v>
      </c>
      <c r="C44">
        <v>42.4</v>
      </c>
      <c r="D44">
        <v>1542</v>
      </c>
      <c r="E44" t="s">
        <v>362</v>
      </c>
      <c r="F44">
        <v>102</v>
      </c>
      <c r="G44">
        <v>4</v>
      </c>
      <c r="H44">
        <v>1015</v>
      </c>
      <c r="I44">
        <v>40</v>
      </c>
      <c r="J44">
        <v>7.86</v>
      </c>
      <c r="K44">
        <v>26834</v>
      </c>
      <c r="L44">
        <v>8.4</v>
      </c>
      <c r="M44">
        <v>1.2</v>
      </c>
      <c r="N44">
        <v>12.03</v>
      </c>
      <c r="O44">
        <v>26.53</v>
      </c>
    </row>
    <row r="45" spans="1:15">
      <c r="A45" t="s">
        <v>408</v>
      </c>
      <c r="B45" t="s">
        <v>387</v>
      </c>
      <c r="C45">
        <v>42.8</v>
      </c>
      <c r="D45">
        <v>1556</v>
      </c>
      <c r="E45" t="s">
        <v>362</v>
      </c>
      <c r="F45">
        <v>75</v>
      </c>
      <c r="G45">
        <v>3</v>
      </c>
      <c r="H45">
        <v>1066.8</v>
      </c>
      <c r="I45">
        <v>42</v>
      </c>
      <c r="J45">
        <v>7.7</v>
      </c>
      <c r="K45">
        <v>26273.477999999999</v>
      </c>
      <c r="L45">
        <v>10.9</v>
      </c>
      <c r="M45">
        <v>1.6</v>
      </c>
      <c r="N45">
        <v>11.2</v>
      </c>
      <c r="O45">
        <v>24.64</v>
      </c>
    </row>
    <row r="46" spans="1:15">
      <c r="A46" t="s">
        <v>409</v>
      </c>
      <c r="B46" t="s">
        <v>361</v>
      </c>
      <c r="C46">
        <v>42.8</v>
      </c>
      <c r="D46">
        <v>1556</v>
      </c>
      <c r="E46" t="s">
        <v>362</v>
      </c>
      <c r="F46">
        <v>51</v>
      </c>
      <c r="G46">
        <v>2</v>
      </c>
      <c r="H46">
        <v>1370</v>
      </c>
      <c r="I46">
        <v>54</v>
      </c>
      <c r="J46">
        <v>7.93</v>
      </c>
      <c r="K46">
        <v>27087.200000000001</v>
      </c>
      <c r="L46">
        <v>8.4</v>
      </c>
      <c r="M46">
        <v>1.2</v>
      </c>
      <c r="N46">
        <v>10.23</v>
      </c>
      <c r="O46">
        <v>22.56</v>
      </c>
    </row>
    <row r="47" spans="1:15">
      <c r="A47" t="s">
        <v>410</v>
      </c>
      <c r="B47" t="s">
        <v>361</v>
      </c>
      <c r="C47">
        <v>42.9</v>
      </c>
      <c r="D47">
        <v>1560</v>
      </c>
      <c r="E47" t="s">
        <v>362</v>
      </c>
      <c r="F47">
        <v>76</v>
      </c>
      <c r="G47">
        <v>3</v>
      </c>
      <c r="H47">
        <v>1065</v>
      </c>
      <c r="I47">
        <v>42</v>
      </c>
      <c r="J47">
        <v>7.95</v>
      </c>
      <c r="K47">
        <v>27150.5</v>
      </c>
      <c r="L47">
        <v>11.5</v>
      </c>
      <c r="M47">
        <v>1.7</v>
      </c>
      <c r="N47">
        <v>8.89</v>
      </c>
      <c r="O47">
        <v>19.59</v>
      </c>
    </row>
    <row r="48" spans="1:15">
      <c r="A48" t="s">
        <v>411</v>
      </c>
      <c r="B48" t="s">
        <v>361</v>
      </c>
      <c r="C48">
        <v>43.1</v>
      </c>
      <c r="D48">
        <v>1567</v>
      </c>
      <c r="E48" t="s">
        <v>362</v>
      </c>
      <c r="F48">
        <v>76</v>
      </c>
      <c r="G48">
        <v>3</v>
      </c>
      <c r="H48">
        <v>1450</v>
      </c>
      <c r="I48">
        <v>57</v>
      </c>
      <c r="J48">
        <v>7.99</v>
      </c>
      <c r="K48">
        <v>27277.1</v>
      </c>
      <c r="L48">
        <v>4.8</v>
      </c>
      <c r="M48">
        <v>0.7</v>
      </c>
      <c r="N48">
        <v>12.01</v>
      </c>
      <c r="O48">
        <v>26.48</v>
      </c>
    </row>
    <row r="49" spans="1:15">
      <c r="A49" t="s">
        <v>412</v>
      </c>
      <c r="B49" t="s">
        <v>399</v>
      </c>
      <c r="C49">
        <v>43.5</v>
      </c>
      <c r="D49">
        <v>1582</v>
      </c>
      <c r="E49" t="s">
        <v>388</v>
      </c>
      <c r="F49">
        <v>102</v>
      </c>
      <c r="G49">
        <v>4</v>
      </c>
      <c r="H49">
        <v>1219</v>
      </c>
      <c r="I49">
        <v>48</v>
      </c>
      <c r="J49">
        <v>8.1</v>
      </c>
      <c r="K49">
        <v>27500</v>
      </c>
      <c r="L49">
        <v>12.411</v>
      </c>
      <c r="M49">
        <v>1.8</v>
      </c>
      <c r="N49">
        <v>13.6</v>
      </c>
      <c r="O49">
        <v>30</v>
      </c>
    </row>
    <row r="50" spans="1:15">
      <c r="A50" t="s">
        <v>413</v>
      </c>
      <c r="B50" t="s">
        <v>361</v>
      </c>
      <c r="C50">
        <v>43.5</v>
      </c>
      <c r="D50">
        <v>1582</v>
      </c>
      <c r="E50" t="s">
        <v>362</v>
      </c>
      <c r="F50">
        <v>102</v>
      </c>
      <c r="G50">
        <v>4</v>
      </c>
      <c r="H50">
        <v>1525</v>
      </c>
      <c r="I50">
        <v>60</v>
      </c>
      <c r="J50">
        <v>8.06</v>
      </c>
      <c r="K50">
        <v>27530.2</v>
      </c>
      <c r="L50">
        <v>5</v>
      </c>
      <c r="M50">
        <v>0.7</v>
      </c>
      <c r="N50">
        <v>18.489999999999998</v>
      </c>
      <c r="O50">
        <v>40.770000000000003</v>
      </c>
    </row>
    <row r="51" spans="1:15">
      <c r="A51" t="s">
        <v>414</v>
      </c>
      <c r="B51" t="s">
        <v>399</v>
      </c>
      <c r="C51">
        <v>43.5</v>
      </c>
      <c r="D51">
        <v>1582</v>
      </c>
      <c r="E51" t="s">
        <v>362</v>
      </c>
      <c r="F51">
        <v>75</v>
      </c>
      <c r="G51">
        <v>3</v>
      </c>
      <c r="H51">
        <v>1066</v>
      </c>
      <c r="I51">
        <v>42</v>
      </c>
      <c r="J51">
        <v>8.0399999999999991</v>
      </c>
      <c r="K51">
        <v>27474.3</v>
      </c>
      <c r="L51">
        <v>11</v>
      </c>
      <c r="M51">
        <v>1.54</v>
      </c>
      <c r="N51">
        <v>11</v>
      </c>
      <c r="O51">
        <v>25</v>
      </c>
    </row>
    <row r="52" spans="1:15">
      <c r="A52" t="s">
        <v>415</v>
      </c>
      <c r="B52" t="s">
        <v>361</v>
      </c>
      <c r="C52">
        <v>43.7</v>
      </c>
      <c r="D52">
        <v>1589</v>
      </c>
      <c r="E52" t="s">
        <v>362</v>
      </c>
      <c r="F52">
        <v>102</v>
      </c>
      <c r="G52">
        <v>4</v>
      </c>
      <c r="H52">
        <v>1065</v>
      </c>
      <c r="I52">
        <v>42</v>
      </c>
      <c r="J52">
        <v>8.1</v>
      </c>
      <c r="K52">
        <v>27656.799999999999</v>
      </c>
      <c r="L52">
        <v>8.8000000000000007</v>
      </c>
      <c r="M52">
        <v>1.3</v>
      </c>
      <c r="N52">
        <v>12.62</v>
      </c>
      <c r="O52">
        <v>27.83</v>
      </c>
    </row>
    <row r="53" spans="1:15">
      <c r="A53" t="s">
        <v>416</v>
      </c>
      <c r="B53" t="s">
        <v>361</v>
      </c>
      <c r="C53">
        <v>43.9</v>
      </c>
      <c r="D53">
        <v>1596</v>
      </c>
      <c r="E53" t="s">
        <v>362</v>
      </c>
      <c r="F53">
        <v>51</v>
      </c>
      <c r="G53">
        <v>2</v>
      </c>
      <c r="H53">
        <v>1420</v>
      </c>
      <c r="I53">
        <v>56</v>
      </c>
      <c r="J53">
        <v>8.14</v>
      </c>
      <c r="K53">
        <v>27783.4</v>
      </c>
      <c r="L53">
        <v>8.6999999999999993</v>
      </c>
      <c r="M53">
        <v>1.3</v>
      </c>
      <c r="N53">
        <v>10.61</v>
      </c>
      <c r="O53">
        <v>23.4</v>
      </c>
    </row>
    <row r="54" spans="1:15">
      <c r="A54" t="s">
        <v>417</v>
      </c>
      <c r="B54" t="s">
        <v>387</v>
      </c>
      <c r="C54">
        <v>43.9</v>
      </c>
      <c r="D54">
        <v>1596</v>
      </c>
      <c r="E54" t="s">
        <v>362</v>
      </c>
      <c r="F54">
        <v>75</v>
      </c>
      <c r="G54">
        <v>3</v>
      </c>
      <c r="H54">
        <v>1117.5999999999999</v>
      </c>
      <c r="I54">
        <v>44</v>
      </c>
      <c r="J54">
        <v>7.9</v>
      </c>
      <c r="K54">
        <v>26955.905999999999</v>
      </c>
      <c r="L54">
        <v>11.5</v>
      </c>
      <c r="M54">
        <v>1.7</v>
      </c>
      <c r="N54">
        <v>11.9</v>
      </c>
      <c r="O54">
        <v>26.18</v>
      </c>
    </row>
    <row r="55" spans="1:15">
      <c r="A55" t="s">
        <v>418</v>
      </c>
      <c r="B55" t="s">
        <v>361</v>
      </c>
      <c r="C55">
        <v>44.2</v>
      </c>
      <c r="D55">
        <v>1607</v>
      </c>
      <c r="E55" t="s">
        <v>362</v>
      </c>
      <c r="F55">
        <v>76</v>
      </c>
      <c r="G55">
        <v>3</v>
      </c>
      <c r="H55">
        <v>1120</v>
      </c>
      <c r="I55">
        <v>44</v>
      </c>
      <c r="J55">
        <v>8.19</v>
      </c>
      <c r="K55">
        <v>27973.200000000001</v>
      </c>
      <c r="L55">
        <v>12.1</v>
      </c>
      <c r="M55">
        <v>1.8</v>
      </c>
      <c r="N55">
        <v>9.2799999999999994</v>
      </c>
      <c r="O55">
        <v>20.45</v>
      </c>
    </row>
    <row r="56" spans="1:15">
      <c r="A56" t="s">
        <v>419</v>
      </c>
      <c r="B56" t="s">
        <v>387</v>
      </c>
      <c r="C56">
        <v>44.7</v>
      </c>
      <c r="D56">
        <v>1625</v>
      </c>
      <c r="E56" t="s">
        <v>388</v>
      </c>
      <c r="F56">
        <v>102</v>
      </c>
      <c r="G56">
        <v>4</v>
      </c>
      <c r="H56">
        <v>1020</v>
      </c>
      <c r="I56">
        <v>40</v>
      </c>
      <c r="J56">
        <v>8.2799999999999994</v>
      </c>
      <c r="K56">
        <v>28300</v>
      </c>
      <c r="L56">
        <v>14.1</v>
      </c>
      <c r="M56">
        <v>2.1</v>
      </c>
      <c r="N56">
        <v>13.3</v>
      </c>
      <c r="O56">
        <v>29.4</v>
      </c>
    </row>
    <row r="57" spans="1:15">
      <c r="A57" t="s">
        <v>420</v>
      </c>
      <c r="B57" t="s">
        <v>361</v>
      </c>
      <c r="C57">
        <v>44.8</v>
      </c>
      <c r="D57">
        <v>1629</v>
      </c>
      <c r="E57" t="s">
        <v>362</v>
      </c>
      <c r="F57">
        <v>76</v>
      </c>
      <c r="G57">
        <v>3</v>
      </c>
      <c r="H57">
        <v>1525</v>
      </c>
      <c r="I57">
        <v>60</v>
      </c>
      <c r="J57">
        <v>8.3000000000000007</v>
      </c>
      <c r="K57">
        <v>28352.9</v>
      </c>
      <c r="L57">
        <v>5</v>
      </c>
      <c r="M57">
        <v>0.7</v>
      </c>
      <c r="N57">
        <v>12.59</v>
      </c>
      <c r="O57">
        <v>27.77</v>
      </c>
    </row>
    <row r="58" spans="1:15">
      <c r="A58" t="s">
        <v>421</v>
      </c>
      <c r="B58" t="s">
        <v>387</v>
      </c>
      <c r="C58">
        <v>45</v>
      </c>
      <c r="D58">
        <v>1636</v>
      </c>
      <c r="E58" t="s">
        <v>362</v>
      </c>
      <c r="F58">
        <v>75</v>
      </c>
      <c r="G58">
        <v>3</v>
      </c>
      <c r="H58">
        <v>1168.4000000000001</v>
      </c>
      <c r="I58">
        <v>46</v>
      </c>
      <c r="J58">
        <v>8.1</v>
      </c>
      <c r="K58">
        <v>27638.333999999999</v>
      </c>
      <c r="L58">
        <v>12.1</v>
      </c>
      <c r="M58">
        <v>1.8</v>
      </c>
      <c r="N58">
        <v>12.4</v>
      </c>
      <c r="O58">
        <v>27.28</v>
      </c>
    </row>
    <row r="59" spans="1:15">
      <c r="A59" t="s">
        <v>422</v>
      </c>
      <c r="B59" t="s">
        <v>361</v>
      </c>
      <c r="C59">
        <v>45</v>
      </c>
      <c r="D59">
        <v>1636</v>
      </c>
      <c r="E59" t="s">
        <v>362</v>
      </c>
      <c r="F59">
        <v>102</v>
      </c>
      <c r="G59">
        <v>4</v>
      </c>
      <c r="H59">
        <v>1120</v>
      </c>
      <c r="I59">
        <v>44</v>
      </c>
      <c r="J59">
        <v>8.34</v>
      </c>
      <c r="K59">
        <v>28479.5</v>
      </c>
      <c r="L59">
        <v>9.1999999999999993</v>
      </c>
      <c r="M59">
        <v>1.3</v>
      </c>
      <c r="N59">
        <v>13.21</v>
      </c>
      <c r="O59">
        <v>29.13</v>
      </c>
    </row>
    <row r="60" spans="1:15">
      <c r="A60" t="s">
        <v>423</v>
      </c>
      <c r="B60" t="s">
        <v>361</v>
      </c>
      <c r="C60">
        <v>45</v>
      </c>
      <c r="D60">
        <v>1636</v>
      </c>
      <c r="E60" t="s">
        <v>362</v>
      </c>
      <c r="F60">
        <v>51</v>
      </c>
      <c r="G60">
        <v>2</v>
      </c>
      <c r="H60">
        <v>1475</v>
      </c>
      <c r="I60">
        <v>58</v>
      </c>
      <c r="J60">
        <v>8.34</v>
      </c>
      <c r="K60">
        <v>28479.5</v>
      </c>
      <c r="L60">
        <v>9</v>
      </c>
      <c r="M60">
        <v>1.3</v>
      </c>
      <c r="N60">
        <v>11</v>
      </c>
      <c r="O60">
        <v>24.24</v>
      </c>
    </row>
    <row r="61" spans="1:15">
      <c r="A61" t="s">
        <v>424</v>
      </c>
      <c r="B61" t="s">
        <v>361</v>
      </c>
      <c r="C61">
        <v>45.4</v>
      </c>
      <c r="D61">
        <v>1651</v>
      </c>
      <c r="E61" t="s">
        <v>362</v>
      </c>
      <c r="F61">
        <v>76</v>
      </c>
      <c r="G61">
        <v>3</v>
      </c>
      <c r="H61">
        <v>1170</v>
      </c>
      <c r="I61">
        <v>46</v>
      </c>
      <c r="J61">
        <v>8.41</v>
      </c>
      <c r="K61">
        <v>28732.7</v>
      </c>
      <c r="L61">
        <v>12.6</v>
      </c>
      <c r="M61">
        <v>1.8</v>
      </c>
      <c r="N61">
        <v>9.67</v>
      </c>
      <c r="O61">
        <v>21.31</v>
      </c>
    </row>
    <row r="62" spans="1:15">
      <c r="A62" t="s">
        <v>425</v>
      </c>
      <c r="B62" t="s">
        <v>361</v>
      </c>
      <c r="C62">
        <v>45.5</v>
      </c>
      <c r="D62">
        <v>1654</v>
      </c>
      <c r="E62" t="s">
        <v>362</v>
      </c>
      <c r="F62">
        <v>102</v>
      </c>
      <c r="G62">
        <v>4</v>
      </c>
      <c r="H62">
        <v>1600</v>
      </c>
      <c r="I62">
        <v>63</v>
      </c>
      <c r="J62">
        <v>8.43</v>
      </c>
      <c r="K62">
        <v>28796</v>
      </c>
      <c r="L62">
        <v>5.3</v>
      </c>
      <c r="M62">
        <v>0.8</v>
      </c>
      <c r="N62">
        <v>19.41</v>
      </c>
      <c r="O62">
        <v>42.78</v>
      </c>
    </row>
    <row r="63" spans="1:15">
      <c r="A63" t="s">
        <v>426</v>
      </c>
      <c r="B63" t="s">
        <v>387</v>
      </c>
      <c r="C63">
        <v>46</v>
      </c>
      <c r="D63">
        <v>1673</v>
      </c>
      <c r="E63" t="s">
        <v>388</v>
      </c>
      <c r="F63">
        <v>75</v>
      </c>
      <c r="G63">
        <v>3</v>
      </c>
      <c r="H63">
        <v>1016</v>
      </c>
      <c r="I63">
        <v>40</v>
      </c>
      <c r="J63">
        <v>7.5</v>
      </c>
      <c r="K63">
        <v>25603</v>
      </c>
      <c r="L63">
        <v>55.2</v>
      </c>
      <c r="M63">
        <v>8</v>
      </c>
      <c r="N63">
        <v>9.84</v>
      </c>
      <c r="O63">
        <v>21.7</v>
      </c>
    </row>
    <row r="64" spans="1:15">
      <c r="A64" t="s">
        <v>427</v>
      </c>
      <c r="B64" t="s">
        <v>387</v>
      </c>
      <c r="C64">
        <v>46</v>
      </c>
      <c r="D64">
        <v>1673</v>
      </c>
      <c r="E64" t="s">
        <v>362</v>
      </c>
      <c r="F64">
        <v>100</v>
      </c>
      <c r="G64">
        <v>4</v>
      </c>
      <c r="H64">
        <v>1066.8</v>
      </c>
      <c r="I64">
        <v>42</v>
      </c>
      <c r="J64">
        <v>8.3000000000000007</v>
      </c>
      <c r="K64">
        <v>28320.761999999999</v>
      </c>
      <c r="L64">
        <v>9.6</v>
      </c>
      <c r="M64">
        <v>1.4</v>
      </c>
      <c r="N64">
        <v>16.8</v>
      </c>
      <c r="O64">
        <v>36.96</v>
      </c>
    </row>
    <row r="65" spans="1:15">
      <c r="A65" t="s">
        <v>428</v>
      </c>
      <c r="B65" t="s">
        <v>387</v>
      </c>
      <c r="C65">
        <v>46</v>
      </c>
      <c r="D65">
        <v>1673</v>
      </c>
      <c r="E65" t="s">
        <v>362</v>
      </c>
      <c r="F65">
        <v>75</v>
      </c>
      <c r="G65">
        <v>3</v>
      </c>
      <c r="H65">
        <v>1219.2</v>
      </c>
      <c r="I65">
        <v>48</v>
      </c>
      <c r="J65">
        <v>8.1999999999999993</v>
      </c>
      <c r="K65">
        <v>27979.547999999999</v>
      </c>
      <c r="L65">
        <v>12.7</v>
      </c>
      <c r="M65">
        <v>1.8</v>
      </c>
      <c r="N65">
        <v>13</v>
      </c>
      <c r="O65">
        <v>28.6</v>
      </c>
    </row>
    <row r="66" spans="1:15">
      <c r="A66" t="s">
        <v>429</v>
      </c>
      <c r="B66" t="s">
        <v>361</v>
      </c>
      <c r="C66">
        <v>46.1</v>
      </c>
      <c r="D66">
        <v>1676</v>
      </c>
      <c r="E66" t="s">
        <v>362</v>
      </c>
      <c r="F66">
        <v>51</v>
      </c>
      <c r="G66">
        <v>2</v>
      </c>
      <c r="H66">
        <v>1525</v>
      </c>
      <c r="I66">
        <v>60</v>
      </c>
      <c r="J66">
        <v>8.5399999999999991</v>
      </c>
      <c r="K66">
        <v>29175.7</v>
      </c>
      <c r="L66">
        <v>9.3000000000000007</v>
      </c>
      <c r="M66">
        <v>1.4</v>
      </c>
      <c r="N66">
        <v>11.38</v>
      </c>
      <c r="O66">
        <v>25.09</v>
      </c>
    </row>
    <row r="67" spans="1:15">
      <c r="A67" t="s">
        <v>430</v>
      </c>
      <c r="B67" t="s">
        <v>361</v>
      </c>
      <c r="C67">
        <v>46.3</v>
      </c>
      <c r="D67">
        <v>1684</v>
      </c>
      <c r="E67" t="s">
        <v>362</v>
      </c>
      <c r="F67">
        <v>102</v>
      </c>
      <c r="G67">
        <v>4</v>
      </c>
      <c r="H67">
        <v>1170</v>
      </c>
      <c r="I67">
        <v>46</v>
      </c>
      <c r="J67">
        <v>8.58</v>
      </c>
      <c r="K67">
        <v>29302.3</v>
      </c>
      <c r="L67">
        <v>9.6</v>
      </c>
      <c r="M67">
        <v>1.4</v>
      </c>
      <c r="N67">
        <v>13.8</v>
      </c>
      <c r="O67">
        <v>30.43</v>
      </c>
    </row>
    <row r="68" spans="1:15">
      <c r="A68" t="s">
        <v>431</v>
      </c>
      <c r="B68" t="s">
        <v>361</v>
      </c>
      <c r="C68">
        <v>46.5</v>
      </c>
      <c r="D68">
        <v>1691</v>
      </c>
      <c r="E68" t="s">
        <v>362</v>
      </c>
      <c r="F68">
        <v>76</v>
      </c>
      <c r="G68">
        <v>3</v>
      </c>
      <c r="H68">
        <v>1600</v>
      </c>
      <c r="I68">
        <v>63</v>
      </c>
      <c r="J68">
        <v>8.6199999999999992</v>
      </c>
      <c r="K68">
        <v>29428.799999999999</v>
      </c>
      <c r="L68">
        <v>5.3</v>
      </c>
      <c r="M68">
        <v>0.8</v>
      </c>
      <c r="N68">
        <v>13.18</v>
      </c>
      <c r="O68">
        <v>29.05</v>
      </c>
    </row>
    <row r="69" spans="1:15">
      <c r="A69" t="s">
        <v>432</v>
      </c>
      <c r="B69" t="s">
        <v>361</v>
      </c>
      <c r="C69">
        <v>46.6</v>
      </c>
      <c r="D69">
        <v>1694</v>
      </c>
      <c r="E69" t="s">
        <v>362</v>
      </c>
      <c r="F69">
        <v>76</v>
      </c>
      <c r="G69">
        <v>3</v>
      </c>
      <c r="H69">
        <v>1220</v>
      </c>
      <c r="I69">
        <v>48</v>
      </c>
      <c r="J69">
        <v>8.64</v>
      </c>
      <c r="K69">
        <v>29492.1</v>
      </c>
      <c r="L69">
        <v>13.2</v>
      </c>
      <c r="M69">
        <v>1.9</v>
      </c>
      <c r="N69">
        <v>10.06</v>
      </c>
      <c r="O69">
        <v>22.18</v>
      </c>
    </row>
    <row r="70" spans="1:15">
      <c r="A70" t="s">
        <v>433</v>
      </c>
      <c r="B70" t="s">
        <v>399</v>
      </c>
      <c r="C70">
        <v>46.6</v>
      </c>
      <c r="D70">
        <v>1694</v>
      </c>
      <c r="E70" t="s">
        <v>362</v>
      </c>
      <c r="F70">
        <v>75</v>
      </c>
      <c r="G70">
        <v>3</v>
      </c>
      <c r="H70">
        <v>1219</v>
      </c>
      <c r="I70">
        <v>48</v>
      </c>
      <c r="J70">
        <v>8.6199999999999992</v>
      </c>
      <c r="K70">
        <v>29433.200000000001</v>
      </c>
      <c r="L70">
        <v>11</v>
      </c>
      <c r="M70">
        <v>1.6</v>
      </c>
      <c r="N70">
        <v>13</v>
      </c>
      <c r="O70">
        <v>28</v>
      </c>
    </row>
    <row r="71" spans="1:15">
      <c r="A71" t="s">
        <v>434</v>
      </c>
      <c r="B71" t="s">
        <v>387</v>
      </c>
      <c r="C71">
        <v>47</v>
      </c>
      <c r="D71">
        <v>1709</v>
      </c>
      <c r="E71" t="s">
        <v>362</v>
      </c>
      <c r="F71">
        <v>75</v>
      </c>
      <c r="G71">
        <v>3</v>
      </c>
      <c r="H71">
        <v>1270</v>
      </c>
      <c r="I71">
        <v>50</v>
      </c>
      <c r="J71">
        <v>8.4</v>
      </c>
      <c r="K71">
        <v>28661.975999999999</v>
      </c>
      <c r="L71">
        <v>13.3</v>
      </c>
      <c r="M71">
        <v>1.9</v>
      </c>
      <c r="N71">
        <v>13.4</v>
      </c>
      <c r="O71">
        <v>29.48</v>
      </c>
    </row>
    <row r="72" spans="1:15">
      <c r="A72" t="s">
        <v>435</v>
      </c>
      <c r="B72" t="s">
        <v>361</v>
      </c>
      <c r="C72">
        <v>47.1</v>
      </c>
      <c r="D72">
        <v>1713</v>
      </c>
      <c r="E72" t="s">
        <v>362</v>
      </c>
      <c r="F72">
        <v>51</v>
      </c>
      <c r="G72">
        <v>2</v>
      </c>
      <c r="H72">
        <v>1575</v>
      </c>
      <c r="I72">
        <v>62</v>
      </c>
      <c r="J72">
        <v>8.73</v>
      </c>
      <c r="K72">
        <v>29808.6</v>
      </c>
      <c r="L72">
        <v>9.6999999999999993</v>
      </c>
      <c r="M72">
        <v>1.4</v>
      </c>
      <c r="N72">
        <v>11.76</v>
      </c>
      <c r="O72">
        <v>25.93</v>
      </c>
    </row>
    <row r="73" spans="1:15">
      <c r="A73" t="s">
        <v>436</v>
      </c>
      <c r="B73" t="s">
        <v>361</v>
      </c>
      <c r="C73">
        <v>47.3</v>
      </c>
      <c r="D73">
        <v>1720</v>
      </c>
      <c r="E73" t="s">
        <v>362</v>
      </c>
      <c r="F73">
        <v>102</v>
      </c>
      <c r="G73">
        <v>4</v>
      </c>
      <c r="H73">
        <v>1675</v>
      </c>
      <c r="I73">
        <v>66</v>
      </c>
      <c r="J73">
        <v>8.77</v>
      </c>
      <c r="K73">
        <v>29935.1</v>
      </c>
      <c r="L73">
        <v>5.5</v>
      </c>
      <c r="M73">
        <v>0.8</v>
      </c>
      <c r="N73">
        <v>20.32</v>
      </c>
      <c r="O73">
        <v>44.8</v>
      </c>
    </row>
    <row r="74" spans="1:15">
      <c r="A74" t="s">
        <v>437</v>
      </c>
      <c r="B74" t="s">
        <v>361</v>
      </c>
      <c r="C74">
        <v>47.5</v>
      </c>
      <c r="D74">
        <v>1727</v>
      </c>
      <c r="E74" t="s">
        <v>362</v>
      </c>
      <c r="F74">
        <v>102</v>
      </c>
      <c r="G74">
        <v>4</v>
      </c>
      <c r="H74">
        <v>1220</v>
      </c>
      <c r="I74">
        <v>48</v>
      </c>
      <c r="J74">
        <v>8.8000000000000007</v>
      </c>
      <c r="K74">
        <v>30061.7</v>
      </c>
      <c r="L74">
        <v>10</v>
      </c>
      <c r="M74">
        <v>1.5</v>
      </c>
      <c r="N74">
        <v>14.39</v>
      </c>
      <c r="O74">
        <v>31.73</v>
      </c>
    </row>
    <row r="75" spans="1:15">
      <c r="A75" t="s">
        <v>438</v>
      </c>
      <c r="B75" t="s">
        <v>361</v>
      </c>
      <c r="C75">
        <v>47.8</v>
      </c>
      <c r="D75">
        <v>1738</v>
      </c>
      <c r="E75" t="s">
        <v>362</v>
      </c>
      <c r="F75">
        <v>76</v>
      </c>
      <c r="G75">
        <v>3</v>
      </c>
      <c r="H75">
        <v>1270</v>
      </c>
      <c r="I75">
        <v>50</v>
      </c>
      <c r="J75">
        <v>8.86</v>
      </c>
      <c r="K75">
        <v>30251.599999999999</v>
      </c>
      <c r="L75">
        <v>13.8</v>
      </c>
      <c r="M75">
        <v>2</v>
      </c>
      <c r="N75">
        <v>10.45</v>
      </c>
      <c r="O75">
        <v>23.04</v>
      </c>
    </row>
    <row r="76" spans="1:15">
      <c r="A76" t="s">
        <v>439</v>
      </c>
      <c r="B76" t="s">
        <v>387</v>
      </c>
      <c r="C76">
        <v>48</v>
      </c>
      <c r="D76">
        <v>1745</v>
      </c>
      <c r="E76" t="s">
        <v>362</v>
      </c>
      <c r="F76">
        <v>75</v>
      </c>
      <c r="G76">
        <v>3</v>
      </c>
      <c r="H76">
        <v>1320.8</v>
      </c>
      <c r="I76">
        <v>52</v>
      </c>
      <c r="J76">
        <v>8.6</v>
      </c>
      <c r="K76">
        <v>29344.403999999999</v>
      </c>
      <c r="L76">
        <v>13.9</v>
      </c>
      <c r="M76">
        <v>2</v>
      </c>
      <c r="N76">
        <v>14</v>
      </c>
      <c r="O76">
        <v>30.8</v>
      </c>
    </row>
    <row r="77" spans="1:15">
      <c r="A77" t="s">
        <v>440</v>
      </c>
      <c r="B77" t="s">
        <v>361</v>
      </c>
      <c r="C77">
        <v>48</v>
      </c>
      <c r="D77">
        <v>1745</v>
      </c>
      <c r="E77" t="s">
        <v>362</v>
      </c>
      <c r="F77">
        <v>76</v>
      </c>
      <c r="G77">
        <v>3</v>
      </c>
      <c r="H77">
        <v>1675</v>
      </c>
      <c r="I77">
        <v>66</v>
      </c>
      <c r="J77">
        <v>8.9</v>
      </c>
      <c r="K77">
        <v>30378.2</v>
      </c>
      <c r="L77">
        <v>5.6</v>
      </c>
      <c r="M77">
        <v>0.8</v>
      </c>
      <c r="N77">
        <v>13.76</v>
      </c>
      <c r="O77">
        <v>30.34</v>
      </c>
    </row>
    <row r="78" spans="1:15">
      <c r="A78" t="s">
        <v>441</v>
      </c>
      <c r="B78" t="s">
        <v>361</v>
      </c>
      <c r="C78">
        <v>48.1</v>
      </c>
      <c r="D78">
        <v>1749</v>
      </c>
      <c r="E78" t="s">
        <v>362</v>
      </c>
      <c r="F78">
        <v>51</v>
      </c>
      <c r="G78">
        <v>2</v>
      </c>
      <c r="H78">
        <v>1625</v>
      </c>
      <c r="I78">
        <v>64</v>
      </c>
      <c r="J78">
        <v>8.91</v>
      </c>
      <c r="K78">
        <v>30441.4</v>
      </c>
      <c r="L78">
        <v>10</v>
      </c>
      <c r="M78">
        <v>1.4</v>
      </c>
      <c r="N78">
        <v>12.15</v>
      </c>
      <c r="O78">
        <v>26.78</v>
      </c>
    </row>
    <row r="79" spans="1:15">
      <c r="A79" t="s">
        <v>442</v>
      </c>
      <c r="B79" t="s">
        <v>361</v>
      </c>
      <c r="C79">
        <v>48.7</v>
      </c>
      <c r="D79">
        <v>1771</v>
      </c>
      <c r="E79" t="s">
        <v>362</v>
      </c>
      <c r="F79">
        <v>102</v>
      </c>
      <c r="G79">
        <v>4</v>
      </c>
      <c r="H79">
        <v>1270</v>
      </c>
      <c r="I79">
        <v>50</v>
      </c>
      <c r="J79">
        <v>9.02</v>
      </c>
      <c r="K79">
        <v>30821.200000000001</v>
      </c>
      <c r="L79">
        <v>10.4</v>
      </c>
      <c r="M79">
        <v>1.5</v>
      </c>
      <c r="N79">
        <v>14.98</v>
      </c>
      <c r="O79">
        <v>33.03</v>
      </c>
    </row>
    <row r="80" spans="1:15">
      <c r="A80" t="s">
        <v>443</v>
      </c>
      <c r="B80" t="s">
        <v>387</v>
      </c>
      <c r="C80">
        <v>48.9</v>
      </c>
      <c r="D80">
        <v>1778</v>
      </c>
      <c r="E80" t="s">
        <v>362</v>
      </c>
      <c r="F80">
        <v>75</v>
      </c>
      <c r="G80">
        <v>3</v>
      </c>
      <c r="H80">
        <v>1371.6</v>
      </c>
      <c r="I80">
        <v>54</v>
      </c>
      <c r="J80">
        <v>8.8000000000000007</v>
      </c>
      <c r="K80">
        <v>30026.831999999999</v>
      </c>
      <c r="L80">
        <v>14.5</v>
      </c>
      <c r="M80">
        <v>2.1</v>
      </c>
      <c r="N80">
        <v>14.6</v>
      </c>
      <c r="O80">
        <v>32.119999999999997</v>
      </c>
    </row>
    <row r="81" spans="1:15">
      <c r="A81" t="s">
        <v>444</v>
      </c>
      <c r="B81" t="s">
        <v>387</v>
      </c>
      <c r="C81">
        <v>49</v>
      </c>
      <c r="D81">
        <v>1782</v>
      </c>
      <c r="E81" t="s">
        <v>388</v>
      </c>
      <c r="F81">
        <v>75</v>
      </c>
      <c r="G81">
        <v>3</v>
      </c>
      <c r="H81">
        <v>1524</v>
      </c>
      <c r="I81">
        <v>60</v>
      </c>
      <c r="J81">
        <v>9.56</v>
      </c>
      <c r="K81">
        <v>32636</v>
      </c>
      <c r="L81">
        <v>14.5</v>
      </c>
      <c r="M81">
        <v>2.1</v>
      </c>
      <c r="N81">
        <v>14.8</v>
      </c>
      <c r="O81">
        <v>32.6</v>
      </c>
    </row>
    <row r="82" spans="1:15">
      <c r="A82" t="s">
        <v>445</v>
      </c>
      <c r="B82" t="s">
        <v>361</v>
      </c>
      <c r="C82">
        <v>49</v>
      </c>
      <c r="D82">
        <v>1782</v>
      </c>
      <c r="E82" t="s">
        <v>362</v>
      </c>
      <c r="F82">
        <v>76</v>
      </c>
      <c r="G82">
        <v>3</v>
      </c>
      <c r="H82">
        <v>1320</v>
      </c>
      <c r="I82">
        <v>52</v>
      </c>
      <c r="J82">
        <v>9.08</v>
      </c>
      <c r="K82">
        <v>31011</v>
      </c>
      <c r="L82">
        <v>14.3</v>
      </c>
      <c r="M82">
        <v>2.1</v>
      </c>
      <c r="N82">
        <v>10.84</v>
      </c>
      <c r="O82">
        <v>23.9</v>
      </c>
    </row>
    <row r="83" spans="1:15">
      <c r="A83" t="s">
        <v>446</v>
      </c>
      <c r="B83" t="s">
        <v>361</v>
      </c>
      <c r="C83">
        <v>49.1</v>
      </c>
      <c r="D83">
        <v>1785</v>
      </c>
      <c r="E83" t="s">
        <v>362</v>
      </c>
      <c r="F83">
        <v>51</v>
      </c>
      <c r="G83">
        <v>2</v>
      </c>
      <c r="H83">
        <v>1675</v>
      </c>
      <c r="I83">
        <v>66</v>
      </c>
      <c r="J83">
        <v>9.1</v>
      </c>
      <c r="K83">
        <v>31074.3</v>
      </c>
      <c r="L83">
        <v>10.3</v>
      </c>
      <c r="M83">
        <v>1.5</v>
      </c>
      <c r="N83">
        <v>12.53</v>
      </c>
      <c r="O83">
        <v>27.62</v>
      </c>
    </row>
    <row r="84" spans="1:15">
      <c r="A84" t="s">
        <v>447</v>
      </c>
      <c r="B84" t="s">
        <v>361</v>
      </c>
      <c r="C84">
        <v>49.1</v>
      </c>
      <c r="D84">
        <v>1785</v>
      </c>
      <c r="E84" t="s">
        <v>362</v>
      </c>
      <c r="F84">
        <v>102</v>
      </c>
      <c r="G84">
        <v>4</v>
      </c>
      <c r="H84">
        <v>1755</v>
      </c>
      <c r="I84">
        <v>69</v>
      </c>
      <c r="J84">
        <v>9.1</v>
      </c>
      <c r="K84">
        <v>31074.3</v>
      </c>
      <c r="L84">
        <v>5.7</v>
      </c>
      <c r="M84">
        <v>0.8</v>
      </c>
      <c r="N84">
        <v>21.24</v>
      </c>
      <c r="O84">
        <v>46.82</v>
      </c>
    </row>
    <row r="85" spans="1:15">
      <c r="A85" t="s">
        <v>448</v>
      </c>
      <c r="B85" t="s">
        <v>361</v>
      </c>
      <c r="C85">
        <v>49.5</v>
      </c>
      <c r="D85">
        <v>1800</v>
      </c>
      <c r="E85" t="s">
        <v>362</v>
      </c>
      <c r="F85">
        <v>76</v>
      </c>
      <c r="G85">
        <v>3</v>
      </c>
      <c r="H85">
        <v>1755</v>
      </c>
      <c r="I85">
        <v>69</v>
      </c>
      <c r="J85">
        <v>9.17</v>
      </c>
      <c r="K85">
        <v>31327.5</v>
      </c>
      <c r="L85">
        <v>5.9</v>
      </c>
      <c r="M85">
        <v>0.9</v>
      </c>
      <c r="N85">
        <v>14.35</v>
      </c>
      <c r="O85">
        <v>31.63</v>
      </c>
    </row>
    <row r="86" spans="1:15">
      <c r="A86" t="s">
        <v>449</v>
      </c>
      <c r="B86" t="s">
        <v>387</v>
      </c>
      <c r="C86">
        <v>49.8</v>
      </c>
      <c r="D86">
        <v>1811</v>
      </c>
      <c r="E86" t="s">
        <v>362</v>
      </c>
      <c r="F86">
        <v>75</v>
      </c>
      <c r="G86">
        <v>3</v>
      </c>
      <c r="H86">
        <v>1422.4</v>
      </c>
      <c r="I86">
        <v>56</v>
      </c>
      <c r="J86">
        <v>8.9</v>
      </c>
      <c r="K86">
        <v>30368.045999999998</v>
      </c>
      <c r="L86">
        <v>15</v>
      </c>
      <c r="M86">
        <v>2.2000000000000002</v>
      </c>
      <c r="N86">
        <v>15.2</v>
      </c>
      <c r="O86">
        <v>33.44</v>
      </c>
    </row>
    <row r="87" spans="1:15">
      <c r="A87" t="s">
        <v>450</v>
      </c>
      <c r="B87" t="s">
        <v>361</v>
      </c>
      <c r="C87">
        <v>49.8</v>
      </c>
      <c r="D87">
        <v>1811</v>
      </c>
      <c r="E87" t="s">
        <v>362</v>
      </c>
      <c r="F87">
        <v>102</v>
      </c>
      <c r="G87">
        <v>4</v>
      </c>
      <c r="H87">
        <v>1320</v>
      </c>
      <c r="I87">
        <v>52</v>
      </c>
      <c r="J87">
        <v>9.23</v>
      </c>
      <c r="K87">
        <v>31517.3</v>
      </c>
      <c r="L87">
        <v>10.8</v>
      </c>
      <c r="M87">
        <v>1.6</v>
      </c>
      <c r="N87">
        <v>15.57</v>
      </c>
      <c r="O87">
        <v>34.33</v>
      </c>
    </row>
    <row r="88" spans="1:15">
      <c r="A88" t="s">
        <v>451</v>
      </c>
      <c r="B88" t="s">
        <v>361</v>
      </c>
      <c r="C88">
        <v>50</v>
      </c>
      <c r="D88">
        <v>1818</v>
      </c>
      <c r="E88" t="s">
        <v>362</v>
      </c>
      <c r="F88">
        <v>51</v>
      </c>
      <c r="G88">
        <v>2</v>
      </c>
      <c r="H88">
        <v>1725</v>
      </c>
      <c r="I88">
        <v>68</v>
      </c>
      <c r="J88">
        <v>9.27</v>
      </c>
      <c r="K88">
        <v>31643.9</v>
      </c>
      <c r="L88">
        <v>10.6</v>
      </c>
      <c r="M88">
        <v>1.5</v>
      </c>
      <c r="N88">
        <v>12.91</v>
      </c>
      <c r="O88">
        <v>28.46</v>
      </c>
    </row>
    <row r="89" spans="1:15">
      <c r="A89" t="s">
        <v>452</v>
      </c>
      <c r="B89" t="s">
        <v>361</v>
      </c>
      <c r="C89">
        <v>50.1</v>
      </c>
      <c r="D89">
        <v>1822</v>
      </c>
      <c r="E89" t="s">
        <v>362</v>
      </c>
      <c r="F89">
        <v>76</v>
      </c>
      <c r="G89">
        <v>3</v>
      </c>
      <c r="H89">
        <v>1370</v>
      </c>
      <c r="I89">
        <v>54</v>
      </c>
      <c r="J89">
        <v>9.2799999999999994</v>
      </c>
      <c r="K89">
        <v>31707.200000000001</v>
      </c>
      <c r="L89">
        <v>14.9</v>
      </c>
      <c r="M89">
        <v>2.2000000000000002</v>
      </c>
      <c r="N89">
        <v>11.23</v>
      </c>
      <c r="O89">
        <v>24.77</v>
      </c>
    </row>
    <row r="90" spans="1:15">
      <c r="A90" t="s">
        <v>453</v>
      </c>
      <c r="B90" t="s">
        <v>387</v>
      </c>
      <c r="C90">
        <v>50.7</v>
      </c>
      <c r="D90">
        <v>1844</v>
      </c>
      <c r="E90" t="s">
        <v>362</v>
      </c>
      <c r="F90">
        <v>75</v>
      </c>
      <c r="G90">
        <v>3</v>
      </c>
      <c r="H90">
        <v>1473.2</v>
      </c>
      <c r="I90">
        <v>58</v>
      </c>
      <c r="J90">
        <v>9.1</v>
      </c>
      <c r="K90">
        <v>31050.473999999998</v>
      </c>
      <c r="L90">
        <v>15.6</v>
      </c>
      <c r="M90">
        <v>2.2999999999999998</v>
      </c>
      <c r="N90">
        <v>15.8</v>
      </c>
      <c r="O90">
        <v>34.76</v>
      </c>
    </row>
    <row r="91" spans="1:15">
      <c r="A91" t="s">
        <v>454</v>
      </c>
      <c r="B91" t="s">
        <v>361</v>
      </c>
      <c r="C91">
        <v>50.8</v>
      </c>
      <c r="D91">
        <v>1847</v>
      </c>
      <c r="E91" t="s">
        <v>362</v>
      </c>
      <c r="F91">
        <v>51</v>
      </c>
      <c r="G91">
        <v>2</v>
      </c>
      <c r="H91">
        <v>1780</v>
      </c>
      <c r="I91">
        <v>70</v>
      </c>
      <c r="J91">
        <v>9.41</v>
      </c>
      <c r="K91">
        <v>32150.2</v>
      </c>
      <c r="L91">
        <v>10.9</v>
      </c>
      <c r="M91">
        <v>1.6</v>
      </c>
      <c r="N91">
        <v>13.29</v>
      </c>
      <c r="O91">
        <v>29.31</v>
      </c>
    </row>
    <row r="92" spans="1:15">
      <c r="A92" t="s">
        <v>455</v>
      </c>
      <c r="B92" t="s">
        <v>361</v>
      </c>
      <c r="C92">
        <v>50.8</v>
      </c>
      <c r="D92">
        <v>1847</v>
      </c>
      <c r="E92" t="s">
        <v>362</v>
      </c>
      <c r="F92">
        <v>102</v>
      </c>
      <c r="G92">
        <v>4</v>
      </c>
      <c r="H92">
        <v>1830</v>
      </c>
      <c r="I92">
        <v>72</v>
      </c>
      <c r="J92">
        <v>9.41</v>
      </c>
      <c r="K92">
        <v>32150.2</v>
      </c>
      <c r="L92">
        <v>5.9</v>
      </c>
      <c r="M92">
        <v>0.9</v>
      </c>
      <c r="N92">
        <v>22.15</v>
      </c>
      <c r="O92">
        <v>48.83</v>
      </c>
    </row>
    <row r="93" spans="1:15">
      <c r="A93" t="s">
        <v>456</v>
      </c>
      <c r="B93" t="s">
        <v>361</v>
      </c>
      <c r="C93">
        <v>50.8</v>
      </c>
      <c r="D93">
        <v>1847</v>
      </c>
      <c r="E93" t="s">
        <v>362</v>
      </c>
      <c r="F93">
        <v>76</v>
      </c>
      <c r="G93">
        <v>3</v>
      </c>
      <c r="H93">
        <v>1830</v>
      </c>
      <c r="I93">
        <v>72</v>
      </c>
      <c r="J93">
        <v>9.41</v>
      </c>
      <c r="K93">
        <v>32150.2</v>
      </c>
      <c r="L93">
        <v>6.2</v>
      </c>
      <c r="M93">
        <v>0.9</v>
      </c>
      <c r="N93">
        <v>14.93</v>
      </c>
      <c r="O93">
        <v>32.909999999999997</v>
      </c>
    </row>
    <row r="94" spans="1:15">
      <c r="A94" t="s">
        <v>457</v>
      </c>
      <c r="B94" t="s">
        <v>387</v>
      </c>
      <c r="C94">
        <v>51</v>
      </c>
      <c r="D94">
        <v>1854</v>
      </c>
      <c r="E94" t="s">
        <v>388</v>
      </c>
      <c r="F94">
        <v>102</v>
      </c>
      <c r="G94">
        <v>4</v>
      </c>
      <c r="H94">
        <v>1016</v>
      </c>
      <c r="I94">
        <v>60</v>
      </c>
      <c r="J94">
        <v>9.81</v>
      </c>
      <c r="K94">
        <v>33481</v>
      </c>
      <c r="L94">
        <v>17.399999999999999</v>
      </c>
      <c r="M94">
        <v>2.5</v>
      </c>
      <c r="N94">
        <v>20.6</v>
      </c>
      <c r="O94">
        <v>45.4</v>
      </c>
    </row>
    <row r="95" spans="1:15">
      <c r="A95" t="s">
        <v>458</v>
      </c>
      <c r="B95" t="s">
        <v>361</v>
      </c>
      <c r="C95">
        <v>51</v>
      </c>
      <c r="D95">
        <v>1854</v>
      </c>
      <c r="E95" t="s">
        <v>362</v>
      </c>
      <c r="F95">
        <v>102</v>
      </c>
      <c r="G95">
        <v>4</v>
      </c>
      <c r="H95">
        <v>1370</v>
      </c>
      <c r="I95">
        <v>54</v>
      </c>
      <c r="J95">
        <v>9.4499999999999993</v>
      </c>
      <c r="K95">
        <v>32276.799999999999</v>
      </c>
      <c r="L95">
        <v>11.2</v>
      </c>
      <c r="M95">
        <v>1.6</v>
      </c>
      <c r="N95">
        <v>16.16</v>
      </c>
      <c r="O95">
        <v>35.630000000000003</v>
      </c>
    </row>
    <row r="96" spans="1:15">
      <c r="A96" t="s">
        <v>459</v>
      </c>
      <c r="B96" t="s">
        <v>361</v>
      </c>
      <c r="C96">
        <v>51.2</v>
      </c>
      <c r="D96">
        <v>1862</v>
      </c>
      <c r="E96" t="s">
        <v>362</v>
      </c>
      <c r="F96">
        <v>76</v>
      </c>
      <c r="G96">
        <v>3</v>
      </c>
      <c r="H96">
        <v>1420</v>
      </c>
      <c r="I96">
        <v>56</v>
      </c>
      <c r="J96">
        <v>9.49</v>
      </c>
      <c r="K96">
        <v>32403.4</v>
      </c>
      <c r="L96">
        <v>15.4</v>
      </c>
      <c r="M96">
        <v>2.2000000000000002</v>
      </c>
      <c r="N96">
        <v>11.63</v>
      </c>
      <c r="O96">
        <v>25.63</v>
      </c>
    </row>
    <row r="97" spans="1:15">
      <c r="A97" t="s">
        <v>460</v>
      </c>
      <c r="B97" t="s">
        <v>399</v>
      </c>
      <c r="C97">
        <v>51.4</v>
      </c>
      <c r="D97">
        <v>1869</v>
      </c>
      <c r="E97" t="s">
        <v>362</v>
      </c>
      <c r="F97">
        <v>75</v>
      </c>
      <c r="G97">
        <v>3</v>
      </c>
      <c r="H97">
        <v>1520</v>
      </c>
      <c r="I97">
        <v>60</v>
      </c>
      <c r="J97">
        <v>9.56</v>
      </c>
      <c r="K97">
        <v>32648.1</v>
      </c>
      <c r="L97">
        <v>15</v>
      </c>
      <c r="M97">
        <v>2.09</v>
      </c>
      <c r="N97">
        <v>16.5</v>
      </c>
      <c r="O97">
        <v>36</v>
      </c>
    </row>
    <row r="98" spans="1:15">
      <c r="A98" t="s">
        <v>461</v>
      </c>
      <c r="B98" t="s">
        <v>387</v>
      </c>
      <c r="C98">
        <v>51.5</v>
      </c>
      <c r="D98">
        <v>1873</v>
      </c>
      <c r="E98" t="s">
        <v>362</v>
      </c>
      <c r="F98">
        <v>75</v>
      </c>
      <c r="G98">
        <v>3</v>
      </c>
      <c r="H98">
        <v>1524</v>
      </c>
      <c r="I98">
        <v>60</v>
      </c>
      <c r="J98">
        <v>9.1999999999999993</v>
      </c>
      <c r="K98">
        <v>31391.687999999998</v>
      </c>
      <c r="L98">
        <v>16.2</v>
      </c>
      <c r="M98">
        <v>2.2999999999999998</v>
      </c>
      <c r="N98">
        <v>16.5</v>
      </c>
      <c r="O98">
        <v>36.299999999999997</v>
      </c>
    </row>
    <row r="99" spans="1:15">
      <c r="A99" t="s">
        <v>462</v>
      </c>
      <c r="B99" t="s">
        <v>361</v>
      </c>
      <c r="C99">
        <v>51.7</v>
      </c>
      <c r="D99">
        <v>1880</v>
      </c>
      <c r="E99" t="s">
        <v>362</v>
      </c>
      <c r="F99">
        <v>51</v>
      </c>
      <c r="G99">
        <v>2</v>
      </c>
      <c r="H99">
        <v>1830</v>
      </c>
      <c r="I99">
        <v>72</v>
      </c>
      <c r="J99">
        <v>9.58</v>
      </c>
      <c r="K99">
        <v>32719.8</v>
      </c>
      <c r="L99">
        <v>11.2</v>
      </c>
      <c r="M99">
        <v>1.6</v>
      </c>
      <c r="N99">
        <v>13.68</v>
      </c>
      <c r="O99">
        <v>30.15</v>
      </c>
    </row>
    <row r="100" spans="1:15">
      <c r="A100" t="s">
        <v>463</v>
      </c>
      <c r="B100" t="s">
        <v>361</v>
      </c>
      <c r="C100">
        <v>52.1</v>
      </c>
      <c r="D100">
        <v>1894</v>
      </c>
      <c r="E100" t="s">
        <v>362</v>
      </c>
      <c r="F100">
        <v>76</v>
      </c>
      <c r="G100">
        <v>3</v>
      </c>
      <c r="H100">
        <v>1905</v>
      </c>
      <c r="I100">
        <v>75</v>
      </c>
      <c r="J100">
        <v>9.65</v>
      </c>
      <c r="K100">
        <v>32973</v>
      </c>
      <c r="L100">
        <v>6.4</v>
      </c>
      <c r="M100">
        <v>0.9</v>
      </c>
      <c r="N100">
        <v>15.51</v>
      </c>
      <c r="O100">
        <v>34.200000000000003</v>
      </c>
    </row>
    <row r="101" spans="1:15">
      <c r="A101" t="s">
        <v>464</v>
      </c>
      <c r="B101" t="s">
        <v>361</v>
      </c>
      <c r="C101">
        <v>52.1</v>
      </c>
      <c r="D101">
        <v>1894</v>
      </c>
      <c r="E101" t="s">
        <v>362</v>
      </c>
      <c r="F101">
        <v>102</v>
      </c>
      <c r="G101">
        <v>4</v>
      </c>
      <c r="H101">
        <v>1420</v>
      </c>
      <c r="I101">
        <v>56</v>
      </c>
      <c r="J101">
        <v>9.65</v>
      </c>
      <c r="K101">
        <v>32973</v>
      </c>
      <c r="L101">
        <v>11.5</v>
      </c>
      <c r="M101">
        <v>1.7</v>
      </c>
      <c r="N101">
        <v>16.75</v>
      </c>
      <c r="O101">
        <v>36.93</v>
      </c>
    </row>
    <row r="102" spans="1:15">
      <c r="A102" t="s">
        <v>465</v>
      </c>
      <c r="B102" t="s">
        <v>361</v>
      </c>
      <c r="C102">
        <v>52.2</v>
      </c>
      <c r="D102">
        <v>1898</v>
      </c>
      <c r="E102" t="s">
        <v>362</v>
      </c>
      <c r="F102">
        <v>76</v>
      </c>
      <c r="G102">
        <v>3</v>
      </c>
      <c r="H102">
        <v>1475</v>
      </c>
      <c r="I102">
        <v>58</v>
      </c>
      <c r="J102">
        <v>9.67</v>
      </c>
      <c r="K102">
        <v>33036.199999999997</v>
      </c>
      <c r="L102">
        <v>16</v>
      </c>
      <c r="M102">
        <v>2.2999999999999998</v>
      </c>
      <c r="N102">
        <v>12.02</v>
      </c>
      <c r="O102">
        <v>26.49</v>
      </c>
    </row>
    <row r="103" spans="1:15">
      <c r="A103" t="s">
        <v>466</v>
      </c>
      <c r="B103" t="s">
        <v>387</v>
      </c>
      <c r="C103">
        <v>52.3</v>
      </c>
      <c r="D103">
        <v>1902</v>
      </c>
      <c r="E103" t="s">
        <v>362</v>
      </c>
      <c r="F103">
        <v>75</v>
      </c>
      <c r="G103">
        <v>3</v>
      </c>
      <c r="H103">
        <v>1574.8</v>
      </c>
      <c r="I103">
        <v>62</v>
      </c>
      <c r="J103">
        <v>9.4</v>
      </c>
      <c r="K103">
        <v>32074.116000000002</v>
      </c>
      <c r="L103">
        <v>16.7</v>
      </c>
      <c r="M103">
        <v>2.4</v>
      </c>
      <c r="N103">
        <v>17</v>
      </c>
      <c r="O103">
        <v>37.4</v>
      </c>
    </row>
    <row r="104" spans="1:15">
      <c r="A104" t="s">
        <v>467</v>
      </c>
      <c r="B104" t="s">
        <v>361</v>
      </c>
      <c r="C104">
        <v>52.4</v>
      </c>
      <c r="D104">
        <v>1905</v>
      </c>
      <c r="E104" t="s">
        <v>362</v>
      </c>
      <c r="F104">
        <v>102</v>
      </c>
      <c r="G104">
        <v>4</v>
      </c>
      <c r="H104">
        <v>1905</v>
      </c>
      <c r="I104">
        <v>75</v>
      </c>
      <c r="J104">
        <v>9.7100000000000009</v>
      </c>
      <c r="K104">
        <v>33162.800000000003</v>
      </c>
      <c r="L104">
        <v>6.1</v>
      </c>
      <c r="M104">
        <v>0.9</v>
      </c>
      <c r="N104">
        <v>23.06</v>
      </c>
      <c r="O104">
        <v>50.85</v>
      </c>
    </row>
    <row r="105" spans="1:15">
      <c r="A105" t="s">
        <v>468</v>
      </c>
      <c r="B105" t="s">
        <v>361</v>
      </c>
      <c r="C105">
        <v>52.5</v>
      </c>
      <c r="D105">
        <v>1909</v>
      </c>
      <c r="E105" t="s">
        <v>362</v>
      </c>
      <c r="F105">
        <v>51</v>
      </c>
      <c r="G105">
        <v>2</v>
      </c>
      <c r="H105">
        <v>1880</v>
      </c>
      <c r="I105">
        <v>74</v>
      </c>
      <c r="J105">
        <v>9.73</v>
      </c>
      <c r="K105">
        <v>33226.1</v>
      </c>
      <c r="L105">
        <v>11.5</v>
      </c>
      <c r="M105">
        <v>1.7</v>
      </c>
      <c r="N105">
        <v>14.06</v>
      </c>
      <c r="O105">
        <v>31</v>
      </c>
    </row>
    <row r="106" spans="1:15">
      <c r="A106" t="s">
        <v>469</v>
      </c>
      <c r="B106" t="s">
        <v>387</v>
      </c>
      <c r="C106">
        <v>53</v>
      </c>
      <c r="D106">
        <v>1927</v>
      </c>
      <c r="E106" t="s">
        <v>362</v>
      </c>
      <c r="F106">
        <v>75</v>
      </c>
      <c r="G106">
        <v>3</v>
      </c>
      <c r="H106">
        <v>1625.6</v>
      </c>
      <c r="I106">
        <v>64</v>
      </c>
      <c r="J106">
        <v>9.5</v>
      </c>
      <c r="K106">
        <v>32415.33</v>
      </c>
      <c r="L106">
        <v>17.3</v>
      </c>
      <c r="M106">
        <v>2.5</v>
      </c>
      <c r="N106">
        <v>17.7</v>
      </c>
      <c r="O106">
        <v>38.94</v>
      </c>
    </row>
    <row r="107" spans="1:15">
      <c r="A107" t="s">
        <v>470</v>
      </c>
      <c r="B107" t="s">
        <v>361</v>
      </c>
      <c r="C107">
        <v>53.2</v>
      </c>
      <c r="D107">
        <v>1934</v>
      </c>
      <c r="E107" t="s">
        <v>362</v>
      </c>
      <c r="F107">
        <v>51</v>
      </c>
      <c r="G107">
        <v>2</v>
      </c>
      <c r="H107">
        <v>1930</v>
      </c>
      <c r="I107">
        <v>76</v>
      </c>
      <c r="J107">
        <v>9.86</v>
      </c>
      <c r="K107">
        <v>33669.1</v>
      </c>
      <c r="L107">
        <v>11.8</v>
      </c>
      <c r="M107">
        <v>1.7</v>
      </c>
      <c r="N107">
        <v>14.44</v>
      </c>
      <c r="O107">
        <v>31.84</v>
      </c>
    </row>
    <row r="108" spans="1:15">
      <c r="A108" t="s">
        <v>471</v>
      </c>
      <c r="B108" t="s">
        <v>361</v>
      </c>
      <c r="C108">
        <v>53.2</v>
      </c>
      <c r="D108">
        <v>1934</v>
      </c>
      <c r="E108" t="s">
        <v>362</v>
      </c>
      <c r="F108">
        <v>102</v>
      </c>
      <c r="G108">
        <v>4</v>
      </c>
      <c r="H108">
        <v>1475</v>
      </c>
      <c r="I108">
        <v>58</v>
      </c>
      <c r="J108">
        <v>9.86</v>
      </c>
      <c r="K108">
        <v>33669.1</v>
      </c>
      <c r="L108">
        <v>11.9</v>
      </c>
      <c r="M108">
        <v>1.7</v>
      </c>
      <c r="N108">
        <v>17.34</v>
      </c>
      <c r="O108">
        <v>38.229999999999997</v>
      </c>
    </row>
    <row r="109" spans="1:15">
      <c r="A109" t="s">
        <v>472</v>
      </c>
      <c r="B109" t="s">
        <v>361</v>
      </c>
      <c r="C109">
        <v>53.3</v>
      </c>
      <c r="D109">
        <v>1938</v>
      </c>
      <c r="E109" t="s">
        <v>362</v>
      </c>
      <c r="F109">
        <v>76</v>
      </c>
      <c r="G109">
        <v>3</v>
      </c>
      <c r="H109">
        <v>1525</v>
      </c>
      <c r="I109">
        <v>60</v>
      </c>
      <c r="J109">
        <v>9.8800000000000008</v>
      </c>
      <c r="K109">
        <v>33732.400000000001</v>
      </c>
      <c r="L109">
        <v>16.5</v>
      </c>
      <c r="M109">
        <v>2.4</v>
      </c>
      <c r="N109">
        <v>12.41</v>
      </c>
      <c r="O109">
        <v>27.36</v>
      </c>
    </row>
    <row r="110" spans="1:15">
      <c r="A110" t="s">
        <v>473</v>
      </c>
      <c r="B110" t="s">
        <v>361</v>
      </c>
      <c r="C110">
        <v>53.3</v>
      </c>
      <c r="D110">
        <v>1938</v>
      </c>
      <c r="E110" t="s">
        <v>362</v>
      </c>
      <c r="F110">
        <v>76</v>
      </c>
      <c r="G110">
        <v>3</v>
      </c>
      <c r="H110">
        <v>1980</v>
      </c>
      <c r="I110">
        <v>78</v>
      </c>
      <c r="J110">
        <v>9.8800000000000008</v>
      </c>
      <c r="K110">
        <v>33732.400000000001</v>
      </c>
      <c r="L110">
        <v>6.7</v>
      </c>
      <c r="M110">
        <v>1</v>
      </c>
      <c r="N110">
        <v>16.100000000000001</v>
      </c>
      <c r="O110">
        <v>35.49</v>
      </c>
    </row>
    <row r="111" spans="1:15">
      <c r="A111" t="s">
        <v>474</v>
      </c>
      <c r="B111" t="s">
        <v>387</v>
      </c>
      <c r="C111">
        <v>53.7</v>
      </c>
      <c r="D111">
        <v>1953</v>
      </c>
      <c r="E111" t="s">
        <v>362</v>
      </c>
      <c r="F111">
        <v>75</v>
      </c>
      <c r="G111">
        <v>3</v>
      </c>
      <c r="H111">
        <v>1676.4</v>
      </c>
      <c r="I111">
        <v>66</v>
      </c>
      <c r="J111">
        <v>9.6</v>
      </c>
      <c r="K111">
        <v>32756.544000000002</v>
      </c>
      <c r="L111">
        <v>17.8</v>
      </c>
      <c r="M111">
        <v>2.6</v>
      </c>
      <c r="N111">
        <v>18.3</v>
      </c>
      <c r="O111">
        <v>40.26</v>
      </c>
    </row>
    <row r="112" spans="1:15">
      <c r="A112" t="s">
        <v>475</v>
      </c>
      <c r="B112" t="s">
        <v>361</v>
      </c>
      <c r="C112">
        <v>53.9</v>
      </c>
      <c r="D112">
        <v>1960</v>
      </c>
      <c r="E112" t="s">
        <v>362</v>
      </c>
      <c r="F112">
        <v>102</v>
      </c>
      <c r="G112">
        <v>4</v>
      </c>
      <c r="H112">
        <v>1980</v>
      </c>
      <c r="I112">
        <v>78</v>
      </c>
      <c r="J112">
        <v>9.99</v>
      </c>
      <c r="K112">
        <v>34112.1</v>
      </c>
      <c r="L112">
        <v>6.3</v>
      </c>
      <c r="M112">
        <v>0.9</v>
      </c>
      <c r="N112">
        <v>23.98</v>
      </c>
      <c r="O112">
        <v>52.86</v>
      </c>
    </row>
    <row r="113" spans="1:15">
      <c r="A113" t="s">
        <v>476</v>
      </c>
      <c r="B113" t="s">
        <v>361</v>
      </c>
      <c r="C113">
        <v>53.9</v>
      </c>
      <c r="D113">
        <v>1960</v>
      </c>
      <c r="E113" t="s">
        <v>362</v>
      </c>
      <c r="F113">
        <v>51</v>
      </c>
      <c r="G113">
        <v>2</v>
      </c>
      <c r="H113">
        <v>1980</v>
      </c>
      <c r="I113">
        <v>78</v>
      </c>
      <c r="J113">
        <v>9.99</v>
      </c>
      <c r="K113">
        <v>34112.1</v>
      </c>
      <c r="L113">
        <v>12.1</v>
      </c>
      <c r="M113">
        <v>1.8</v>
      </c>
      <c r="N113">
        <v>14.83</v>
      </c>
      <c r="O113">
        <v>32.68</v>
      </c>
    </row>
    <row r="114" spans="1:15">
      <c r="A114" t="s">
        <v>477</v>
      </c>
      <c r="B114" t="s">
        <v>361</v>
      </c>
      <c r="C114">
        <v>54.2</v>
      </c>
      <c r="D114">
        <v>1971</v>
      </c>
      <c r="E114" t="s">
        <v>362</v>
      </c>
      <c r="F114">
        <v>102</v>
      </c>
      <c r="G114">
        <v>4</v>
      </c>
      <c r="H114">
        <v>1525</v>
      </c>
      <c r="I114">
        <v>60</v>
      </c>
      <c r="J114">
        <v>10.039999999999999</v>
      </c>
      <c r="K114">
        <v>34302</v>
      </c>
      <c r="L114">
        <v>12.3</v>
      </c>
      <c r="M114">
        <v>1.8</v>
      </c>
      <c r="N114">
        <v>17.93</v>
      </c>
      <c r="O114">
        <v>39.53</v>
      </c>
    </row>
    <row r="115" spans="1:15">
      <c r="A115" t="s">
        <v>478</v>
      </c>
      <c r="B115" t="s">
        <v>361</v>
      </c>
      <c r="C115">
        <v>54.3</v>
      </c>
      <c r="D115">
        <v>1974</v>
      </c>
      <c r="E115" t="s">
        <v>362</v>
      </c>
      <c r="F115">
        <v>76</v>
      </c>
      <c r="G115">
        <v>3</v>
      </c>
      <c r="H115">
        <v>1575</v>
      </c>
      <c r="I115">
        <v>62</v>
      </c>
      <c r="J115">
        <v>10.06</v>
      </c>
      <c r="K115">
        <v>34365.300000000003</v>
      </c>
      <c r="L115">
        <v>17.100000000000001</v>
      </c>
      <c r="M115">
        <v>2.5</v>
      </c>
      <c r="N115">
        <v>12.8</v>
      </c>
      <c r="O115">
        <v>28.22</v>
      </c>
    </row>
    <row r="116" spans="1:15">
      <c r="A116" t="s">
        <v>479</v>
      </c>
      <c r="B116" t="s">
        <v>387</v>
      </c>
      <c r="C116">
        <v>54.4</v>
      </c>
      <c r="D116">
        <v>1978</v>
      </c>
      <c r="E116" t="s">
        <v>362</v>
      </c>
      <c r="F116">
        <v>75</v>
      </c>
      <c r="G116">
        <v>3</v>
      </c>
      <c r="H116">
        <v>1727.2</v>
      </c>
      <c r="I116">
        <v>68</v>
      </c>
      <c r="J116">
        <v>9.6999999999999993</v>
      </c>
      <c r="K116">
        <v>33097.758000000002</v>
      </c>
      <c r="L116">
        <v>18.399999999999999</v>
      </c>
      <c r="M116">
        <v>2.7</v>
      </c>
      <c r="N116">
        <v>18.899999999999999</v>
      </c>
      <c r="O116">
        <v>41.58</v>
      </c>
    </row>
    <row r="117" spans="1:15">
      <c r="A117" t="s">
        <v>480</v>
      </c>
      <c r="B117" t="s">
        <v>361</v>
      </c>
      <c r="C117">
        <v>54.4</v>
      </c>
      <c r="D117">
        <v>1978</v>
      </c>
      <c r="E117" t="s">
        <v>362</v>
      </c>
      <c r="F117">
        <v>76</v>
      </c>
      <c r="G117">
        <v>3</v>
      </c>
      <c r="H117">
        <v>2055</v>
      </c>
      <c r="I117">
        <v>81</v>
      </c>
      <c r="J117">
        <v>10.08</v>
      </c>
      <c r="K117">
        <v>34428.6</v>
      </c>
      <c r="L117">
        <v>7</v>
      </c>
      <c r="M117">
        <v>1</v>
      </c>
      <c r="N117">
        <v>16.68</v>
      </c>
      <c r="O117">
        <v>36.78</v>
      </c>
    </row>
    <row r="118" spans="1:15">
      <c r="A118" t="s">
        <v>481</v>
      </c>
      <c r="B118" t="s">
        <v>361</v>
      </c>
      <c r="C118">
        <v>54.6</v>
      </c>
      <c r="D118">
        <v>1985</v>
      </c>
      <c r="E118" t="s">
        <v>362</v>
      </c>
      <c r="F118">
        <v>51</v>
      </c>
      <c r="G118">
        <v>2</v>
      </c>
      <c r="H118">
        <v>2030</v>
      </c>
      <c r="I118">
        <v>80</v>
      </c>
      <c r="J118">
        <v>10.119999999999999</v>
      </c>
      <c r="K118">
        <v>34555.1</v>
      </c>
      <c r="L118">
        <v>12.4</v>
      </c>
      <c r="M118">
        <v>1.8</v>
      </c>
      <c r="N118">
        <v>15.21</v>
      </c>
      <c r="O118">
        <v>33.53</v>
      </c>
    </row>
    <row r="119" spans="1:15">
      <c r="A119" t="s">
        <v>482</v>
      </c>
      <c r="B119" t="s">
        <v>387</v>
      </c>
      <c r="C119">
        <v>55</v>
      </c>
      <c r="D119">
        <v>2000</v>
      </c>
      <c r="E119" t="s">
        <v>362</v>
      </c>
      <c r="F119">
        <v>75</v>
      </c>
      <c r="G119">
        <v>3</v>
      </c>
      <c r="H119">
        <v>1778</v>
      </c>
      <c r="I119">
        <v>70</v>
      </c>
      <c r="J119">
        <v>9.9</v>
      </c>
      <c r="K119">
        <v>33780.186000000002</v>
      </c>
      <c r="L119">
        <v>18.899999999999999</v>
      </c>
      <c r="M119">
        <v>2.7</v>
      </c>
      <c r="N119">
        <v>19.600000000000001</v>
      </c>
      <c r="O119">
        <v>43.12</v>
      </c>
    </row>
    <row r="120" spans="1:15">
      <c r="A120" t="s">
        <v>483</v>
      </c>
      <c r="B120" t="s">
        <v>361</v>
      </c>
      <c r="C120">
        <v>55.2</v>
      </c>
      <c r="D120">
        <v>2007</v>
      </c>
      <c r="E120" t="s">
        <v>362</v>
      </c>
      <c r="F120">
        <v>76</v>
      </c>
      <c r="G120">
        <v>3</v>
      </c>
      <c r="H120">
        <v>1625</v>
      </c>
      <c r="I120">
        <v>64</v>
      </c>
      <c r="J120">
        <v>10.23</v>
      </c>
      <c r="K120">
        <v>34934.9</v>
      </c>
      <c r="L120">
        <v>17.600000000000001</v>
      </c>
      <c r="M120">
        <v>2.6</v>
      </c>
      <c r="N120">
        <v>13.19</v>
      </c>
      <c r="O120">
        <v>29.08</v>
      </c>
    </row>
    <row r="121" spans="1:15">
      <c r="A121" t="s">
        <v>484</v>
      </c>
      <c r="B121" t="s">
        <v>361</v>
      </c>
      <c r="C121">
        <v>55.2</v>
      </c>
      <c r="D121">
        <v>2007</v>
      </c>
      <c r="E121" t="s">
        <v>362</v>
      </c>
      <c r="F121">
        <v>102</v>
      </c>
      <c r="G121">
        <v>4</v>
      </c>
      <c r="H121">
        <v>1575</v>
      </c>
      <c r="I121">
        <v>62</v>
      </c>
      <c r="J121">
        <v>10.23</v>
      </c>
      <c r="K121">
        <v>34934.9</v>
      </c>
      <c r="L121">
        <v>12.7</v>
      </c>
      <c r="M121">
        <v>1.8</v>
      </c>
      <c r="N121">
        <v>18.52</v>
      </c>
      <c r="O121">
        <v>40.83</v>
      </c>
    </row>
    <row r="122" spans="1:15">
      <c r="A122" t="s">
        <v>485</v>
      </c>
      <c r="B122" t="s">
        <v>361</v>
      </c>
      <c r="C122">
        <v>55.3</v>
      </c>
      <c r="D122">
        <v>2011</v>
      </c>
      <c r="E122" t="s">
        <v>362</v>
      </c>
      <c r="F122">
        <v>51</v>
      </c>
      <c r="G122">
        <v>2</v>
      </c>
      <c r="H122">
        <v>2085</v>
      </c>
      <c r="I122">
        <v>82</v>
      </c>
      <c r="J122">
        <v>10.25</v>
      </c>
      <c r="K122">
        <v>34998.199999999997</v>
      </c>
      <c r="L122">
        <v>12.7</v>
      </c>
      <c r="M122">
        <v>1.8</v>
      </c>
      <c r="N122">
        <v>15.59</v>
      </c>
      <c r="O122">
        <v>34.369999999999997</v>
      </c>
    </row>
    <row r="123" spans="1:15">
      <c r="A123" t="s">
        <v>486</v>
      </c>
      <c r="B123" t="s">
        <v>361</v>
      </c>
      <c r="C123">
        <v>55.4</v>
      </c>
      <c r="D123">
        <v>2014</v>
      </c>
      <c r="E123" t="s">
        <v>362</v>
      </c>
      <c r="F123">
        <v>102</v>
      </c>
      <c r="G123">
        <v>4</v>
      </c>
      <c r="H123">
        <v>2055</v>
      </c>
      <c r="I123">
        <v>81</v>
      </c>
      <c r="J123">
        <v>10.27</v>
      </c>
      <c r="K123">
        <v>35061.5</v>
      </c>
      <c r="L123">
        <v>6.5</v>
      </c>
      <c r="M123">
        <v>0.9</v>
      </c>
      <c r="N123">
        <v>24.89</v>
      </c>
      <c r="O123">
        <v>54.88</v>
      </c>
    </row>
    <row r="124" spans="1:15">
      <c r="A124" t="s">
        <v>487</v>
      </c>
      <c r="B124" t="s">
        <v>361</v>
      </c>
      <c r="C124">
        <v>55.5</v>
      </c>
      <c r="D124">
        <v>2018</v>
      </c>
      <c r="E124" t="s">
        <v>362</v>
      </c>
      <c r="F124">
        <v>76</v>
      </c>
      <c r="G124">
        <v>3</v>
      </c>
      <c r="H124">
        <v>2135</v>
      </c>
      <c r="I124">
        <v>84</v>
      </c>
      <c r="J124">
        <v>10.28</v>
      </c>
      <c r="K124">
        <v>35124.699999999997</v>
      </c>
      <c r="L124">
        <v>7.3</v>
      </c>
      <c r="M124">
        <v>1.1000000000000001</v>
      </c>
      <c r="N124">
        <v>17.260000000000002</v>
      </c>
      <c r="O124">
        <v>38.06</v>
      </c>
    </row>
    <row r="125" spans="1:15">
      <c r="A125" t="s">
        <v>488</v>
      </c>
      <c r="B125" t="s">
        <v>387</v>
      </c>
      <c r="C125">
        <v>55.6</v>
      </c>
      <c r="D125">
        <v>2022</v>
      </c>
      <c r="E125" t="s">
        <v>362</v>
      </c>
      <c r="F125">
        <v>75</v>
      </c>
      <c r="G125">
        <v>3</v>
      </c>
      <c r="H125">
        <v>1828.8</v>
      </c>
      <c r="I125">
        <v>72</v>
      </c>
      <c r="J125">
        <v>10</v>
      </c>
      <c r="K125">
        <v>34121.4</v>
      </c>
      <c r="L125">
        <v>19.5</v>
      </c>
      <c r="M125">
        <v>2.8</v>
      </c>
      <c r="N125">
        <v>20.3</v>
      </c>
      <c r="O125">
        <v>44.66</v>
      </c>
    </row>
    <row r="126" spans="1:15">
      <c r="A126" t="s">
        <v>489</v>
      </c>
      <c r="B126" t="s">
        <v>361</v>
      </c>
      <c r="C126">
        <v>55.9</v>
      </c>
      <c r="D126">
        <v>2033</v>
      </c>
      <c r="E126" t="s">
        <v>362</v>
      </c>
      <c r="F126">
        <v>51</v>
      </c>
      <c r="G126">
        <v>2</v>
      </c>
      <c r="H126">
        <v>2135</v>
      </c>
      <c r="I126">
        <v>84</v>
      </c>
      <c r="J126">
        <v>10.36</v>
      </c>
      <c r="K126">
        <v>35377.9</v>
      </c>
      <c r="L126">
        <v>13</v>
      </c>
      <c r="M126">
        <v>1.9</v>
      </c>
      <c r="N126">
        <v>15.97</v>
      </c>
      <c r="O126">
        <v>35.22</v>
      </c>
    </row>
    <row r="127" spans="1:15">
      <c r="A127" t="s">
        <v>490</v>
      </c>
      <c r="B127" t="s">
        <v>361</v>
      </c>
      <c r="C127">
        <v>56.2</v>
      </c>
      <c r="D127">
        <v>2044</v>
      </c>
      <c r="E127" t="s">
        <v>362</v>
      </c>
      <c r="F127">
        <v>102</v>
      </c>
      <c r="G127">
        <v>4</v>
      </c>
      <c r="H127">
        <v>1625</v>
      </c>
      <c r="I127">
        <v>64</v>
      </c>
      <c r="J127">
        <v>10.41</v>
      </c>
      <c r="K127">
        <v>35567.800000000003</v>
      </c>
      <c r="L127">
        <v>13.1</v>
      </c>
      <c r="M127">
        <v>1.9</v>
      </c>
      <c r="N127">
        <v>19.11</v>
      </c>
      <c r="O127">
        <v>42.13</v>
      </c>
    </row>
    <row r="128" spans="1:15">
      <c r="A128" t="s">
        <v>491</v>
      </c>
      <c r="B128" t="s">
        <v>361</v>
      </c>
      <c r="C128">
        <v>56.2</v>
      </c>
      <c r="D128">
        <v>2044</v>
      </c>
      <c r="E128" t="s">
        <v>362</v>
      </c>
      <c r="F128">
        <v>76</v>
      </c>
      <c r="G128">
        <v>3</v>
      </c>
      <c r="H128">
        <v>1675</v>
      </c>
      <c r="I128">
        <v>66</v>
      </c>
      <c r="J128">
        <v>10.41</v>
      </c>
      <c r="K128">
        <v>35567.800000000003</v>
      </c>
      <c r="L128">
        <v>18.2</v>
      </c>
      <c r="M128">
        <v>2.6</v>
      </c>
      <c r="N128">
        <v>13.58</v>
      </c>
      <c r="O128">
        <v>29.95</v>
      </c>
    </row>
    <row r="129" spans="1:15">
      <c r="A129" t="s">
        <v>492</v>
      </c>
      <c r="B129" t="s">
        <v>361</v>
      </c>
      <c r="C129">
        <v>56.4</v>
      </c>
      <c r="D129">
        <v>2051</v>
      </c>
      <c r="E129" t="s">
        <v>362</v>
      </c>
      <c r="F129">
        <v>76</v>
      </c>
      <c r="G129">
        <v>3</v>
      </c>
      <c r="H129">
        <v>2210</v>
      </c>
      <c r="I129">
        <v>87</v>
      </c>
      <c r="J129">
        <v>10.45</v>
      </c>
      <c r="K129">
        <v>35694.300000000003</v>
      </c>
      <c r="L129">
        <v>7.6</v>
      </c>
      <c r="M129">
        <v>1.1000000000000001</v>
      </c>
      <c r="N129">
        <v>17.850000000000001</v>
      </c>
      <c r="O129">
        <v>39.35</v>
      </c>
    </row>
    <row r="130" spans="1:15">
      <c r="A130" t="s">
        <v>493</v>
      </c>
      <c r="B130" t="s">
        <v>361</v>
      </c>
      <c r="C130">
        <v>56.5</v>
      </c>
      <c r="D130">
        <v>2054</v>
      </c>
      <c r="E130" t="s">
        <v>362</v>
      </c>
      <c r="F130">
        <v>51</v>
      </c>
      <c r="G130">
        <v>2</v>
      </c>
      <c r="H130">
        <v>2185</v>
      </c>
      <c r="I130">
        <v>86</v>
      </c>
      <c r="J130">
        <v>10.47</v>
      </c>
      <c r="K130">
        <v>35757.599999999999</v>
      </c>
      <c r="L130">
        <v>13.3</v>
      </c>
      <c r="M130">
        <v>1.9</v>
      </c>
      <c r="N130">
        <v>16.36</v>
      </c>
      <c r="O130">
        <v>36.06</v>
      </c>
    </row>
    <row r="131" spans="1:15">
      <c r="A131" t="s">
        <v>494</v>
      </c>
      <c r="B131" t="s">
        <v>361</v>
      </c>
      <c r="C131">
        <v>56.8</v>
      </c>
      <c r="D131">
        <v>2065</v>
      </c>
      <c r="E131" t="s">
        <v>362</v>
      </c>
      <c r="F131">
        <v>102</v>
      </c>
      <c r="G131">
        <v>4</v>
      </c>
      <c r="H131">
        <v>2135</v>
      </c>
      <c r="I131">
        <v>84</v>
      </c>
      <c r="J131">
        <v>10.53</v>
      </c>
      <c r="K131">
        <v>35947.5</v>
      </c>
      <c r="L131">
        <v>6.7</v>
      </c>
      <c r="M131">
        <v>1</v>
      </c>
      <c r="N131">
        <v>25.81</v>
      </c>
      <c r="O131">
        <v>56.9</v>
      </c>
    </row>
    <row r="132" spans="1:15">
      <c r="A132" t="s">
        <v>495</v>
      </c>
      <c r="B132" t="s">
        <v>361</v>
      </c>
      <c r="C132">
        <v>57</v>
      </c>
      <c r="D132">
        <v>2073</v>
      </c>
      <c r="E132" t="s">
        <v>362</v>
      </c>
      <c r="F132">
        <v>51</v>
      </c>
      <c r="G132">
        <v>2</v>
      </c>
      <c r="H132">
        <v>2235</v>
      </c>
      <c r="I132">
        <v>88</v>
      </c>
      <c r="J132">
        <v>10.56</v>
      </c>
      <c r="K132">
        <v>36074.1</v>
      </c>
      <c r="L132">
        <v>13.6</v>
      </c>
      <c r="M132">
        <v>2</v>
      </c>
      <c r="N132">
        <v>16.739999999999998</v>
      </c>
      <c r="O132">
        <v>36.9</v>
      </c>
    </row>
    <row r="133" spans="1:15">
      <c r="A133" t="s">
        <v>496</v>
      </c>
      <c r="B133" t="s">
        <v>361</v>
      </c>
      <c r="C133">
        <v>57.1</v>
      </c>
      <c r="D133">
        <v>2076</v>
      </c>
      <c r="E133" t="s">
        <v>362</v>
      </c>
      <c r="F133">
        <v>76</v>
      </c>
      <c r="G133">
        <v>3</v>
      </c>
      <c r="H133">
        <v>1725</v>
      </c>
      <c r="I133">
        <v>68</v>
      </c>
      <c r="J133">
        <v>10.58</v>
      </c>
      <c r="K133">
        <v>36137.300000000003</v>
      </c>
      <c r="L133">
        <v>18.7</v>
      </c>
      <c r="M133">
        <v>2.7</v>
      </c>
      <c r="N133">
        <v>13.98</v>
      </c>
      <c r="O133">
        <v>30.81</v>
      </c>
    </row>
    <row r="134" spans="1:15">
      <c r="A134" t="s">
        <v>497</v>
      </c>
      <c r="B134" t="s">
        <v>361</v>
      </c>
      <c r="C134">
        <v>57.2</v>
      </c>
      <c r="D134">
        <v>2080</v>
      </c>
      <c r="E134" t="s">
        <v>362</v>
      </c>
      <c r="F134">
        <v>102</v>
      </c>
      <c r="G134">
        <v>4</v>
      </c>
      <c r="H134">
        <v>1675</v>
      </c>
      <c r="I134">
        <v>66</v>
      </c>
      <c r="J134">
        <v>10.6</v>
      </c>
      <c r="K134">
        <v>36200.6</v>
      </c>
      <c r="L134">
        <v>13.4</v>
      </c>
      <c r="M134">
        <v>1.9</v>
      </c>
      <c r="N134">
        <v>19.7</v>
      </c>
      <c r="O134">
        <v>43.43</v>
      </c>
    </row>
    <row r="135" spans="1:15">
      <c r="A135" t="s">
        <v>498</v>
      </c>
      <c r="B135" t="s">
        <v>387</v>
      </c>
      <c r="C135">
        <v>57.3</v>
      </c>
      <c r="D135">
        <v>2084</v>
      </c>
      <c r="E135" t="s">
        <v>362</v>
      </c>
      <c r="F135">
        <v>100</v>
      </c>
      <c r="G135">
        <v>4</v>
      </c>
      <c r="H135">
        <v>1524</v>
      </c>
      <c r="I135">
        <v>60</v>
      </c>
      <c r="J135">
        <v>10.3</v>
      </c>
      <c r="K135">
        <v>35145.042000000001</v>
      </c>
      <c r="L135">
        <v>15.4</v>
      </c>
      <c r="M135">
        <v>2.2000000000000002</v>
      </c>
      <c r="N135">
        <v>24.8</v>
      </c>
      <c r="O135">
        <v>54.56</v>
      </c>
    </row>
    <row r="136" spans="1:15">
      <c r="A136" t="s">
        <v>499</v>
      </c>
      <c r="B136" t="s">
        <v>361</v>
      </c>
      <c r="C136">
        <v>57.3</v>
      </c>
      <c r="D136">
        <v>2084</v>
      </c>
      <c r="E136" t="s">
        <v>362</v>
      </c>
      <c r="F136">
        <v>76</v>
      </c>
      <c r="G136">
        <v>3</v>
      </c>
      <c r="H136">
        <v>2285</v>
      </c>
      <c r="I136">
        <v>90</v>
      </c>
      <c r="J136">
        <v>10.62</v>
      </c>
      <c r="K136">
        <v>36263.9</v>
      </c>
      <c r="L136">
        <v>7.9</v>
      </c>
      <c r="M136">
        <v>1.1000000000000001</v>
      </c>
      <c r="N136">
        <v>18.43</v>
      </c>
      <c r="O136">
        <v>40.64</v>
      </c>
    </row>
    <row r="137" spans="1:15">
      <c r="A137" t="s">
        <v>500</v>
      </c>
      <c r="B137" t="s">
        <v>361</v>
      </c>
      <c r="C137">
        <v>57.5</v>
      </c>
      <c r="D137">
        <v>2091</v>
      </c>
      <c r="E137" t="s">
        <v>362</v>
      </c>
      <c r="F137">
        <v>51</v>
      </c>
      <c r="G137">
        <v>2</v>
      </c>
      <c r="H137">
        <v>2285</v>
      </c>
      <c r="I137">
        <v>90</v>
      </c>
      <c r="J137">
        <v>10.66</v>
      </c>
      <c r="K137">
        <v>36390.5</v>
      </c>
      <c r="L137">
        <v>13.9</v>
      </c>
      <c r="M137">
        <v>2</v>
      </c>
      <c r="N137">
        <v>17.12</v>
      </c>
      <c r="O137">
        <v>37.75</v>
      </c>
    </row>
    <row r="138" spans="1:15">
      <c r="A138" t="s">
        <v>501</v>
      </c>
      <c r="B138" t="s">
        <v>361</v>
      </c>
      <c r="C138">
        <v>58</v>
      </c>
      <c r="D138">
        <v>2109</v>
      </c>
      <c r="E138" t="s">
        <v>362</v>
      </c>
      <c r="F138">
        <v>76</v>
      </c>
      <c r="G138">
        <v>3</v>
      </c>
      <c r="H138">
        <v>1780</v>
      </c>
      <c r="I138">
        <v>70</v>
      </c>
      <c r="J138">
        <v>10.75</v>
      </c>
      <c r="K138">
        <v>36706.9</v>
      </c>
      <c r="L138">
        <v>19.3</v>
      </c>
      <c r="M138">
        <v>2.8</v>
      </c>
      <c r="N138">
        <v>14.37</v>
      </c>
      <c r="O138">
        <v>31.67</v>
      </c>
    </row>
    <row r="139" spans="1:15">
      <c r="A139" t="s">
        <v>502</v>
      </c>
      <c r="B139" t="s">
        <v>361</v>
      </c>
      <c r="C139">
        <v>58</v>
      </c>
      <c r="D139">
        <v>2109</v>
      </c>
      <c r="E139" t="s">
        <v>362</v>
      </c>
      <c r="F139">
        <v>51</v>
      </c>
      <c r="G139">
        <v>2</v>
      </c>
      <c r="H139">
        <v>2335</v>
      </c>
      <c r="I139">
        <v>92</v>
      </c>
      <c r="J139">
        <v>10.75</v>
      </c>
      <c r="K139">
        <v>36706.9</v>
      </c>
      <c r="L139">
        <v>14.2</v>
      </c>
      <c r="M139">
        <v>2.1</v>
      </c>
      <c r="N139">
        <v>17.5</v>
      </c>
      <c r="O139">
        <v>38.590000000000003</v>
      </c>
    </row>
    <row r="140" spans="1:15">
      <c r="A140" t="s">
        <v>503</v>
      </c>
      <c r="B140" t="s">
        <v>361</v>
      </c>
      <c r="C140">
        <v>58</v>
      </c>
      <c r="D140">
        <v>2109</v>
      </c>
      <c r="E140" t="s">
        <v>362</v>
      </c>
      <c r="F140">
        <v>76</v>
      </c>
      <c r="G140">
        <v>3</v>
      </c>
      <c r="H140">
        <v>2360</v>
      </c>
      <c r="I140">
        <v>93</v>
      </c>
      <c r="J140">
        <v>10.75</v>
      </c>
      <c r="K140">
        <v>36706.9</v>
      </c>
      <c r="L140">
        <v>8.1999999999999993</v>
      </c>
      <c r="M140">
        <v>1.2</v>
      </c>
      <c r="N140">
        <v>19.02</v>
      </c>
      <c r="O140">
        <v>41.92</v>
      </c>
    </row>
    <row r="141" spans="1:15">
      <c r="A141" t="s">
        <v>504</v>
      </c>
      <c r="B141" t="s">
        <v>361</v>
      </c>
      <c r="C141">
        <v>58.1</v>
      </c>
      <c r="D141">
        <v>2113</v>
      </c>
      <c r="E141" t="s">
        <v>362</v>
      </c>
      <c r="F141">
        <v>102</v>
      </c>
      <c r="G141">
        <v>4</v>
      </c>
      <c r="H141">
        <v>2210</v>
      </c>
      <c r="I141">
        <v>87</v>
      </c>
      <c r="J141">
        <v>10.77</v>
      </c>
      <c r="K141">
        <v>36770.199999999997</v>
      </c>
      <c r="L141">
        <v>6.9</v>
      </c>
      <c r="M141">
        <v>1</v>
      </c>
      <c r="N141">
        <v>26.72</v>
      </c>
      <c r="O141">
        <v>58.91</v>
      </c>
    </row>
    <row r="142" spans="1:15">
      <c r="A142" t="s">
        <v>505</v>
      </c>
      <c r="B142" t="s">
        <v>361</v>
      </c>
      <c r="C142">
        <v>58.2</v>
      </c>
      <c r="D142">
        <v>2116</v>
      </c>
      <c r="E142" t="s">
        <v>362</v>
      </c>
      <c r="F142">
        <v>102</v>
      </c>
      <c r="G142">
        <v>4</v>
      </c>
      <c r="H142">
        <v>1725</v>
      </c>
      <c r="I142">
        <v>68</v>
      </c>
      <c r="J142">
        <v>10.79</v>
      </c>
      <c r="K142">
        <v>36833.5</v>
      </c>
      <c r="L142">
        <v>13.8</v>
      </c>
      <c r="M142">
        <v>2</v>
      </c>
      <c r="N142">
        <v>20.29</v>
      </c>
      <c r="O142">
        <v>44.73</v>
      </c>
    </row>
    <row r="143" spans="1:15">
      <c r="A143" t="s">
        <v>506</v>
      </c>
      <c r="B143" t="s">
        <v>387</v>
      </c>
      <c r="C143">
        <v>58.4</v>
      </c>
      <c r="D143">
        <v>2124</v>
      </c>
      <c r="E143" t="s">
        <v>362</v>
      </c>
      <c r="F143">
        <v>100</v>
      </c>
      <c r="G143">
        <v>4</v>
      </c>
      <c r="H143">
        <v>1828.8</v>
      </c>
      <c r="I143">
        <v>72</v>
      </c>
      <c r="J143">
        <v>10.5</v>
      </c>
      <c r="K143">
        <v>35827.47</v>
      </c>
      <c r="L143">
        <v>18.5</v>
      </c>
      <c r="M143">
        <v>2.7</v>
      </c>
      <c r="N143">
        <v>29.9</v>
      </c>
      <c r="O143">
        <v>65.78</v>
      </c>
    </row>
    <row r="144" spans="1:15">
      <c r="A144" t="s">
        <v>507</v>
      </c>
      <c r="B144" t="s">
        <v>361</v>
      </c>
      <c r="C144">
        <v>58.4</v>
      </c>
      <c r="D144">
        <v>2124</v>
      </c>
      <c r="E144" t="s">
        <v>362</v>
      </c>
      <c r="F144">
        <v>51</v>
      </c>
      <c r="G144">
        <v>2</v>
      </c>
      <c r="H144">
        <v>2390</v>
      </c>
      <c r="I144">
        <v>94</v>
      </c>
      <c r="J144">
        <v>10.82</v>
      </c>
      <c r="K144">
        <v>36960.1</v>
      </c>
      <c r="L144">
        <v>14.5</v>
      </c>
      <c r="M144">
        <v>2.1</v>
      </c>
      <c r="N144">
        <v>17.89</v>
      </c>
      <c r="O144">
        <v>39.44</v>
      </c>
    </row>
    <row r="145" spans="1:15">
      <c r="A145" t="s">
        <v>508</v>
      </c>
      <c r="B145" t="s">
        <v>361</v>
      </c>
      <c r="C145">
        <v>58.7</v>
      </c>
      <c r="D145">
        <v>2134</v>
      </c>
      <c r="E145" t="s">
        <v>362</v>
      </c>
      <c r="F145">
        <v>76</v>
      </c>
      <c r="G145">
        <v>3</v>
      </c>
      <c r="H145">
        <v>2440</v>
      </c>
      <c r="I145">
        <v>96</v>
      </c>
      <c r="J145">
        <v>10.88</v>
      </c>
      <c r="K145">
        <v>37150</v>
      </c>
      <c r="L145">
        <v>8.5</v>
      </c>
      <c r="M145">
        <v>1.2</v>
      </c>
      <c r="N145">
        <v>19.600000000000001</v>
      </c>
      <c r="O145">
        <v>43.21</v>
      </c>
    </row>
    <row r="146" spans="1:15">
      <c r="A146" t="s">
        <v>509</v>
      </c>
      <c r="B146" t="s">
        <v>361</v>
      </c>
      <c r="C146">
        <v>58.8</v>
      </c>
      <c r="D146">
        <v>2138</v>
      </c>
      <c r="E146" t="s">
        <v>362</v>
      </c>
      <c r="F146">
        <v>51</v>
      </c>
      <c r="G146">
        <v>2</v>
      </c>
      <c r="H146">
        <v>2440</v>
      </c>
      <c r="I146">
        <v>96</v>
      </c>
      <c r="J146">
        <v>10.9</v>
      </c>
      <c r="K146">
        <v>37213.199999999997</v>
      </c>
      <c r="L146">
        <v>14.8</v>
      </c>
      <c r="M146">
        <v>2.1</v>
      </c>
      <c r="N146">
        <v>18.27</v>
      </c>
      <c r="O146">
        <v>40.28</v>
      </c>
    </row>
    <row r="147" spans="1:15">
      <c r="A147" t="s">
        <v>510</v>
      </c>
      <c r="B147" t="s">
        <v>361</v>
      </c>
      <c r="C147">
        <v>58.9</v>
      </c>
      <c r="D147">
        <v>2142</v>
      </c>
      <c r="E147" t="s">
        <v>362</v>
      </c>
      <c r="F147">
        <v>76</v>
      </c>
      <c r="G147">
        <v>3</v>
      </c>
      <c r="H147">
        <v>1830</v>
      </c>
      <c r="I147">
        <v>72</v>
      </c>
      <c r="J147">
        <v>10.91</v>
      </c>
      <c r="K147">
        <v>37276.5</v>
      </c>
      <c r="L147">
        <v>19.8</v>
      </c>
      <c r="M147">
        <v>2.9</v>
      </c>
      <c r="N147">
        <v>14.76</v>
      </c>
      <c r="O147">
        <v>32.54</v>
      </c>
    </row>
    <row r="148" spans="1:15">
      <c r="A148" t="s">
        <v>511</v>
      </c>
      <c r="B148" t="s">
        <v>361</v>
      </c>
      <c r="C148">
        <v>59.1</v>
      </c>
      <c r="D148">
        <v>2149</v>
      </c>
      <c r="E148" t="s">
        <v>362</v>
      </c>
      <c r="F148">
        <v>51</v>
      </c>
      <c r="G148">
        <v>2</v>
      </c>
      <c r="H148">
        <v>2490</v>
      </c>
      <c r="I148">
        <v>98</v>
      </c>
      <c r="J148">
        <v>10.95</v>
      </c>
      <c r="K148">
        <v>37403.1</v>
      </c>
      <c r="L148">
        <v>15.1</v>
      </c>
      <c r="M148">
        <v>2.2000000000000002</v>
      </c>
      <c r="N148">
        <v>18.649999999999999</v>
      </c>
      <c r="O148">
        <v>41.12</v>
      </c>
    </row>
    <row r="149" spans="1:15">
      <c r="A149" t="s">
        <v>512</v>
      </c>
      <c r="B149" t="s">
        <v>361</v>
      </c>
      <c r="C149">
        <v>59.1</v>
      </c>
      <c r="D149">
        <v>2149</v>
      </c>
      <c r="E149" t="s">
        <v>362</v>
      </c>
      <c r="F149">
        <v>102</v>
      </c>
      <c r="G149">
        <v>4</v>
      </c>
      <c r="H149">
        <v>1780</v>
      </c>
      <c r="I149">
        <v>70</v>
      </c>
      <c r="J149">
        <v>10.95</v>
      </c>
      <c r="K149">
        <v>37403.1</v>
      </c>
      <c r="L149">
        <v>14.2</v>
      </c>
      <c r="M149">
        <v>2.1</v>
      </c>
      <c r="N149">
        <v>20.88</v>
      </c>
      <c r="O149">
        <v>46.03</v>
      </c>
    </row>
    <row r="150" spans="1:15">
      <c r="A150" t="s">
        <v>513</v>
      </c>
      <c r="B150" t="s">
        <v>361</v>
      </c>
      <c r="C150">
        <v>59.3</v>
      </c>
      <c r="D150">
        <v>2156</v>
      </c>
      <c r="E150" t="s">
        <v>362</v>
      </c>
      <c r="F150">
        <v>76</v>
      </c>
      <c r="G150">
        <v>3</v>
      </c>
      <c r="H150">
        <v>2515</v>
      </c>
      <c r="I150">
        <v>99</v>
      </c>
      <c r="J150">
        <v>10.99</v>
      </c>
      <c r="K150">
        <v>37529.699999999997</v>
      </c>
      <c r="L150">
        <v>8.8000000000000007</v>
      </c>
      <c r="M150">
        <v>1.3</v>
      </c>
      <c r="N150">
        <v>20.18</v>
      </c>
      <c r="O150">
        <v>44.5</v>
      </c>
    </row>
    <row r="151" spans="1:15">
      <c r="A151" t="s">
        <v>514</v>
      </c>
      <c r="B151" t="s">
        <v>361</v>
      </c>
      <c r="C151">
        <v>59.3</v>
      </c>
      <c r="D151">
        <v>2156</v>
      </c>
      <c r="E151" t="s">
        <v>362</v>
      </c>
      <c r="F151">
        <v>102</v>
      </c>
      <c r="G151">
        <v>4</v>
      </c>
      <c r="H151">
        <v>2285</v>
      </c>
      <c r="I151">
        <v>90</v>
      </c>
      <c r="J151">
        <v>10.99</v>
      </c>
      <c r="K151">
        <v>37529.699999999997</v>
      </c>
      <c r="L151">
        <v>7.1</v>
      </c>
      <c r="M151">
        <v>1</v>
      </c>
      <c r="N151">
        <v>27.64</v>
      </c>
      <c r="O151">
        <v>60.93</v>
      </c>
    </row>
    <row r="152" spans="1:15">
      <c r="A152" t="s">
        <v>515</v>
      </c>
      <c r="B152" t="s">
        <v>361</v>
      </c>
      <c r="C152">
        <v>59.4</v>
      </c>
      <c r="D152">
        <v>2160</v>
      </c>
      <c r="E152" t="s">
        <v>362</v>
      </c>
      <c r="F152">
        <v>51</v>
      </c>
      <c r="G152">
        <v>2</v>
      </c>
      <c r="H152">
        <v>2540</v>
      </c>
      <c r="I152">
        <v>100</v>
      </c>
      <c r="J152">
        <v>11.01</v>
      </c>
      <c r="K152">
        <v>37593</v>
      </c>
      <c r="L152">
        <v>15.4</v>
      </c>
      <c r="M152">
        <v>2.2000000000000002</v>
      </c>
      <c r="N152">
        <v>19.04</v>
      </c>
      <c r="O152">
        <v>41.97</v>
      </c>
    </row>
    <row r="153" spans="1:15">
      <c r="A153" t="s">
        <v>516</v>
      </c>
      <c r="B153" t="s">
        <v>361</v>
      </c>
      <c r="C153">
        <v>59.7</v>
      </c>
      <c r="D153">
        <v>2171</v>
      </c>
      <c r="E153" t="s">
        <v>362</v>
      </c>
      <c r="F153">
        <v>51</v>
      </c>
      <c r="G153">
        <v>2</v>
      </c>
      <c r="H153">
        <v>2590</v>
      </c>
      <c r="I153">
        <v>102</v>
      </c>
      <c r="J153">
        <v>11.06</v>
      </c>
      <c r="K153">
        <v>37782.800000000003</v>
      </c>
      <c r="L153">
        <v>15.7</v>
      </c>
      <c r="M153">
        <v>2.2999999999999998</v>
      </c>
      <c r="N153">
        <v>19.420000000000002</v>
      </c>
      <c r="O153">
        <v>42.81</v>
      </c>
    </row>
    <row r="154" spans="1:15">
      <c r="A154" t="s">
        <v>517</v>
      </c>
      <c r="B154" t="s">
        <v>361</v>
      </c>
      <c r="C154">
        <v>59.7</v>
      </c>
      <c r="D154">
        <v>2171</v>
      </c>
      <c r="E154" t="s">
        <v>362</v>
      </c>
      <c r="F154">
        <v>76</v>
      </c>
      <c r="G154">
        <v>3</v>
      </c>
      <c r="H154">
        <v>1880</v>
      </c>
      <c r="I154">
        <v>74</v>
      </c>
      <c r="J154">
        <v>11.06</v>
      </c>
      <c r="K154">
        <v>37782.800000000003</v>
      </c>
      <c r="L154">
        <v>20.399999999999999</v>
      </c>
      <c r="M154">
        <v>3</v>
      </c>
      <c r="N154">
        <v>15.15</v>
      </c>
      <c r="O154">
        <v>33.4</v>
      </c>
    </row>
    <row r="155" spans="1:15">
      <c r="A155" t="s">
        <v>518</v>
      </c>
      <c r="B155" t="s">
        <v>361</v>
      </c>
      <c r="C155">
        <v>59.9</v>
      </c>
      <c r="D155">
        <v>2178</v>
      </c>
      <c r="E155" t="s">
        <v>362</v>
      </c>
      <c r="F155">
        <v>76</v>
      </c>
      <c r="G155">
        <v>3</v>
      </c>
      <c r="H155">
        <v>2590</v>
      </c>
      <c r="I155">
        <v>102</v>
      </c>
      <c r="J155">
        <v>11.1</v>
      </c>
      <c r="K155">
        <v>37909.4</v>
      </c>
      <c r="L155">
        <v>9.1</v>
      </c>
      <c r="M155">
        <v>1.3</v>
      </c>
      <c r="N155">
        <v>20.77</v>
      </c>
      <c r="O155">
        <v>45.78</v>
      </c>
    </row>
    <row r="156" spans="1:15">
      <c r="A156" t="s">
        <v>519</v>
      </c>
      <c r="B156" t="s">
        <v>361</v>
      </c>
      <c r="C156">
        <v>59.9</v>
      </c>
      <c r="D156">
        <v>2178</v>
      </c>
      <c r="E156" t="s">
        <v>362</v>
      </c>
      <c r="F156">
        <v>51</v>
      </c>
      <c r="G156">
        <v>2</v>
      </c>
      <c r="H156">
        <v>2640</v>
      </c>
      <c r="I156">
        <v>104</v>
      </c>
      <c r="J156">
        <v>11.1</v>
      </c>
      <c r="K156">
        <v>37909.4</v>
      </c>
      <c r="L156">
        <v>16</v>
      </c>
      <c r="M156">
        <v>2.2999999999999998</v>
      </c>
      <c r="N156">
        <v>19.8</v>
      </c>
      <c r="O156">
        <v>43.66</v>
      </c>
    </row>
    <row r="157" spans="1:15">
      <c r="A157" t="s">
        <v>520</v>
      </c>
      <c r="B157" t="s">
        <v>361</v>
      </c>
      <c r="C157">
        <v>60</v>
      </c>
      <c r="D157">
        <v>2182</v>
      </c>
      <c r="E157" t="s">
        <v>362</v>
      </c>
      <c r="F157">
        <v>102</v>
      </c>
      <c r="G157">
        <v>4</v>
      </c>
      <c r="H157">
        <v>1830</v>
      </c>
      <c r="I157">
        <v>72</v>
      </c>
      <c r="J157">
        <v>11.12</v>
      </c>
      <c r="K157">
        <v>37972.699999999997</v>
      </c>
      <c r="L157">
        <v>14.5</v>
      </c>
      <c r="M157">
        <v>2.1</v>
      </c>
      <c r="N157">
        <v>21.47</v>
      </c>
      <c r="O157">
        <v>47.33</v>
      </c>
    </row>
    <row r="158" spans="1:15">
      <c r="A158" t="s">
        <v>521</v>
      </c>
      <c r="B158" t="s">
        <v>361</v>
      </c>
      <c r="C158">
        <v>60.1</v>
      </c>
      <c r="D158">
        <v>2185</v>
      </c>
      <c r="E158" t="s">
        <v>362</v>
      </c>
      <c r="F158">
        <v>51</v>
      </c>
      <c r="G158">
        <v>2</v>
      </c>
      <c r="H158">
        <v>2690</v>
      </c>
      <c r="I158">
        <v>106</v>
      </c>
      <c r="J158">
        <v>11.14</v>
      </c>
      <c r="K158">
        <v>38036</v>
      </c>
      <c r="L158">
        <v>16.3</v>
      </c>
      <c r="M158">
        <v>2.4</v>
      </c>
      <c r="N158">
        <v>20.18</v>
      </c>
      <c r="O158">
        <v>44.5</v>
      </c>
    </row>
    <row r="159" spans="1:15">
      <c r="A159" t="s">
        <v>522</v>
      </c>
      <c r="B159" t="s">
        <v>361</v>
      </c>
      <c r="C159">
        <v>60.3</v>
      </c>
      <c r="D159">
        <v>2193</v>
      </c>
      <c r="E159" t="s">
        <v>362</v>
      </c>
      <c r="F159">
        <v>51</v>
      </c>
      <c r="G159">
        <v>2</v>
      </c>
      <c r="H159">
        <v>2745</v>
      </c>
      <c r="I159">
        <v>108</v>
      </c>
      <c r="J159">
        <v>11.17</v>
      </c>
      <c r="K159">
        <v>38162.6</v>
      </c>
      <c r="L159">
        <v>16.600000000000001</v>
      </c>
      <c r="M159">
        <v>2.4</v>
      </c>
      <c r="N159">
        <v>20.57</v>
      </c>
      <c r="O159">
        <v>45.34</v>
      </c>
    </row>
    <row r="160" spans="1:15">
      <c r="A160" t="s">
        <v>523</v>
      </c>
      <c r="B160" t="s">
        <v>361</v>
      </c>
      <c r="C160">
        <v>60.3</v>
      </c>
      <c r="D160">
        <v>2193</v>
      </c>
      <c r="E160" t="s">
        <v>362</v>
      </c>
      <c r="F160">
        <v>76</v>
      </c>
      <c r="G160">
        <v>3</v>
      </c>
      <c r="H160">
        <v>2665</v>
      </c>
      <c r="I160">
        <v>105</v>
      </c>
      <c r="J160">
        <v>11.17</v>
      </c>
      <c r="K160">
        <v>38162.6</v>
      </c>
      <c r="L160">
        <v>9.4</v>
      </c>
      <c r="M160">
        <v>1.4</v>
      </c>
      <c r="N160">
        <v>21.35</v>
      </c>
      <c r="O160">
        <v>47.07</v>
      </c>
    </row>
    <row r="161" spans="1:15">
      <c r="A161" t="s">
        <v>524</v>
      </c>
      <c r="B161" t="s">
        <v>361</v>
      </c>
      <c r="C161">
        <v>60.4</v>
      </c>
      <c r="D161">
        <v>2196</v>
      </c>
      <c r="E161" t="s">
        <v>362</v>
      </c>
      <c r="F161">
        <v>51</v>
      </c>
      <c r="G161">
        <v>2</v>
      </c>
      <c r="H161">
        <v>2795</v>
      </c>
      <c r="I161">
        <v>110</v>
      </c>
      <c r="J161">
        <v>11.19</v>
      </c>
      <c r="K161">
        <v>38225.800000000003</v>
      </c>
      <c r="L161">
        <v>16.899999999999999</v>
      </c>
      <c r="M161">
        <v>2.4</v>
      </c>
      <c r="N161">
        <v>20.95</v>
      </c>
      <c r="O161">
        <v>46.19</v>
      </c>
    </row>
    <row r="162" spans="1:15">
      <c r="A162" t="s">
        <v>525</v>
      </c>
      <c r="B162" t="s">
        <v>361</v>
      </c>
      <c r="C162">
        <v>60.5</v>
      </c>
      <c r="D162">
        <v>2200</v>
      </c>
      <c r="E162" t="s">
        <v>362</v>
      </c>
      <c r="F162">
        <v>102</v>
      </c>
      <c r="G162">
        <v>4</v>
      </c>
      <c r="H162">
        <v>2360</v>
      </c>
      <c r="I162">
        <v>93</v>
      </c>
      <c r="J162">
        <v>11.21</v>
      </c>
      <c r="K162">
        <v>38289.1</v>
      </c>
      <c r="L162">
        <v>7.3</v>
      </c>
      <c r="M162">
        <v>1.1000000000000001</v>
      </c>
      <c r="N162">
        <v>28.55</v>
      </c>
      <c r="O162">
        <v>62.94</v>
      </c>
    </row>
    <row r="163" spans="1:15">
      <c r="A163" t="s">
        <v>526</v>
      </c>
      <c r="B163" t="s">
        <v>361</v>
      </c>
      <c r="C163">
        <v>60.5</v>
      </c>
      <c r="D163">
        <v>2200</v>
      </c>
      <c r="E163" t="s">
        <v>362</v>
      </c>
      <c r="F163">
        <v>51</v>
      </c>
      <c r="G163">
        <v>2</v>
      </c>
      <c r="H163">
        <v>2845</v>
      </c>
      <c r="I163">
        <v>112</v>
      </c>
      <c r="J163">
        <v>11.21</v>
      </c>
      <c r="K163">
        <v>38289.1</v>
      </c>
      <c r="L163">
        <v>17.2</v>
      </c>
      <c r="M163">
        <v>2.5</v>
      </c>
      <c r="N163">
        <v>21.33</v>
      </c>
      <c r="O163">
        <v>47.03</v>
      </c>
    </row>
    <row r="164" spans="1:15">
      <c r="A164" t="s">
        <v>527</v>
      </c>
      <c r="B164" t="s">
        <v>361</v>
      </c>
      <c r="C164">
        <v>60.5</v>
      </c>
      <c r="D164">
        <v>2200</v>
      </c>
      <c r="E164" t="s">
        <v>362</v>
      </c>
      <c r="F164">
        <v>51</v>
      </c>
      <c r="G164">
        <v>2</v>
      </c>
      <c r="H164">
        <v>2895</v>
      </c>
      <c r="I164">
        <v>114</v>
      </c>
      <c r="J164">
        <v>11.21</v>
      </c>
      <c r="K164">
        <v>38289.1</v>
      </c>
      <c r="L164">
        <v>17.5</v>
      </c>
      <c r="M164">
        <v>2.5</v>
      </c>
      <c r="N164">
        <v>21.72</v>
      </c>
      <c r="O164">
        <v>47.87</v>
      </c>
    </row>
    <row r="165" spans="1:15">
      <c r="A165" t="s">
        <v>528</v>
      </c>
      <c r="B165" t="s">
        <v>361</v>
      </c>
      <c r="C165">
        <v>60.5</v>
      </c>
      <c r="D165">
        <v>2200</v>
      </c>
      <c r="E165" t="s">
        <v>362</v>
      </c>
      <c r="F165">
        <v>51</v>
      </c>
      <c r="G165">
        <v>2</v>
      </c>
      <c r="H165">
        <v>2995</v>
      </c>
      <c r="I165">
        <v>118</v>
      </c>
      <c r="J165">
        <v>11.21</v>
      </c>
      <c r="K165">
        <v>38289.1</v>
      </c>
      <c r="L165">
        <v>18</v>
      </c>
      <c r="M165">
        <v>2.6</v>
      </c>
      <c r="N165">
        <v>22.48</v>
      </c>
      <c r="O165">
        <v>49.56</v>
      </c>
    </row>
    <row r="166" spans="1:15">
      <c r="A166" t="s">
        <v>529</v>
      </c>
      <c r="B166" t="s">
        <v>361</v>
      </c>
      <c r="C166">
        <v>60.5</v>
      </c>
      <c r="D166">
        <v>2200</v>
      </c>
      <c r="E166" t="s">
        <v>362</v>
      </c>
      <c r="F166">
        <v>76</v>
      </c>
      <c r="G166">
        <v>3</v>
      </c>
      <c r="H166">
        <v>1930</v>
      </c>
      <c r="I166">
        <v>76</v>
      </c>
      <c r="J166">
        <v>11.21</v>
      </c>
      <c r="K166">
        <v>38289.1</v>
      </c>
      <c r="L166">
        <v>21</v>
      </c>
      <c r="M166">
        <v>3</v>
      </c>
      <c r="N166">
        <v>15.54</v>
      </c>
      <c r="O166">
        <v>34.26</v>
      </c>
    </row>
    <row r="167" spans="1:15">
      <c r="A167" t="s">
        <v>530</v>
      </c>
      <c r="B167" t="s">
        <v>361</v>
      </c>
      <c r="C167">
        <v>60.5</v>
      </c>
      <c r="D167">
        <v>2200</v>
      </c>
      <c r="E167" t="s">
        <v>362</v>
      </c>
      <c r="F167">
        <v>51</v>
      </c>
      <c r="G167">
        <v>2</v>
      </c>
      <c r="H167">
        <v>3050</v>
      </c>
      <c r="I167">
        <v>120</v>
      </c>
      <c r="J167">
        <v>11.21</v>
      </c>
      <c r="K167">
        <v>38289.1</v>
      </c>
      <c r="L167">
        <v>18.3</v>
      </c>
      <c r="M167">
        <v>2.7</v>
      </c>
      <c r="N167">
        <v>22.86</v>
      </c>
      <c r="O167">
        <v>50.41</v>
      </c>
    </row>
    <row r="168" spans="1:15">
      <c r="A168" t="s">
        <v>531</v>
      </c>
      <c r="B168" t="s">
        <v>361</v>
      </c>
      <c r="C168">
        <v>60.6</v>
      </c>
      <c r="D168">
        <v>2204</v>
      </c>
      <c r="E168" t="s">
        <v>362</v>
      </c>
      <c r="F168">
        <v>76</v>
      </c>
      <c r="G168">
        <v>3</v>
      </c>
      <c r="H168">
        <v>2745</v>
      </c>
      <c r="I168">
        <v>108</v>
      </c>
      <c r="J168">
        <v>11.23</v>
      </c>
      <c r="K168">
        <v>38352.400000000001</v>
      </c>
      <c r="L168">
        <v>9.6999999999999993</v>
      </c>
      <c r="M168">
        <v>1.4</v>
      </c>
      <c r="N168">
        <v>21.94</v>
      </c>
      <c r="O168">
        <v>48.36</v>
      </c>
    </row>
    <row r="169" spans="1:15">
      <c r="A169" t="s">
        <v>532</v>
      </c>
      <c r="B169" t="s">
        <v>361</v>
      </c>
      <c r="C169">
        <v>60.6</v>
      </c>
      <c r="D169">
        <v>2204</v>
      </c>
      <c r="E169" t="s">
        <v>362</v>
      </c>
      <c r="F169">
        <v>51</v>
      </c>
      <c r="G169">
        <v>2</v>
      </c>
      <c r="H169">
        <v>2945</v>
      </c>
      <c r="I169">
        <v>116</v>
      </c>
      <c r="J169">
        <v>11.23</v>
      </c>
      <c r="K169">
        <v>38352.400000000001</v>
      </c>
      <c r="L169">
        <v>17.7</v>
      </c>
      <c r="M169">
        <v>2.6</v>
      </c>
      <c r="N169">
        <v>22.1</v>
      </c>
      <c r="O169">
        <v>48.72</v>
      </c>
    </row>
    <row r="170" spans="1:15">
      <c r="A170" t="s">
        <v>533</v>
      </c>
      <c r="B170" t="s">
        <v>361</v>
      </c>
      <c r="C170">
        <v>60.8</v>
      </c>
      <c r="D170">
        <v>2211</v>
      </c>
      <c r="E170" t="s">
        <v>362</v>
      </c>
      <c r="F170">
        <v>102</v>
      </c>
      <c r="G170">
        <v>4</v>
      </c>
      <c r="H170">
        <v>1880</v>
      </c>
      <c r="I170">
        <v>74</v>
      </c>
      <c r="J170">
        <v>11.27</v>
      </c>
      <c r="K170">
        <v>38479</v>
      </c>
      <c r="L170">
        <v>14.9</v>
      </c>
      <c r="M170">
        <v>2.2000000000000002</v>
      </c>
      <c r="N170">
        <v>22.06</v>
      </c>
      <c r="O170">
        <v>48.64</v>
      </c>
    </row>
    <row r="171" spans="1:15">
      <c r="A171" t="s">
        <v>534</v>
      </c>
      <c r="B171" t="s">
        <v>361</v>
      </c>
      <c r="C171">
        <v>60.9</v>
      </c>
      <c r="D171">
        <v>2214</v>
      </c>
      <c r="E171" t="s">
        <v>362</v>
      </c>
      <c r="F171">
        <v>76</v>
      </c>
      <c r="G171">
        <v>3</v>
      </c>
      <c r="H171">
        <v>2820</v>
      </c>
      <c r="I171">
        <v>111</v>
      </c>
      <c r="J171">
        <v>11.29</v>
      </c>
      <c r="K171">
        <v>38542.300000000003</v>
      </c>
      <c r="L171">
        <v>10</v>
      </c>
      <c r="M171">
        <v>1.5</v>
      </c>
      <c r="N171">
        <v>22.52</v>
      </c>
      <c r="O171">
        <v>49.65</v>
      </c>
    </row>
    <row r="172" spans="1:15">
      <c r="A172" t="s">
        <v>535</v>
      </c>
      <c r="B172" t="s">
        <v>361</v>
      </c>
      <c r="C172">
        <v>61.1</v>
      </c>
      <c r="D172">
        <v>2222</v>
      </c>
      <c r="E172" t="s">
        <v>362</v>
      </c>
      <c r="F172">
        <v>76</v>
      </c>
      <c r="G172">
        <v>3</v>
      </c>
      <c r="H172">
        <v>2895</v>
      </c>
      <c r="I172">
        <v>114</v>
      </c>
      <c r="J172">
        <v>11.32</v>
      </c>
      <c r="K172">
        <v>38668.9</v>
      </c>
      <c r="L172">
        <v>10.3</v>
      </c>
      <c r="M172">
        <v>1.5</v>
      </c>
      <c r="N172">
        <v>23.1</v>
      </c>
      <c r="O172">
        <v>50.93</v>
      </c>
    </row>
    <row r="173" spans="1:15">
      <c r="A173" t="s">
        <v>536</v>
      </c>
      <c r="B173" t="s">
        <v>361</v>
      </c>
      <c r="C173">
        <v>61.2</v>
      </c>
      <c r="D173">
        <v>2225</v>
      </c>
      <c r="E173" t="s">
        <v>362</v>
      </c>
      <c r="F173">
        <v>76</v>
      </c>
      <c r="G173">
        <v>3</v>
      </c>
      <c r="H173">
        <v>3050</v>
      </c>
      <c r="I173">
        <v>120</v>
      </c>
      <c r="J173">
        <v>11.34</v>
      </c>
      <c r="K173">
        <v>38732.1</v>
      </c>
      <c r="L173">
        <v>11</v>
      </c>
      <c r="M173">
        <v>1.6</v>
      </c>
      <c r="N173">
        <v>24.27</v>
      </c>
      <c r="O173">
        <v>53.51</v>
      </c>
    </row>
    <row r="174" spans="1:15">
      <c r="A174" t="s">
        <v>537</v>
      </c>
      <c r="B174" t="s">
        <v>361</v>
      </c>
      <c r="C174">
        <v>61.2</v>
      </c>
      <c r="D174">
        <v>2225</v>
      </c>
      <c r="E174" t="s">
        <v>362</v>
      </c>
      <c r="F174">
        <v>76</v>
      </c>
      <c r="G174">
        <v>3</v>
      </c>
      <c r="H174">
        <v>2970</v>
      </c>
      <c r="I174">
        <v>117</v>
      </c>
      <c r="J174">
        <v>11.34</v>
      </c>
      <c r="K174">
        <v>38732.1</v>
      </c>
      <c r="L174">
        <v>10.6</v>
      </c>
      <c r="M174">
        <v>1.5</v>
      </c>
      <c r="N174">
        <v>23.69</v>
      </c>
      <c r="O174">
        <v>52.22</v>
      </c>
    </row>
    <row r="175" spans="1:15">
      <c r="A175" t="s">
        <v>538</v>
      </c>
      <c r="B175" t="s">
        <v>361</v>
      </c>
      <c r="C175">
        <v>61.3</v>
      </c>
      <c r="D175">
        <v>2229</v>
      </c>
      <c r="E175" t="s">
        <v>362</v>
      </c>
      <c r="F175">
        <v>76</v>
      </c>
      <c r="G175">
        <v>3</v>
      </c>
      <c r="H175">
        <v>1980</v>
      </c>
      <c r="I175">
        <v>78</v>
      </c>
      <c r="J175">
        <v>11.36</v>
      </c>
      <c r="K175">
        <v>38795.4</v>
      </c>
      <c r="L175">
        <v>21.5</v>
      </c>
      <c r="M175">
        <v>3.1</v>
      </c>
      <c r="N175">
        <v>15.93</v>
      </c>
      <c r="O175">
        <v>35.130000000000003</v>
      </c>
    </row>
    <row r="176" spans="1:15">
      <c r="A176" t="s">
        <v>539</v>
      </c>
      <c r="B176" t="s">
        <v>361</v>
      </c>
      <c r="C176">
        <v>61.5</v>
      </c>
      <c r="D176">
        <v>2236</v>
      </c>
      <c r="E176" t="s">
        <v>362</v>
      </c>
      <c r="F176">
        <v>102</v>
      </c>
      <c r="G176">
        <v>4</v>
      </c>
      <c r="H176">
        <v>2440</v>
      </c>
      <c r="I176">
        <v>96</v>
      </c>
      <c r="J176">
        <v>11.4</v>
      </c>
      <c r="K176">
        <v>38922</v>
      </c>
      <c r="L176">
        <v>7.5</v>
      </c>
      <c r="M176">
        <v>1.1000000000000001</v>
      </c>
      <c r="N176">
        <v>29.47</v>
      </c>
      <c r="O176">
        <v>64.959999999999994</v>
      </c>
    </row>
    <row r="177" spans="1:15">
      <c r="A177" t="s">
        <v>540</v>
      </c>
      <c r="B177" t="s">
        <v>361</v>
      </c>
      <c r="C177">
        <v>61.6</v>
      </c>
      <c r="D177">
        <v>2240</v>
      </c>
      <c r="E177" t="s">
        <v>362</v>
      </c>
      <c r="F177">
        <v>102</v>
      </c>
      <c r="G177">
        <v>4</v>
      </c>
      <c r="H177">
        <v>1930</v>
      </c>
      <c r="I177">
        <v>76</v>
      </c>
      <c r="J177">
        <v>11.42</v>
      </c>
      <c r="K177">
        <v>38985.300000000003</v>
      </c>
      <c r="L177">
        <v>15.2</v>
      </c>
      <c r="M177">
        <v>2.2000000000000002</v>
      </c>
      <c r="N177">
        <v>22.65</v>
      </c>
      <c r="O177">
        <v>49.94</v>
      </c>
    </row>
    <row r="178" spans="1:15">
      <c r="A178" t="s">
        <v>541</v>
      </c>
      <c r="B178" t="s">
        <v>361</v>
      </c>
      <c r="C178">
        <v>62</v>
      </c>
      <c r="D178">
        <v>2254</v>
      </c>
      <c r="E178" t="s">
        <v>362</v>
      </c>
      <c r="F178">
        <v>76</v>
      </c>
      <c r="G178">
        <v>3</v>
      </c>
      <c r="H178">
        <v>2030</v>
      </c>
      <c r="I178">
        <v>80</v>
      </c>
      <c r="J178">
        <v>11.49</v>
      </c>
      <c r="K178">
        <v>39238.400000000001</v>
      </c>
      <c r="L178">
        <v>22.1</v>
      </c>
      <c r="M178">
        <v>3.2</v>
      </c>
      <c r="N178">
        <v>16.329999999999998</v>
      </c>
      <c r="O178">
        <v>35.99</v>
      </c>
    </row>
    <row r="179" spans="1:15">
      <c r="A179" t="s">
        <v>542</v>
      </c>
      <c r="B179" t="s">
        <v>361</v>
      </c>
      <c r="C179">
        <v>62.4</v>
      </c>
      <c r="D179">
        <v>2269</v>
      </c>
      <c r="E179" t="s">
        <v>362</v>
      </c>
      <c r="F179">
        <v>102</v>
      </c>
      <c r="G179">
        <v>4</v>
      </c>
      <c r="H179">
        <v>1980</v>
      </c>
      <c r="I179">
        <v>78</v>
      </c>
      <c r="J179">
        <v>11.56</v>
      </c>
      <c r="K179">
        <v>39491.599999999999</v>
      </c>
      <c r="L179">
        <v>15.6</v>
      </c>
      <c r="M179">
        <v>2.2999999999999998</v>
      </c>
      <c r="N179">
        <v>23.24</v>
      </c>
      <c r="O179">
        <v>51.24</v>
      </c>
    </row>
    <row r="180" spans="1:15">
      <c r="A180" t="s">
        <v>543</v>
      </c>
      <c r="B180" t="s">
        <v>361</v>
      </c>
      <c r="C180">
        <v>62.5</v>
      </c>
      <c r="D180">
        <v>2273</v>
      </c>
      <c r="E180" t="s">
        <v>362</v>
      </c>
      <c r="F180">
        <v>102</v>
      </c>
      <c r="G180">
        <v>4</v>
      </c>
      <c r="H180">
        <v>2515</v>
      </c>
      <c r="I180">
        <v>99</v>
      </c>
      <c r="J180">
        <v>11.58</v>
      </c>
      <c r="K180">
        <v>39554.9</v>
      </c>
      <c r="L180">
        <v>7.7</v>
      </c>
      <c r="M180">
        <v>1.1000000000000001</v>
      </c>
      <c r="N180">
        <v>30.38</v>
      </c>
      <c r="O180">
        <v>66.98</v>
      </c>
    </row>
    <row r="181" spans="1:15">
      <c r="A181" t="s">
        <v>544</v>
      </c>
      <c r="B181" t="s">
        <v>361</v>
      </c>
      <c r="C181">
        <v>62.8</v>
      </c>
      <c r="D181">
        <v>2284</v>
      </c>
      <c r="E181" t="s">
        <v>362</v>
      </c>
      <c r="F181">
        <v>76</v>
      </c>
      <c r="G181">
        <v>3</v>
      </c>
      <c r="H181">
        <v>2085</v>
      </c>
      <c r="I181">
        <v>82</v>
      </c>
      <c r="J181">
        <v>11.64</v>
      </c>
      <c r="K181">
        <v>39744.800000000003</v>
      </c>
      <c r="L181">
        <v>22.6</v>
      </c>
      <c r="M181">
        <v>3.3</v>
      </c>
      <c r="N181">
        <v>16.72</v>
      </c>
      <c r="O181">
        <v>36.85</v>
      </c>
    </row>
    <row r="182" spans="1:15">
      <c r="A182" t="s">
        <v>545</v>
      </c>
      <c r="B182" t="s">
        <v>361</v>
      </c>
      <c r="C182">
        <v>63.2</v>
      </c>
      <c r="D182">
        <v>2298</v>
      </c>
      <c r="E182" t="s">
        <v>362</v>
      </c>
      <c r="F182">
        <v>102</v>
      </c>
      <c r="G182">
        <v>4</v>
      </c>
      <c r="H182">
        <v>2030</v>
      </c>
      <c r="I182">
        <v>80</v>
      </c>
      <c r="J182">
        <v>11.71</v>
      </c>
      <c r="K182">
        <v>39997.9</v>
      </c>
      <c r="L182">
        <v>16</v>
      </c>
      <c r="M182">
        <v>2.2999999999999998</v>
      </c>
      <c r="N182">
        <v>23.83</v>
      </c>
      <c r="O182">
        <v>52.54</v>
      </c>
    </row>
    <row r="183" spans="1:15">
      <c r="A183" t="s">
        <v>546</v>
      </c>
      <c r="B183" t="s">
        <v>361</v>
      </c>
      <c r="C183">
        <v>63.4</v>
      </c>
      <c r="D183">
        <v>2305</v>
      </c>
      <c r="E183" t="s">
        <v>362</v>
      </c>
      <c r="F183">
        <v>76</v>
      </c>
      <c r="G183">
        <v>3</v>
      </c>
      <c r="H183">
        <v>2135</v>
      </c>
      <c r="I183">
        <v>84</v>
      </c>
      <c r="J183">
        <v>11.75</v>
      </c>
      <c r="K183">
        <v>40124.5</v>
      </c>
      <c r="L183">
        <v>23.2</v>
      </c>
      <c r="M183">
        <v>3.4</v>
      </c>
      <c r="N183">
        <v>17.11</v>
      </c>
      <c r="O183">
        <v>37.72</v>
      </c>
    </row>
    <row r="184" spans="1:15">
      <c r="A184" t="s">
        <v>547</v>
      </c>
      <c r="B184" t="s">
        <v>361</v>
      </c>
      <c r="C184">
        <v>63.5</v>
      </c>
      <c r="D184">
        <v>2309</v>
      </c>
      <c r="E184" t="s">
        <v>362</v>
      </c>
      <c r="F184">
        <v>102</v>
      </c>
      <c r="G184">
        <v>4</v>
      </c>
      <c r="H184">
        <v>2590</v>
      </c>
      <c r="I184">
        <v>102</v>
      </c>
      <c r="J184">
        <v>11.77</v>
      </c>
      <c r="K184">
        <v>40187.800000000003</v>
      </c>
      <c r="L184">
        <v>7.9</v>
      </c>
      <c r="M184">
        <v>1.1000000000000001</v>
      </c>
      <c r="N184">
        <v>31.29</v>
      </c>
      <c r="O184">
        <v>68.989999999999995</v>
      </c>
    </row>
    <row r="185" spans="1:15">
      <c r="A185" t="s">
        <v>548</v>
      </c>
      <c r="B185" t="s">
        <v>361</v>
      </c>
      <c r="C185">
        <v>64</v>
      </c>
      <c r="D185">
        <v>2327</v>
      </c>
      <c r="E185" t="s">
        <v>362</v>
      </c>
      <c r="F185">
        <v>102</v>
      </c>
      <c r="G185">
        <v>4</v>
      </c>
      <c r="H185">
        <v>2085</v>
      </c>
      <c r="I185">
        <v>82</v>
      </c>
      <c r="J185">
        <v>11.86</v>
      </c>
      <c r="K185">
        <v>40504.199999999997</v>
      </c>
      <c r="L185">
        <v>16.3</v>
      </c>
      <c r="M185">
        <v>2.4</v>
      </c>
      <c r="N185">
        <v>24.42</v>
      </c>
      <c r="O185">
        <v>53.84</v>
      </c>
    </row>
    <row r="186" spans="1:15">
      <c r="A186" t="s">
        <v>549</v>
      </c>
      <c r="B186" t="s">
        <v>361</v>
      </c>
      <c r="C186">
        <v>64.099999999999994</v>
      </c>
      <c r="D186">
        <v>2331</v>
      </c>
      <c r="E186" t="s">
        <v>362</v>
      </c>
      <c r="F186">
        <v>76</v>
      </c>
      <c r="G186">
        <v>3</v>
      </c>
      <c r="H186">
        <v>2185</v>
      </c>
      <c r="I186">
        <v>86</v>
      </c>
      <c r="J186">
        <v>11.88</v>
      </c>
      <c r="K186">
        <v>40567.5</v>
      </c>
      <c r="L186">
        <v>23.7</v>
      </c>
      <c r="M186">
        <v>3.4</v>
      </c>
      <c r="N186">
        <v>17.5</v>
      </c>
      <c r="O186">
        <v>38.58</v>
      </c>
    </row>
    <row r="187" spans="1:15">
      <c r="A187" t="s">
        <v>550</v>
      </c>
      <c r="B187" t="s">
        <v>361</v>
      </c>
      <c r="C187">
        <v>64.3</v>
      </c>
      <c r="D187">
        <v>2338</v>
      </c>
      <c r="E187" t="s">
        <v>362</v>
      </c>
      <c r="F187">
        <v>102</v>
      </c>
      <c r="G187">
        <v>4</v>
      </c>
      <c r="H187">
        <v>2665</v>
      </c>
      <c r="I187">
        <v>105</v>
      </c>
      <c r="J187">
        <v>11.92</v>
      </c>
      <c r="K187">
        <v>40694.1</v>
      </c>
      <c r="L187">
        <v>8</v>
      </c>
      <c r="M187">
        <v>1.2</v>
      </c>
      <c r="N187">
        <v>32.21</v>
      </c>
      <c r="O187">
        <v>71.010000000000005</v>
      </c>
    </row>
    <row r="188" spans="1:15">
      <c r="A188" t="s">
        <v>551</v>
      </c>
      <c r="B188" t="s">
        <v>361</v>
      </c>
      <c r="C188">
        <v>64.7</v>
      </c>
      <c r="D188">
        <v>2353</v>
      </c>
      <c r="E188" t="s">
        <v>362</v>
      </c>
      <c r="F188">
        <v>76</v>
      </c>
      <c r="G188">
        <v>3</v>
      </c>
      <c r="H188">
        <v>2235</v>
      </c>
      <c r="I188">
        <v>88</v>
      </c>
      <c r="J188">
        <v>11.99</v>
      </c>
      <c r="K188">
        <v>40947.199999999997</v>
      </c>
      <c r="L188">
        <v>24.3</v>
      </c>
      <c r="M188">
        <v>3.5</v>
      </c>
      <c r="N188">
        <v>17.89</v>
      </c>
      <c r="O188">
        <v>39.44</v>
      </c>
    </row>
    <row r="189" spans="1:15">
      <c r="A189" t="s">
        <v>552</v>
      </c>
      <c r="B189" t="s">
        <v>361</v>
      </c>
      <c r="C189">
        <v>64.7</v>
      </c>
      <c r="D189">
        <v>2353</v>
      </c>
      <c r="E189" t="s">
        <v>362</v>
      </c>
      <c r="F189">
        <v>102</v>
      </c>
      <c r="G189">
        <v>4</v>
      </c>
      <c r="H189">
        <v>2135</v>
      </c>
      <c r="I189">
        <v>84</v>
      </c>
      <c r="J189">
        <v>11.99</v>
      </c>
      <c r="K189">
        <v>40947.199999999997</v>
      </c>
      <c r="L189">
        <v>16.7</v>
      </c>
      <c r="M189">
        <v>2.4</v>
      </c>
      <c r="N189">
        <v>25.01</v>
      </c>
      <c r="O189">
        <v>55.14</v>
      </c>
    </row>
    <row r="190" spans="1:15">
      <c r="A190" t="s">
        <v>553</v>
      </c>
      <c r="B190" t="s">
        <v>361</v>
      </c>
      <c r="C190">
        <v>65.099999999999994</v>
      </c>
      <c r="D190">
        <v>2367</v>
      </c>
      <c r="E190" t="s">
        <v>362</v>
      </c>
      <c r="F190">
        <v>102</v>
      </c>
      <c r="G190">
        <v>4</v>
      </c>
      <c r="H190">
        <v>2745</v>
      </c>
      <c r="I190">
        <v>108</v>
      </c>
      <c r="J190">
        <v>12.06</v>
      </c>
      <c r="K190">
        <v>41200.400000000001</v>
      </c>
      <c r="L190">
        <v>8.1999999999999993</v>
      </c>
      <c r="M190">
        <v>1.2</v>
      </c>
      <c r="N190">
        <v>33.119999999999997</v>
      </c>
      <c r="O190">
        <v>73.02</v>
      </c>
    </row>
    <row r="191" spans="1:15">
      <c r="A191" t="s">
        <v>554</v>
      </c>
      <c r="B191" t="s">
        <v>361</v>
      </c>
      <c r="C191">
        <v>65.400000000000006</v>
      </c>
      <c r="D191">
        <v>2378</v>
      </c>
      <c r="E191" t="s">
        <v>362</v>
      </c>
      <c r="F191">
        <v>76</v>
      </c>
      <c r="G191">
        <v>3</v>
      </c>
      <c r="H191">
        <v>2285</v>
      </c>
      <c r="I191">
        <v>90</v>
      </c>
      <c r="J191">
        <v>12.12</v>
      </c>
      <c r="K191">
        <v>41390.199999999997</v>
      </c>
      <c r="L191">
        <v>24.9</v>
      </c>
      <c r="M191">
        <v>3.6</v>
      </c>
      <c r="N191">
        <v>18.28</v>
      </c>
      <c r="O191">
        <v>40.31</v>
      </c>
    </row>
    <row r="192" spans="1:15">
      <c r="A192" t="s">
        <v>555</v>
      </c>
      <c r="B192" t="s">
        <v>361</v>
      </c>
      <c r="C192">
        <v>65.400000000000006</v>
      </c>
      <c r="D192">
        <v>2378</v>
      </c>
      <c r="E192" t="s">
        <v>362</v>
      </c>
      <c r="F192">
        <v>102</v>
      </c>
      <c r="G192">
        <v>4</v>
      </c>
      <c r="H192">
        <v>2185</v>
      </c>
      <c r="I192">
        <v>86</v>
      </c>
      <c r="J192">
        <v>12.12</v>
      </c>
      <c r="K192">
        <v>41390.199999999997</v>
      </c>
      <c r="L192">
        <v>17</v>
      </c>
      <c r="M192">
        <v>2.5</v>
      </c>
      <c r="N192">
        <v>25.6</v>
      </c>
      <c r="O192">
        <v>56.44</v>
      </c>
    </row>
    <row r="193" spans="1:15">
      <c r="A193" t="s">
        <v>556</v>
      </c>
      <c r="B193" t="s">
        <v>361</v>
      </c>
      <c r="C193">
        <v>65.8</v>
      </c>
      <c r="D193">
        <v>2393</v>
      </c>
      <c r="E193" t="s">
        <v>362</v>
      </c>
      <c r="F193">
        <v>102</v>
      </c>
      <c r="G193">
        <v>4</v>
      </c>
      <c r="H193">
        <v>2820</v>
      </c>
      <c r="I193">
        <v>111</v>
      </c>
      <c r="J193">
        <v>12.19</v>
      </c>
      <c r="K193">
        <v>41643.4</v>
      </c>
      <c r="L193">
        <v>8.4</v>
      </c>
      <c r="M193">
        <v>1.2</v>
      </c>
      <c r="N193">
        <v>34.04</v>
      </c>
      <c r="O193">
        <v>75.040000000000006</v>
      </c>
    </row>
    <row r="194" spans="1:15">
      <c r="A194" t="s">
        <v>557</v>
      </c>
      <c r="B194" t="s">
        <v>361</v>
      </c>
      <c r="C194">
        <v>65.900000000000006</v>
      </c>
      <c r="D194">
        <v>2396</v>
      </c>
      <c r="E194" t="s">
        <v>362</v>
      </c>
      <c r="F194">
        <v>76</v>
      </c>
      <c r="G194">
        <v>3</v>
      </c>
      <c r="H194">
        <v>2335</v>
      </c>
      <c r="I194">
        <v>92</v>
      </c>
      <c r="J194">
        <v>12.21</v>
      </c>
      <c r="K194">
        <v>41706.699999999997</v>
      </c>
      <c r="L194">
        <v>25.4</v>
      </c>
      <c r="M194">
        <v>3.7</v>
      </c>
      <c r="N194">
        <v>18.68</v>
      </c>
      <c r="O194">
        <v>41.17</v>
      </c>
    </row>
    <row r="195" spans="1:15">
      <c r="A195" t="s">
        <v>558</v>
      </c>
      <c r="B195" t="s">
        <v>361</v>
      </c>
      <c r="C195">
        <v>66</v>
      </c>
      <c r="D195">
        <v>2400</v>
      </c>
      <c r="E195" t="s">
        <v>362</v>
      </c>
      <c r="F195">
        <v>102</v>
      </c>
      <c r="G195">
        <v>4</v>
      </c>
      <c r="H195">
        <v>2235</v>
      </c>
      <c r="I195">
        <v>88</v>
      </c>
      <c r="J195">
        <v>12.23</v>
      </c>
      <c r="K195">
        <v>41770</v>
      </c>
      <c r="L195">
        <v>17.399999999999999</v>
      </c>
      <c r="M195">
        <v>2.5</v>
      </c>
      <c r="N195">
        <v>26.19</v>
      </c>
      <c r="O195">
        <v>57.74</v>
      </c>
    </row>
    <row r="196" spans="1:15">
      <c r="A196" t="s">
        <v>559</v>
      </c>
      <c r="B196" t="s">
        <v>361</v>
      </c>
      <c r="C196">
        <v>66.400000000000006</v>
      </c>
      <c r="D196">
        <v>2414</v>
      </c>
      <c r="E196" t="s">
        <v>362</v>
      </c>
      <c r="F196">
        <v>102</v>
      </c>
      <c r="G196">
        <v>4</v>
      </c>
      <c r="H196">
        <v>2895</v>
      </c>
      <c r="I196">
        <v>114</v>
      </c>
      <c r="J196">
        <v>12.3</v>
      </c>
      <c r="K196">
        <v>42023.1</v>
      </c>
      <c r="L196">
        <v>8.6</v>
      </c>
      <c r="M196">
        <v>1.2</v>
      </c>
      <c r="N196">
        <v>34.950000000000003</v>
      </c>
      <c r="O196">
        <v>77.05</v>
      </c>
    </row>
    <row r="197" spans="1:15">
      <c r="A197" t="s">
        <v>560</v>
      </c>
      <c r="B197" t="s">
        <v>361</v>
      </c>
      <c r="C197">
        <v>66.5</v>
      </c>
      <c r="D197">
        <v>2418</v>
      </c>
      <c r="E197" t="s">
        <v>362</v>
      </c>
      <c r="F197">
        <v>76</v>
      </c>
      <c r="G197">
        <v>3</v>
      </c>
      <c r="H197">
        <v>2390</v>
      </c>
      <c r="I197">
        <v>94</v>
      </c>
      <c r="J197">
        <v>12.32</v>
      </c>
      <c r="K197">
        <v>42086.400000000001</v>
      </c>
      <c r="L197">
        <v>26</v>
      </c>
      <c r="M197">
        <v>3.8</v>
      </c>
      <c r="N197">
        <v>19.07</v>
      </c>
      <c r="O197">
        <v>42.03</v>
      </c>
    </row>
    <row r="198" spans="1:15">
      <c r="A198" t="s">
        <v>561</v>
      </c>
      <c r="B198" t="s">
        <v>361</v>
      </c>
      <c r="C198">
        <v>66.7</v>
      </c>
      <c r="D198">
        <v>2425</v>
      </c>
      <c r="E198" t="s">
        <v>362</v>
      </c>
      <c r="F198">
        <v>102</v>
      </c>
      <c r="G198">
        <v>4</v>
      </c>
      <c r="H198">
        <v>2285</v>
      </c>
      <c r="I198">
        <v>90</v>
      </c>
      <c r="J198">
        <v>12.36</v>
      </c>
      <c r="K198">
        <v>42213</v>
      </c>
      <c r="L198">
        <v>17.7</v>
      </c>
      <c r="M198">
        <v>2.6</v>
      </c>
      <c r="N198">
        <v>26.78</v>
      </c>
      <c r="O198">
        <v>59.04</v>
      </c>
    </row>
    <row r="199" spans="1:15">
      <c r="A199" t="s">
        <v>562</v>
      </c>
      <c r="B199" t="s">
        <v>361</v>
      </c>
      <c r="C199">
        <v>66.900000000000006</v>
      </c>
      <c r="D199">
        <v>2433</v>
      </c>
      <c r="E199" t="s">
        <v>362</v>
      </c>
      <c r="F199">
        <v>102</v>
      </c>
      <c r="G199">
        <v>4</v>
      </c>
      <c r="H199">
        <v>2970</v>
      </c>
      <c r="I199">
        <v>117</v>
      </c>
      <c r="J199">
        <v>12.4</v>
      </c>
      <c r="K199">
        <v>42339.6</v>
      </c>
      <c r="L199">
        <v>8.6999999999999993</v>
      </c>
      <c r="M199">
        <v>1.3</v>
      </c>
      <c r="N199">
        <v>35.869999999999997</v>
      </c>
      <c r="O199">
        <v>79.069999999999993</v>
      </c>
    </row>
    <row r="200" spans="1:15">
      <c r="A200" t="s">
        <v>563</v>
      </c>
      <c r="B200" t="s">
        <v>361</v>
      </c>
      <c r="C200">
        <v>67</v>
      </c>
      <c r="D200">
        <v>2436</v>
      </c>
      <c r="E200" t="s">
        <v>362</v>
      </c>
      <c r="F200">
        <v>76</v>
      </c>
      <c r="G200">
        <v>3</v>
      </c>
      <c r="H200">
        <v>2440</v>
      </c>
      <c r="I200">
        <v>96</v>
      </c>
      <c r="J200">
        <v>12.42</v>
      </c>
      <c r="K200">
        <v>42402.8</v>
      </c>
      <c r="L200">
        <v>26.5</v>
      </c>
      <c r="M200">
        <v>3.8</v>
      </c>
      <c r="N200">
        <v>19.46</v>
      </c>
      <c r="O200">
        <v>42.9</v>
      </c>
    </row>
    <row r="201" spans="1:15">
      <c r="A201" t="s">
        <v>564</v>
      </c>
      <c r="B201" t="s">
        <v>361</v>
      </c>
      <c r="C201">
        <v>67.3</v>
      </c>
      <c r="D201">
        <v>2447</v>
      </c>
      <c r="E201" t="s">
        <v>362</v>
      </c>
      <c r="F201">
        <v>102</v>
      </c>
      <c r="G201">
        <v>4</v>
      </c>
      <c r="H201">
        <v>2335</v>
      </c>
      <c r="I201">
        <v>92</v>
      </c>
      <c r="J201">
        <v>12.47</v>
      </c>
      <c r="K201">
        <v>42592.7</v>
      </c>
      <c r="L201">
        <v>18</v>
      </c>
      <c r="M201">
        <v>2.6</v>
      </c>
      <c r="N201">
        <v>27.37</v>
      </c>
      <c r="O201">
        <v>60.34</v>
      </c>
    </row>
    <row r="202" spans="1:15">
      <c r="A202" t="s">
        <v>565</v>
      </c>
      <c r="B202" t="s">
        <v>361</v>
      </c>
      <c r="C202">
        <v>67.400000000000006</v>
      </c>
      <c r="D202">
        <v>2451</v>
      </c>
      <c r="E202" t="s">
        <v>362</v>
      </c>
      <c r="F202">
        <v>102</v>
      </c>
      <c r="G202">
        <v>4</v>
      </c>
      <c r="H202">
        <v>3050</v>
      </c>
      <c r="I202">
        <v>120</v>
      </c>
      <c r="J202">
        <v>12.49</v>
      </c>
      <c r="K202">
        <v>42656</v>
      </c>
      <c r="L202">
        <v>8.9</v>
      </c>
      <c r="M202">
        <v>1.3</v>
      </c>
      <c r="N202">
        <v>36.78</v>
      </c>
      <c r="O202">
        <v>81.09</v>
      </c>
    </row>
    <row r="203" spans="1:15">
      <c r="A203" t="s">
        <v>566</v>
      </c>
      <c r="B203" t="s">
        <v>361</v>
      </c>
      <c r="C203">
        <v>67.5</v>
      </c>
      <c r="D203">
        <v>2454</v>
      </c>
      <c r="E203" t="s">
        <v>362</v>
      </c>
      <c r="F203">
        <v>76</v>
      </c>
      <c r="G203">
        <v>3</v>
      </c>
      <c r="H203">
        <v>2490</v>
      </c>
      <c r="I203">
        <v>98</v>
      </c>
      <c r="J203">
        <v>12.51</v>
      </c>
      <c r="K203">
        <v>42719.3</v>
      </c>
      <c r="L203">
        <v>27.1</v>
      </c>
      <c r="M203">
        <v>3.9</v>
      </c>
      <c r="N203">
        <v>19.850000000000001</v>
      </c>
      <c r="O203">
        <v>43.76</v>
      </c>
    </row>
    <row r="204" spans="1:15">
      <c r="A204" t="s">
        <v>567</v>
      </c>
      <c r="B204" t="s">
        <v>361</v>
      </c>
      <c r="C204">
        <v>67.900000000000006</v>
      </c>
      <c r="D204">
        <v>2469</v>
      </c>
      <c r="E204" t="s">
        <v>362</v>
      </c>
      <c r="F204">
        <v>102</v>
      </c>
      <c r="G204">
        <v>4</v>
      </c>
      <c r="H204">
        <v>2390</v>
      </c>
      <c r="I204">
        <v>94</v>
      </c>
      <c r="J204">
        <v>12.58</v>
      </c>
      <c r="K204">
        <v>42972.4</v>
      </c>
      <c r="L204">
        <v>18.399999999999999</v>
      </c>
      <c r="M204">
        <v>2.7</v>
      </c>
      <c r="N204">
        <v>27.96</v>
      </c>
      <c r="O204">
        <v>61.64</v>
      </c>
    </row>
    <row r="205" spans="1:15">
      <c r="A205" t="s">
        <v>568</v>
      </c>
      <c r="B205" t="s">
        <v>361</v>
      </c>
      <c r="C205">
        <v>68</v>
      </c>
      <c r="D205">
        <v>2473</v>
      </c>
      <c r="E205" t="s">
        <v>362</v>
      </c>
      <c r="F205">
        <v>76</v>
      </c>
      <c r="G205">
        <v>3</v>
      </c>
      <c r="H205">
        <v>2540</v>
      </c>
      <c r="I205">
        <v>100</v>
      </c>
      <c r="J205">
        <v>12.6</v>
      </c>
      <c r="K205">
        <v>43035.7</v>
      </c>
      <c r="L205">
        <v>27.6</v>
      </c>
      <c r="M205">
        <v>4</v>
      </c>
      <c r="N205">
        <v>20.239999999999998</v>
      </c>
      <c r="O205">
        <v>44.62</v>
      </c>
    </row>
    <row r="206" spans="1:15">
      <c r="A206" t="s">
        <v>569</v>
      </c>
      <c r="B206" t="s">
        <v>361</v>
      </c>
      <c r="C206">
        <v>68.400000000000006</v>
      </c>
      <c r="D206">
        <v>2487</v>
      </c>
      <c r="E206" t="s">
        <v>362</v>
      </c>
      <c r="F206">
        <v>76</v>
      </c>
      <c r="G206">
        <v>3</v>
      </c>
      <c r="H206">
        <v>2590</v>
      </c>
      <c r="I206">
        <v>102</v>
      </c>
      <c r="J206">
        <v>12.68</v>
      </c>
      <c r="K206">
        <v>43288.9</v>
      </c>
      <c r="L206">
        <v>28.2</v>
      </c>
      <c r="M206">
        <v>4.0999999999999996</v>
      </c>
      <c r="N206">
        <v>20.63</v>
      </c>
      <c r="O206">
        <v>45.49</v>
      </c>
    </row>
    <row r="207" spans="1:15">
      <c r="A207" t="s">
        <v>570</v>
      </c>
      <c r="B207" t="s">
        <v>361</v>
      </c>
      <c r="C207">
        <v>68.400000000000006</v>
      </c>
      <c r="D207">
        <v>2487</v>
      </c>
      <c r="E207" t="s">
        <v>362</v>
      </c>
      <c r="F207">
        <v>102</v>
      </c>
      <c r="G207">
        <v>4</v>
      </c>
      <c r="H207">
        <v>2440</v>
      </c>
      <c r="I207">
        <v>96</v>
      </c>
      <c r="J207">
        <v>12.68</v>
      </c>
      <c r="K207">
        <v>43288.9</v>
      </c>
      <c r="L207">
        <v>18.7</v>
      </c>
      <c r="M207">
        <v>2.7</v>
      </c>
      <c r="N207">
        <v>28.55</v>
      </c>
      <c r="O207">
        <v>62.94</v>
      </c>
    </row>
    <row r="208" spans="1:15">
      <c r="A208" t="s">
        <v>571</v>
      </c>
      <c r="B208" t="s">
        <v>361</v>
      </c>
      <c r="C208">
        <v>68.8</v>
      </c>
      <c r="D208">
        <v>2502</v>
      </c>
      <c r="E208" t="s">
        <v>362</v>
      </c>
      <c r="F208">
        <v>76</v>
      </c>
      <c r="G208">
        <v>3</v>
      </c>
      <c r="H208">
        <v>2640</v>
      </c>
      <c r="I208">
        <v>104</v>
      </c>
      <c r="J208">
        <v>12.75</v>
      </c>
      <c r="K208">
        <v>43542</v>
      </c>
      <c r="L208">
        <v>28.8</v>
      </c>
      <c r="M208">
        <v>4.2</v>
      </c>
      <c r="N208">
        <v>21.02</v>
      </c>
      <c r="O208">
        <v>46.35</v>
      </c>
    </row>
    <row r="209" spans="1:15">
      <c r="A209" t="s">
        <v>572</v>
      </c>
      <c r="B209" t="s">
        <v>361</v>
      </c>
      <c r="C209">
        <v>68.900000000000006</v>
      </c>
      <c r="D209">
        <v>2505</v>
      </c>
      <c r="E209" t="s">
        <v>362</v>
      </c>
      <c r="F209">
        <v>102</v>
      </c>
      <c r="G209">
        <v>4</v>
      </c>
      <c r="H209">
        <v>2490</v>
      </c>
      <c r="I209">
        <v>98</v>
      </c>
      <c r="J209">
        <v>12.77</v>
      </c>
      <c r="K209">
        <v>43605.3</v>
      </c>
      <c r="L209">
        <v>19.100000000000001</v>
      </c>
      <c r="M209">
        <v>2.8</v>
      </c>
      <c r="N209">
        <v>29.14</v>
      </c>
      <c r="O209">
        <v>64.239999999999995</v>
      </c>
    </row>
    <row r="210" spans="1:15">
      <c r="A210" t="s">
        <v>573</v>
      </c>
      <c r="B210" t="s">
        <v>361</v>
      </c>
      <c r="C210">
        <v>69.2</v>
      </c>
      <c r="D210">
        <v>2516</v>
      </c>
      <c r="E210" t="s">
        <v>362</v>
      </c>
      <c r="F210">
        <v>76</v>
      </c>
      <c r="G210">
        <v>3</v>
      </c>
      <c r="H210">
        <v>2690</v>
      </c>
      <c r="I210">
        <v>106</v>
      </c>
      <c r="J210">
        <v>12.82</v>
      </c>
      <c r="K210">
        <v>43795.199999999997</v>
      </c>
      <c r="L210">
        <v>29.3</v>
      </c>
      <c r="M210">
        <v>4.3</v>
      </c>
      <c r="N210">
        <v>21.42</v>
      </c>
      <c r="O210">
        <v>47.21</v>
      </c>
    </row>
    <row r="211" spans="1:15">
      <c r="A211" t="s">
        <v>574</v>
      </c>
      <c r="B211" t="s">
        <v>361</v>
      </c>
      <c r="C211">
        <v>69.400000000000006</v>
      </c>
      <c r="D211">
        <v>2524</v>
      </c>
      <c r="E211" t="s">
        <v>362</v>
      </c>
      <c r="F211">
        <v>102</v>
      </c>
      <c r="G211">
        <v>4</v>
      </c>
      <c r="H211">
        <v>2540</v>
      </c>
      <c r="I211">
        <v>100</v>
      </c>
      <c r="J211">
        <v>12.86</v>
      </c>
      <c r="K211">
        <v>43921.7</v>
      </c>
      <c r="L211">
        <v>19.399999999999999</v>
      </c>
      <c r="M211">
        <v>2.8</v>
      </c>
      <c r="N211">
        <v>29.73</v>
      </c>
      <c r="O211">
        <v>65.540000000000006</v>
      </c>
    </row>
    <row r="212" spans="1:15">
      <c r="A212" t="s">
        <v>575</v>
      </c>
      <c r="B212" t="s">
        <v>361</v>
      </c>
      <c r="C212">
        <v>69.5</v>
      </c>
      <c r="D212">
        <v>2527</v>
      </c>
      <c r="E212" t="s">
        <v>362</v>
      </c>
      <c r="F212">
        <v>76</v>
      </c>
      <c r="G212">
        <v>3</v>
      </c>
      <c r="H212">
        <v>2745</v>
      </c>
      <c r="I212">
        <v>108</v>
      </c>
      <c r="J212">
        <v>12.88</v>
      </c>
      <c r="K212">
        <v>43985</v>
      </c>
      <c r="L212">
        <v>29.9</v>
      </c>
      <c r="M212">
        <v>4.3</v>
      </c>
      <c r="N212">
        <v>21.81</v>
      </c>
      <c r="O212">
        <v>48.08</v>
      </c>
    </row>
    <row r="213" spans="1:15">
      <c r="A213" t="s">
        <v>576</v>
      </c>
      <c r="B213" t="s">
        <v>361</v>
      </c>
      <c r="C213">
        <v>69.900000000000006</v>
      </c>
      <c r="D213">
        <v>2542</v>
      </c>
      <c r="E213" t="s">
        <v>362</v>
      </c>
      <c r="F213">
        <v>102</v>
      </c>
      <c r="G213">
        <v>4</v>
      </c>
      <c r="H213">
        <v>2590</v>
      </c>
      <c r="I213">
        <v>102</v>
      </c>
      <c r="J213">
        <v>12.95</v>
      </c>
      <c r="K213">
        <v>44238.2</v>
      </c>
      <c r="L213">
        <v>19.7</v>
      </c>
      <c r="M213">
        <v>2.9</v>
      </c>
      <c r="N213">
        <v>30.32</v>
      </c>
      <c r="O213">
        <v>66.84</v>
      </c>
    </row>
    <row r="214" spans="1:15">
      <c r="A214" t="s">
        <v>577</v>
      </c>
      <c r="B214" t="s">
        <v>361</v>
      </c>
      <c r="C214">
        <v>69.900000000000006</v>
      </c>
      <c r="D214">
        <v>2542</v>
      </c>
      <c r="E214" t="s">
        <v>362</v>
      </c>
      <c r="F214">
        <v>76</v>
      </c>
      <c r="G214">
        <v>3</v>
      </c>
      <c r="H214">
        <v>2795</v>
      </c>
      <c r="I214">
        <v>110</v>
      </c>
      <c r="J214">
        <v>12.95</v>
      </c>
      <c r="K214">
        <v>44238.2</v>
      </c>
      <c r="L214">
        <v>30.4</v>
      </c>
      <c r="M214">
        <v>4.4000000000000004</v>
      </c>
      <c r="N214">
        <v>22.2</v>
      </c>
      <c r="O214">
        <v>48.94</v>
      </c>
    </row>
    <row r="215" spans="1:15">
      <c r="A215" t="s">
        <v>578</v>
      </c>
      <c r="B215" t="s">
        <v>361</v>
      </c>
      <c r="C215">
        <v>70.2</v>
      </c>
      <c r="D215">
        <v>2553</v>
      </c>
      <c r="E215" t="s">
        <v>362</v>
      </c>
      <c r="F215">
        <v>76</v>
      </c>
      <c r="G215">
        <v>3</v>
      </c>
      <c r="H215">
        <v>2845</v>
      </c>
      <c r="I215">
        <v>112</v>
      </c>
      <c r="J215">
        <v>13.01</v>
      </c>
      <c r="K215">
        <v>44428</v>
      </c>
      <c r="L215">
        <v>31</v>
      </c>
      <c r="M215">
        <v>4.5</v>
      </c>
      <c r="N215">
        <v>22.59</v>
      </c>
      <c r="O215">
        <v>49.8</v>
      </c>
    </row>
    <row r="216" spans="1:15">
      <c r="A216" t="s">
        <v>579</v>
      </c>
      <c r="B216" t="s">
        <v>361</v>
      </c>
      <c r="C216">
        <v>70.3</v>
      </c>
      <c r="D216">
        <v>2556</v>
      </c>
      <c r="E216" t="s">
        <v>362</v>
      </c>
      <c r="F216">
        <v>102</v>
      </c>
      <c r="G216">
        <v>4</v>
      </c>
      <c r="H216">
        <v>2640</v>
      </c>
      <c r="I216">
        <v>104</v>
      </c>
      <c r="J216">
        <v>13.03</v>
      </c>
      <c r="K216">
        <v>44491.3</v>
      </c>
      <c r="L216">
        <v>20</v>
      </c>
      <c r="M216">
        <v>2.9</v>
      </c>
      <c r="N216">
        <v>30.91</v>
      </c>
      <c r="O216">
        <v>68.14</v>
      </c>
    </row>
    <row r="217" spans="1:15">
      <c r="A217" t="s">
        <v>580</v>
      </c>
      <c r="B217" t="s">
        <v>361</v>
      </c>
      <c r="C217">
        <v>70.400000000000006</v>
      </c>
      <c r="D217">
        <v>2560</v>
      </c>
      <c r="E217" t="s">
        <v>362</v>
      </c>
      <c r="F217">
        <v>76</v>
      </c>
      <c r="G217">
        <v>3</v>
      </c>
      <c r="H217">
        <v>2895</v>
      </c>
      <c r="I217">
        <v>114</v>
      </c>
      <c r="J217">
        <v>13.05</v>
      </c>
      <c r="K217">
        <v>44554.6</v>
      </c>
      <c r="L217">
        <v>31.6</v>
      </c>
      <c r="M217">
        <v>4.5999999999999996</v>
      </c>
      <c r="N217">
        <v>22.98</v>
      </c>
      <c r="O217">
        <v>50.67</v>
      </c>
    </row>
    <row r="218" spans="1:15">
      <c r="A218" t="s">
        <v>581</v>
      </c>
      <c r="B218" t="s">
        <v>361</v>
      </c>
      <c r="C218">
        <v>70.7</v>
      </c>
      <c r="D218">
        <v>2571</v>
      </c>
      <c r="E218" t="s">
        <v>362</v>
      </c>
      <c r="F218">
        <v>102</v>
      </c>
      <c r="G218">
        <v>4</v>
      </c>
      <c r="H218">
        <v>2690</v>
      </c>
      <c r="I218">
        <v>106</v>
      </c>
      <c r="J218">
        <v>13.1</v>
      </c>
      <c r="K218">
        <v>44744.5</v>
      </c>
      <c r="L218">
        <v>20.399999999999999</v>
      </c>
      <c r="M218">
        <v>3</v>
      </c>
      <c r="N218">
        <v>31.5</v>
      </c>
      <c r="O218">
        <v>69.44</v>
      </c>
    </row>
    <row r="219" spans="1:15">
      <c r="A219" t="s">
        <v>582</v>
      </c>
      <c r="B219" t="s">
        <v>361</v>
      </c>
      <c r="C219">
        <v>70.7</v>
      </c>
      <c r="D219">
        <v>2571</v>
      </c>
      <c r="E219" t="s">
        <v>362</v>
      </c>
      <c r="F219">
        <v>76</v>
      </c>
      <c r="G219">
        <v>3</v>
      </c>
      <c r="H219">
        <v>2945</v>
      </c>
      <c r="I219">
        <v>116</v>
      </c>
      <c r="J219">
        <v>13.1</v>
      </c>
      <c r="K219">
        <v>44744.5</v>
      </c>
      <c r="L219">
        <v>32.1</v>
      </c>
      <c r="M219">
        <v>4.7</v>
      </c>
      <c r="N219">
        <v>23.37</v>
      </c>
      <c r="O219">
        <v>51.53</v>
      </c>
    </row>
    <row r="220" spans="1:15">
      <c r="A220" t="s">
        <v>583</v>
      </c>
      <c r="B220" t="s">
        <v>361</v>
      </c>
      <c r="C220">
        <v>70.900000000000006</v>
      </c>
      <c r="D220">
        <v>2578</v>
      </c>
      <c r="E220" t="s">
        <v>362</v>
      </c>
      <c r="F220">
        <v>76</v>
      </c>
      <c r="G220">
        <v>3</v>
      </c>
      <c r="H220">
        <v>2995</v>
      </c>
      <c r="I220">
        <v>118</v>
      </c>
      <c r="J220">
        <v>13.14</v>
      </c>
      <c r="K220">
        <v>44871.1</v>
      </c>
      <c r="L220">
        <v>32.700000000000003</v>
      </c>
      <c r="M220">
        <v>4.7</v>
      </c>
      <c r="N220">
        <v>23.77</v>
      </c>
      <c r="O220">
        <v>52.39</v>
      </c>
    </row>
    <row r="221" spans="1:15">
      <c r="A221" t="s">
        <v>584</v>
      </c>
      <c r="B221" t="s">
        <v>361</v>
      </c>
      <c r="C221">
        <v>71.099999999999994</v>
      </c>
      <c r="D221">
        <v>2585</v>
      </c>
      <c r="E221" t="s">
        <v>362</v>
      </c>
      <c r="F221">
        <v>102</v>
      </c>
      <c r="G221">
        <v>4</v>
      </c>
      <c r="H221">
        <v>2745</v>
      </c>
      <c r="I221">
        <v>108</v>
      </c>
      <c r="J221">
        <v>13.18</v>
      </c>
      <c r="K221">
        <v>44997.599999999999</v>
      </c>
      <c r="L221">
        <v>20.7</v>
      </c>
      <c r="M221">
        <v>3</v>
      </c>
      <c r="N221">
        <v>32.090000000000003</v>
      </c>
      <c r="O221">
        <v>70.739999999999995</v>
      </c>
    </row>
    <row r="222" spans="1:15">
      <c r="A222" t="s">
        <v>585</v>
      </c>
      <c r="B222" t="s">
        <v>361</v>
      </c>
      <c r="C222">
        <v>71.099999999999994</v>
      </c>
      <c r="D222">
        <v>2585</v>
      </c>
      <c r="E222" t="s">
        <v>362</v>
      </c>
      <c r="F222">
        <v>76</v>
      </c>
      <c r="G222">
        <v>3</v>
      </c>
      <c r="H222">
        <v>3050</v>
      </c>
      <c r="I222">
        <v>120</v>
      </c>
      <c r="J222">
        <v>13.18</v>
      </c>
      <c r="K222">
        <v>44997.599999999999</v>
      </c>
      <c r="L222">
        <v>33.200000000000003</v>
      </c>
      <c r="M222">
        <v>4.8</v>
      </c>
      <c r="N222">
        <v>24.16</v>
      </c>
      <c r="O222">
        <v>53.26</v>
      </c>
    </row>
    <row r="223" spans="1:15">
      <c r="A223" t="s">
        <v>586</v>
      </c>
      <c r="B223" t="s">
        <v>361</v>
      </c>
      <c r="C223">
        <v>71.5</v>
      </c>
      <c r="D223">
        <v>2600</v>
      </c>
      <c r="E223" t="s">
        <v>362</v>
      </c>
      <c r="F223">
        <v>102</v>
      </c>
      <c r="G223">
        <v>4</v>
      </c>
      <c r="H223">
        <v>2795</v>
      </c>
      <c r="I223">
        <v>110</v>
      </c>
      <c r="J223">
        <v>13.25</v>
      </c>
      <c r="K223">
        <v>45250.8</v>
      </c>
      <c r="L223">
        <v>21</v>
      </c>
      <c r="M223">
        <v>3</v>
      </c>
      <c r="N223">
        <v>32.68</v>
      </c>
      <c r="O223">
        <v>72.040000000000006</v>
      </c>
    </row>
    <row r="224" spans="1:15">
      <c r="A224" t="s">
        <v>587</v>
      </c>
      <c r="B224" t="s">
        <v>361</v>
      </c>
      <c r="C224">
        <v>71.8</v>
      </c>
      <c r="D224">
        <v>2611</v>
      </c>
      <c r="E224" t="s">
        <v>362</v>
      </c>
      <c r="F224">
        <v>102</v>
      </c>
      <c r="G224">
        <v>4</v>
      </c>
      <c r="H224">
        <v>2845</v>
      </c>
      <c r="I224">
        <v>112</v>
      </c>
      <c r="J224">
        <v>13.31</v>
      </c>
      <c r="K224">
        <v>45440.7</v>
      </c>
      <c r="L224">
        <v>21.3</v>
      </c>
      <c r="M224">
        <v>3.1</v>
      </c>
      <c r="N224">
        <v>33.270000000000003</v>
      </c>
      <c r="O224">
        <v>73.34</v>
      </c>
    </row>
    <row r="225" spans="1:15">
      <c r="A225" t="s">
        <v>588</v>
      </c>
      <c r="B225" t="s">
        <v>361</v>
      </c>
      <c r="C225">
        <v>72.099999999999994</v>
      </c>
      <c r="D225">
        <v>2622</v>
      </c>
      <c r="E225" t="s">
        <v>362</v>
      </c>
      <c r="F225">
        <v>102</v>
      </c>
      <c r="G225">
        <v>4</v>
      </c>
      <c r="H225">
        <v>2895</v>
      </c>
      <c r="I225">
        <v>114</v>
      </c>
      <c r="J225">
        <v>13.36</v>
      </c>
      <c r="K225">
        <v>45630.5</v>
      </c>
      <c r="L225">
        <v>21.7</v>
      </c>
      <c r="M225">
        <v>3.1</v>
      </c>
      <c r="N225">
        <v>33.86</v>
      </c>
      <c r="O225">
        <v>74.64</v>
      </c>
    </row>
    <row r="226" spans="1:15">
      <c r="A226" t="s">
        <v>589</v>
      </c>
      <c r="B226" t="s">
        <v>361</v>
      </c>
      <c r="C226">
        <v>72.400000000000006</v>
      </c>
      <c r="D226">
        <v>2633</v>
      </c>
      <c r="E226" t="s">
        <v>362</v>
      </c>
      <c r="F226">
        <v>102</v>
      </c>
      <c r="G226">
        <v>4</v>
      </c>
      <c r="H226">
        <v>2945</v>
      </c>
      <c r="I226">
        <v>116</v>
      </c>
      <c r="J226">
        <v>13.42</v>
      </c>
      <c r="K226">
        <v>45820.4</v>
      </c>
      <c r="L226">
        <v>22</v>
      </c>
      <c r="M226">
        <v>3.2</v>
      </c>
      <c r="N226">
        <v>34.450000000000003</v>
      </c>
      <c r="O226">
        <v>75.94</v>
      </c>
    </row>
    <row r="227" spans="1:15">
      <c r="A227" t="s">
        <v>590</v>
      </c>
      <c r="B227" t="s">
        <v>361</v>
      </c>
      <c r="C227">
        <v>72.599999999999994</v>
      </c>
      <c r="D227">
        <v>2640</v>
      </c>
      <c r="E227" t="s">
        <v>362</v>
      </c>
      <c r="F227">
        <v>102</v>
      </c>
      <c r="G227">
        <v>4</v>
      </c>
      <c r="H227">
        <v>2995</v>
      </c>
      <c r="I227">
        <v>118</v>
      </c>
      <c r="J227">
        <v>13.45</v>
      </c>
      <c r="K227">
        <v>45947</v>
      </c>
      <c r="L227">
        <v>22.3</v>
      </c>
      <c r="M227">
        <v>3.2</v>
      </c>
      <c r="N227">
        <v>35.04</v>
      </c>
      <c r="O227">
        <v>77.239999999999995</v>
      </c>
    </row>
    <row r="228" spans="1:15">
      <c r="A228" t="s">
        <v>591</v>
      </c>
      <c r="B228" t="s">
        <v>361</v>
      </c>
      <c r="C228">
        <v>72.8</v>
      </c>
      <c r="D228">
        <v>2647</v>
      </c>
      <c r="E228" t="s">
        <v>362</v>
      </c>
      <c r="F228">
        <v>102</v>
      </c>
      <c r="G228">
        <v>4</v>
      </c>
      <c r="H228">
        <v>3050</v>
      </c>
      <c r="I228">
        <v>120</v>
      </c>
      <c r="J228">
        <v>13.49</v>
      </c>
      <c r="K228">
        <v>46073.5</v>
      </c>
      <c r="L228">
        <v>22.6</v>
      </c>
      <c r="M228">
        <v>3.3</v>
      </c>
      <c r="N228">
        <v>35.630000000000003</v>
      </c>
      <c r="O228">
        <v>78.540000000000006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4"/>
  <dimension ref="A1:E13"/>
  <sheetViews>
    <sheetView workbookViewId="0">
      <selection activeCell="B17" sqref="B17"/>
    </sheetView>
  </sheetViews>
  <sheetFormatPr defaultRowHeight="12.75"/>
  <cols>
    <col min="1" max="1" width="14.28515625" customWidth="1"/>
    <col min="2" max="2" width="19.42578125" customWidth="1"/>
    <col min="3" max="3" width="22.85546875" customWidth="1"/>
    <col min="4" max="4" width="23.7109375" customWidth="1"/>
  </cols>
  <sheetData>
    <row r="1" spans="1:5">
      <c r="A1" s="2"/>
      <c r="B1" s="2"/>
      <c r="C1" s="2"/>
      <c r="D1" s="2"/>
      <c r="E1" s="2"/>
    </row>
    <row r="2" spans="1:5">
      <c r="A2" s="8" t="s">
        <v>3</v>
      </c>
      <c r="B2" s="2"/>
      <c r="C2" s="2"/>
      <c r="D2" s="2"/>
      <c r="E2" s="2"/>
    </row>
    <row r="3" spans="1:5">
      <c r="A3" s="9" t="s">
        <v>12</v>
      </c>
      <c r="B3" s="10" t="s">
        <v>13</v>
      </c>
      <c r="C3" s="10" t="s">
        <v>14</v>
      </c>
      <c r="D3" s="11" t="s">
        <v>15</v>
      </c>
      <c r="E3" s="2"/>
    </row>
    <row r="4" spans="1:5" ht="38.25">
      <c r="A4" s="12" t="s">
        <v>16</v>
      </c>
      <c r="B4" s="13" t="s">
        <v>17</v>
      </c>
      <c r="C4" s="13" t="s">
        <v>18</v>
      </c>
      <c r="D4" s="14" t="s">
        <v>19</v>
      </c>
      <c r="E4" s="2"/>
    </row>
    <row r="5" spans="1:5" ht="38.25">
      <c r="A5" s="12" t="s">
        <v>20</v>
      </c>
      <c r="B5" s="13" t="s">
        <v>21</v>
      </c>
      <c r="C5" s="13" t="s">
        <v>18</v>
      </c>
      <c r="D5" s="14" t="s">
        <v>19</v>
      </c>
      <c r="E5" s="2"/>
    </row>
    <row r="6" spans="1:5" ht="51">
      <c r="A6" s="12" t="s">
        <v>22</v>
      </c>
      <c r="B6" s="13" t="s">
        <v>23</v>
      </c>
      <c r="C6" s="13" t="s">
        <v>24</v>
      </c>
      <c r="D6" s="14" t="s">
        <v>25</v>
      </c>
      <c r="E6" s="2"/>
    </row>
    <row r="7" spans="1:5" ht="51">
      <c r="A7" s="12" t="s">
        <v>26</v>
      </c>
      <c r="B7" s="13" t="s">
        <v>27</v>
      </c>
      <c r="C7" s="13" t="s">
        <v>24</v>
      </c>
      <c r="D7" s="14" t="s">
        <v>25</v>
      </c>
      <c r="E7" s="2"/>
    </row>
    <row r="8" spans="1:5" ht="76.5">
      <c r="A8" s="12" t="s">
        <v>28</v>
      </c>
      <c r="B8" s="13" t="s">
        <v>29</v>
      </c>
      <c r="C8" s="13" t="s">
        <v>30</v>
      </c>
      <c r="D8" s="14" t="s">
        <v>31</v>
      </c>
      <c r="E8" s="2"/>
    </row>
    <row r="9" spans="1:5" ht="38.25">
      <c r="A9" s="15" t="s">
        <v>32</v>
      </c>
      <c r="B9" s="16" t="s">
        <v>17</v>
      </c>
      <c r="C9" s="16" t="s">
        <v>33</v>
      </c>
      <c r="D9" s="17" t="s">
        <v>34</v>
      </c>
      <c r="E9" s="2"/>
    </row>
    <row r="10" spans="1:5">
      <c r="A10" s="4"/>
      <c r="B10" s="4"/>
      <c r="C10" s="4"/>
      <c r="D10" s="4"/>
      <c r="E10" s="2"/>
    </row>
    <row r="11" spans="1:5">
      <c r="A11" s="4"/>
      <c r="B11" s="4"/>
      <c r="C11" s="4"/>
      <c r="D11" s="4"/>
      <c r="E11" s="2"/>
    </row>
    <row r="12" spans="1:5">
      <c r="A12" s="4"/>
      <c r="B12" s="4"/>
      <c r="C12" s="4"/>
      <c r="D12" s="4"/>
      <c r="E12" s="2"/>
    </row>
    <row r="13" spans="1:5">
      <c r="A13" s="6"/>
      <c r="B13" s="6"/>
      <c r="C13" s="6"/>
      <c r="D13" s="6"/>
      <c r="E13" s="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5"/>
  <dimension ref="A1:E60"/>
  <sheetViews>
    <sheetView workbookViewId="0">
      <selection activeCell="K5" sqref="K5"/>
    </sheetView>
  </sheetViews>
  <sheetFormatPr defaultRowHeight="12.75"/>
  <cols>
    <col min="1" max="1" width="22.140625" customWidth="1"/>
    <col min="2" max="2" width="30.28515625" customWidth="1"/>
    <col min="3" max="3" width="38.7109375" customWidth="1"/>
  </cols>
  <sheetData>
    <row r="1" spans="1:5">
      <c r="A1" s="1" t="s">
        <v>0</v>
      </c>
      <c r="B1" s="1" t="s">
        <v>1</v>
      </c>
      <c r="C1" s="1" t="s">
        <v>2</v>
      </c>
      <c r="D1" s="2"/>
      <c r="E1" s="2"/>
    </row>
    <row r="2" spans="1:5" ht="51">
      <c r="A2" s="3" t="s">
        <v>3</v>
      </c>
      <c r="B2" s="4" t="s">
        <v>4</v>
      </c>
      <c r="C2" s="4" t="s">
        <v>5</v>
      </c>
      <c r="D2" s="2"/>
      <c r="E2" s="2"/>
    </row>
    <row r="3" spans="1:5" ht="38.25">
      <c r="A3" s="5">
        <v>37372</v>
      </c>
      <c r="B3" s="4" t="s">
        <v>6</v>
      </c>
      <c r="C3" s="4" t="s">
        <v>7</v>
      </c>
      <c r="D3" s="2"/>
      <c r="E3" s="2"/>
    </row>
    <row r="4" spans="1:5" ht="89.25">
      <c r="A4" s="5">
        <v>37404</v>
      </c>
      <c r="B4" s="4" t="s">
        <v>8</v>
      </c>
      <c r="C4" s="4" t="s">
        <v>9</v>
      </c>
      <c r="D4" s="2"/>
      <c r="E4" s="2"/>
    </row>
    <row r="5" spans="1:5" ht="76.5">
      <c r="A5" s="2"/>
      <c r="B5" s="4" t="s">
        <v>10</v>
      </c>
      <c r="C5" s="4" t="s">
        <v>11</v>
      </c>
      <c r="D5" s="2"/>
      <c r="E5" s="2"/>
    </row>
    <row r="6" spans="1:5">
      <c r="A6" s="2"/>
      <c r="B6" s="6"/>
      <c r="C6" s="6"/>
      <c r="D6" s="2"/>
      <c r="E6" s="2"/>
    </row>
    <row r="7" spans="1:5">
      <c r="A7" s="2"/>
      <c r="B7" s="6"/>
      <c r="C7" s="6"/>
      <c r="D7" s="2"/>
      <c r="E7" s="2"/>
    </row>
    <row r="8" spans="1:5">
      <c r="A8" s="2"/>
      <c r="B8" s="6"/>
      <c r="C8" s="6"/>
      <c r="D8" s="2"/>
      <c r="E8" s="2"/>
    </row>
    <row r="9" spans="1:5">
      <c r="A9" s="2"/>
      <c r="B9" s="6"/>
      <c r="C9" s="6"/>
      <c r="D9" s="2"/>
      <c r="E9" s="2"/>
    </row>
    <row r="10" spans="1:5">
      <c r="A10" s="2"/>
      <c r="B10" s="6"/>
      <c r="C10" s="6"/>
      <c r="D10" s="2"/>
      <c r="E10" s="2"/>
    </row>
    <row r="11" spans="1:5">
      <c r="A11" s="2"/>
      <c r="B11" s="6"/>
      <c r="C11" s="6"/>
      <c r="D11" s="2"/>
      <c r="E11" s="2"/>
    </row>
    <row r="12" spans="1:5">
      <c r="A12" s="2"/>
      <c r="B12" s="6"/>
      <c r="C12" s="6"/>
      <c r="D12" s="2"/>
      <c r="E12" s="2"/>
    </row>
    <row r="13" spans="1:5">
      <c r="A13" s="2"/>
      <c r="B13" s="6"/>
      <c r="C13" s="6"/>
      <c r="D13" s="2"/>
      <c r="E13" s="2"/>
    </row>
    <row r="14" spans="1:5">
      <c r="A14" s="2"/>
      <c r="B14" s="6"/>
      <c r="C14" s="6"/>
      <c r="D14" s="2"/>
      <c r="E14" s="2"/>
    </row>
    <row r="15" spans="1:5">
      <c r="A15" s="2"/>
      <c r="B15" s="6"/>
      <c r="C15" s="6"/>
      <c r="D15" s="2"/>
      <c r="E15" s="2"/>
    </row>
    <row r="16" spans="1:5">
      <c r="A16" s="2"/>
      <c r="B16" s="6"/>
      <c r="C16" s="6"/>
      <c r="D16" s="2"/>
      <c r="E16" s="2"/>
    </row>
    <row r="17" spans="1:5">
      <c r="A17" s="2"/>
      <c r="B17" s="6"/>
      <c r="C17" s="6"/>
      <c r="D17" s="2"/>
      <c r="E17" s="2"/>
    </row>
    <row r="18" spans="1:5">
      <c r="A18" s="2"/>
      <c r="B18" s="6"/>
      <c r="C18" s="6"/>
      <c r="D18" s="2"/>
      <c r="E18" s="2"/>
    </row>
    <row r="19" spans="1:5">
      <c r="A19" s="2"/>
      <c r="B19" s="6"/>
      <c r="C19" s="6"/>
      <c r="D19" s="2"/>
      <c r="E19" s="2"/>
    </row>
    <row r="20" spans="1:5">
      <c r="A20" s="2"/>
      <c r="B20" s="6"/>
      <c r="C20" s="6"/>
      <c r="D20" s="2"/>
      <c r="E20" s="2"/>
    </row>
    <row r="21" spans="1:5">
      <c r="A21" s="2"/>
      <c r="B21" s="6"/>
      <c r="C21" s="6"/>
      <c r="D21" s="2"/>
      <c r="E21" s="2"/>
    </row>
    <row r="22" spans="1:5">
      <c r="A22" s="2"/>
      <c r="B22" s="6"/>
      <c r="C22" s="6"/>
      <c r="D22" s="2"/>
      <c r="E22" s="2"/>
    </row>
    <row r="23" spans="1:5">
      <c r="A23" s="2"/>
      <c r="B23" s="6"/>
      <c r="C23" s="6"/>
      <c r="D23" s="2"/>
      <c r="E23" s="2"/>
    </row>
    <row r="24" spans="1:5">
      <c r="A24" s="2"/>
      <c r="B24" s="6"/>
      <c r="C24" s="6"/>
      <c r="D24" s="2"/>
      <c r="E24" s="2"/>
    </row>
    <row r="25" spans="1:5">
      <c r="A25" s="2"/>
      <c r="B25" s="6"/>
      <c r="C25" s="6"/>
      <c r="D25" s="2"/>
      <c r="E25" s="2"/>
    </row>
    <row r="26" spans="1:5">
      <c r="A26" s="2"/>
      <c r="B26" s="6"/>
      <c r="C26" s="6"/>
      <c r="D26" s="2"/>
      <c r="E26" s="2"/>
    </row>
    <row r="27" spans="1:5">
      <c r="A27" s="2"/>
      <c r="B27" s="6"/>
      <c r="C27" s="6"/>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row r="38" spans="1:5">
      <c r="A38" s="2"/>
      <c r="B38" s="2"/>
      <c r="C38" s="2"/>
      <c r="D38" s="2"/>
      <c r="E38" s="2"/>
    </row>
    <row r="39" spans="1:5">
      <c r="A39" s="2"/>
      <c r="B39" s="2"/>
      <c r="C39" s="2"/>
      <c r="D39" s="2"/>
      <c r="E39" s="2"/>
    </row>
    <row r="40" spans="1:5">
      <c r="A40" s="2"/>
      <c r="B40" s="2"/>
      <c r="C40" s="2"/>
      <c r="D40" s="2"/>
      <c r="E40" s="2"/>
    </row>
    <row r="41" spans="1:5">
      <c r="A41" s="2"/>
      <c r="B41" s="2"/>
      <c r="C41" s="2"/>
      <c r="D41" s="2"/>
      <c r="E41" s="2"/>
    </row>
    <row r="42" spans="1:5">
      <c r="A42" s="2"/>
      <c r="B42" s="2"/>
      <c r="C42" s="2"/>
      <c r="D42" s="2"/>
      <c r="E42" s="2"/>
    </row>
    <row r="43" spans="1:5">
      <c r="A43" s="2"/>
      <c r="B43" s="2"/>
      <c r="C43" s="2"/>
      <c r="D43" s="2"/>
      <c r="E43" s="2"/>
    </row>
    <row r="44" spans="1:5">
      <c r="A44" s="2"/>
      <c r="B44" s="2"/>
      <c r="C44" s="2"/>
      <c r="D44" s="2"/>
      <c r="E44" s="2"/>
    </row>
    <row r="45" spans="1:5">
      <c r="A45" s="2"/>
      <c r="B45" s="2"/>
      <c r="C45" s="2"/>
      <c r="D45" s="2"/>
      <c r="E45" s="2"/>
    </row>
    <row r="46" spans="1:5">
      <c r="A46" s="2"/>
      <c r="B46" s="2"/>
      <c r="C46" s="2"/>
      <c r="D46" s="2"/>
      <c r="E46" s="2"/>
    </row>
    <row r="47" spans="1:5">
      <c r="A47" s="2"/>
      <c r="B47" s="2"/>
      <c r="C47" s="2"/>
      <c r="D47" s="2"/>
      <c r="E47" s="2"/>
    </row>
    <row r="48" spans="1:5">
      <c r="A48" s="2"/>
      <c r="B48" s="2"/>
      <c r="C48" s="2"/>
      <c r="D48" s="2"/>
      <c r="E48" s="2"/>
    </row>
    <row r="49" spans="1:5">
      <c r="A49" s="2"/>
      <c r="B49" s="2"/>
      <c r="C49" s="2"/>
      <c r="D49" s="2"/>
      <c r="E49" s="2"/>
    </row>
    <row r="50" spans="1:5">
      <c r="A50" s="2"/>
      <c r="B50" s="2"/>
      <c r="C50" s="2"/>
      <c r="D50" s="2"/>
      <c r="E50" s="2"/>
    </row>
    <row r="51" spans="1:5">
      <c r="A51" s="2"/>
      <c r="B51" s="2"/>
      <c r="C51" s="2"/>
      <c r="D51" s="2"/>
      <c r="E51" s="2"/>
    </row>
    <row r="52" spans="1:5">
      <c r="A52" s="2"/>
      <c r="B52" s="2"/>
      <c r="C52" s="2"/>
      <c r="D52" s="2"/>
      <c r="E52" s="2"/>
    </row>
    <row r="53" spans="1:5">
      <c r="A53" s="2"/>
      <c r="B53" s="2"/>
      <c r="C53" s="2"/>
      <c r="D53" s="2"/>
      <c r="E53" s="2"/>
    </row>
    <row r="54" spans="1:5">
      <c r="A54" s="2"/>
      <c r="B54" s="2"/>
      <c r="C54" s="2"/>
      <c r="D54" s="2"/>
      <c r="E54" s="2"/>
    </row>
    <row r="55" spans="1:5">
      <c r="A55" s="2"/>
      <c r="B55" s="2"/>
      <c r="C55" s="2"/>
      <c r="D55" s="2"/>
      <c r="E55" s="2"/>
    </row>
    <row r="56" spans="1:5">
      <c r="A56" s="2"/>
      <c r="B56" s="2"/>
      <c r="C56" s="2"/>
      <c r="D56" s="2"/>
      <c r="E56" s="2"/>
    </row>
    <row r="57" spans="1:5">
      <c r="A57" s="2"/>
      <c r="B57" s="2"/>
      <c r="C57" s="2"/>
      <c r="D57" s="2"/>
      <c r="E57" s="2"/>
    </row>
    <row r="58" spans="1:5">
      <c r="A58" s="2"/>
      <c r="B58" s="2"/>
      <c r="C58" s="2"/>
      <c r="D58" s="2"/>
      <c r="E58" s="2"/>
    </row>
    <row r="59" spans="1:5">
      <c r="A59" s="2"/>
      <c r="B59" s="2"/>
      <c r="C59" s="2"/>
      <c r="D59" s="2"/>
      <c r="E59" s="2"/>
    </row>
    <row r="60" spans="1:5">
      <c r="A60" s="2"/>
      <c r="B60" s="7"/>
      <c r="C60" s="2"/>
      <c r="D60" s="2"/>
      <c r="E60"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BD17"/>
  <sheetViews>
    <sheetView workbookViewId="0"/>
  </sheetViews>
  <sheetFormatPr defaultRowHeight="12.75"/>
  <cols>
    <col min="1" max="2" width="21.85546875" style="238" customWidth="1"/>
    <col min="3" max="3" width="40.28515625" style="238" bestFit="1" customWidth="1"/>
    <col min="4" max="4" width="12.28515625" style="238" bestFit="1" customWidth="1"/>
    <col min="5" max="5" width="30.5703125" style="238" bestFit="1" customWidth="1"/>
    <col min="6" max="16384" width="9.140625" style="238"/>
  </cols>
  <sheetData>
    <row r="1" spans="1:56" ht="15.75" thickBot="1">
      <c r="A1" s="230" t="s">
        <v>855</v>
      </c>
      <c r="B1" s="230" t="s">
        <v>856</v>
      </c>
      <c r="C1" s="230" t="s">
        <v>857</v>
      </c>
      <c r="D1" s="230" t="s">
        <v>858</v>
      </c>
      <c r="E1" s="230" t="s">
        <v>859</v>
      </c>
      <c r="F1" s="230" t="s">
        <v>860</v>
      </c>
      <c r="G1" s="230" t="s">
        <v>861</v>
      </c>
      <c r="H1" s="230" t="s">
        <v>862</v>
      </c>
      <c r="I1" s="230" t="s">
        <v>227</v>
      </c>
      <c r="J1" s="230" t="s">
        <v>228</v>
      </c>
      <c r="K1" s="231">
        <v>2016</v>
      </c>
      <c r="L1" s="232">
        <v>2017</v>
      </c>
      <c r="M1" s="232">
        <v>2018</v>
      </c>
      <c r="N1" s="232">
        <v>2019</v>
      </c>
      <c r="O1" s="232">
        <v>2020</v>
      </c>
      <c r="P1" s="232">
        <v>2021</v>
      </c>
      <c r="Q1" s="232">
        <v>2022</v>
      </c>
      <c r="R1" s="232">
        <v>2023</v>
      </c>
      <c r="S1" s="232">
        <v>2024</v>
      </c>
      <c r="T1" s="232">
        <v>2025</v>
      </c>
      <c r="U1" s="232">
        <v>2026</v>
      </c>
      <c r="V1" s="232">
        <v>2027</v>
      </c>
      <c r="W1" s="232">
        <v>2028</v>
      </c>
      <c r="X1" s="232">
        <v>2029</v>
      </c>
      <c r="Y1" s="232">
        <v>2030</v>
      </c>
      <c r="Z1" s="232">
        <v>2031</v>
      </c>
      <c r="AA1" s="232">
        <v>2032</v>
      </c>
      <c r="AB1" s="232">
        <v>2033</v>
      </c>
      <c r="AC1" s="232">
        <v>2034</v>
      </c>
      <c r="AD1" s="232">
        <v>2035</v>
      </c>
      <c r="AE1" s="233" t="s">
        <v>844</v>
      </c>
      <c r="AF1" s="234" t="s">
        <v>848</v>
      </c>
      <c r="AG1" s="235"/>
      <c r="AH1" s="235"/>
      <c r="AI1" s="235"/>
      <c r="AJ1" s="235"/>
      <c r="AK1" s="235"/>
      <c r="AL1" s="235"/>
      <c r="AM1" s="235"/>
      <c r="AN1" s="235"/>
      <c r="AO1" s="235"/>
      <c r="AP1" s="235"/>
      <c r="AQ1" s="236"/>
      <c r="AR1" s="237"/>
      <c r="AS1" s="234" t="s">
        <v>849</v>
      </c>
      <c r="AT1" s="235"/>
      <c r="AU1" s="235"/>
      <c r="AV1" s="235"/>
      <c r="AW1" s="235"/>
      <c r="AX1" s="235"/>
      <c r="AY1" s="235"/>
      <c r="AZ1" s="235"/>
      <c r="BA1" s="235"/>
      <c r="BB1" s="235"/>
      <c r="BC1" s="235"/>
      <c r="BD1" s="236"/>
    </row>
    <row r="2" spans="1:56" ht="15">
      <c r="A2" s="230"/>
      <c r="B2" s="230"/>
      <c r="C2" s="230"/>
      <c r="D2" s="230"/>
      <c r="E2" s="230"/>
      <c r="F2" s="230" t="s">
        <v>850</v>
      </c>
      <c r="G2" s="230" t="s">
        <v>303</v>
      </c>
      <c r="H2" s="230" t="s">
        <v>226</v>
      </c>
      <c r="I2" s="230">
        <v>1</v>
      </c>
      <c r="J2" s="230"/>
      <c r="K2" s="239" t="str">
        <f t="shared" ref="K2:AD2" si="0">CONCATENATE("aMW_",K$1)</f>
        <v>aMW_2016</v>
      </c>
      <c r="L2" s="240" t="str">
        <f t="shared" si="0"/>
        <v>aMW_2017</v>
      </c>
      <c r="M2" s="240" t="str">
        <f t="shared" si="0"/>
        <v>aMW_2018</v>
      </c>
      <c r="N2" s="240" t="str">
        <f t="shared" si="0"/>
        <v>aMW_2019</v>
      </c>
      <c r="O2" s="240" t="str">
        <f t="shared" si="0"/>
        <v>aMW_2020</v>
      </c>
      <c r="P2" s="240" t="str">
        <f t="shared" si="0"/>
        <v>aMW_2021</v>
      </c>
      <c r="Q2" s="240" t="str">
        <f t="shared" si="0"/>
        <v>aMW_2022</v>
      </c>
      <c r="R2" s="240" t="str">
        <f t="shared" si="0"/>
        <v>aMW_2023</v>
      </c>
      <c r="S2" s="240" t="str">
        <f t="shared" si="0"/>
        <v>aMW_2024</v>
      </c>
      <c r="T2" s="240" t="str">
        <f t="shared" si="0"/>
        <v>aMW_2025</v>
      </c>
      <c r="U2" s="240" t="str">
        <f t="shared" si="0"/>
        <v>aMW_2026</v>
      </c>
      <c r="V2" s="240" t="str">
        <f t="shared" si="0"/>
        <v>aMW_2027</v>
      </c>
      <c r="W2" s="240" t="str">
        <f t="shared" si="0"/>
        <v>aMW_2028</v>
      </c>
      <c r="X2" s="240" t="str">
        <f t="shared" si="0"/>
        <v>aMW_2029</v>
      </c>
      <c r="Y2" s="240" t="str">
        <f t="shared" si="0"/>
        <v>aMW_2030</v>
      </c>
      <c r="Z2" s="240" t="str">
        <f t="shared" si="0"/>
        <v>aMW_2031</v>
      </c>
      <c r="AA2" s="240" t="str">
        <f t="shared" si="0"/>
        <v>aMW_2032</v>
      </c>
      <c r="AB2" s="240" t="str">
        <f t="shared" si="0"/>
        <v>aMW_2033</v>
      </c>
      <c r="AC2" s="240" t="str">
        <f t="shared" si="0"/>
        <v>aMW_2034</v>
      </c>
      <c r="AD2" s="240" t="str">
        <f t="shared" si="0"/>
        <v>aMW_2035</v>
      </c>
      <c r="AE2" s="241" t="s">
        <v>844</v>
      </c>
      <c r="AF2" s="242" t="s">
        <v>314</v>
      </c>
      <c r="AG2" s="242" t="s">
        <v>315</v>
      </c>
      <c r="AH2" s="242" t="s">
        <v>316</v>
      </c>
      <c r="AI2" s="242" t="s">
        <v>317</v>
      </c>
      <c r="AJ2" s="242" t="s">
        <v>318</v>
      </c>
      <c r="AK2" s="242" t="s">
        <v>319</v>
      </c>
      <c r="AL2" s="242" t="s">
        <v>320</v>
      </c>
      <c r="AM2" s="242" t="s">
        <v>321</v>
      </c>
      <c r="AN2" s="242" t="s">
        <v>322</v>
      </c>
      <c r="AO2" s="242" t="s">
        <v>323</v>
      </c>
      <c r="AP2" s="242" t="s">
        <v>324</v>
      </c>
      <c r="AQ2" s="242" t="s">
        <v>325</v>
      </c>
      <c r="AR2" s="242"/>
      <c r="AS2" s="242" t="s">
        <v>314</v>
      </c>
      <c r="AT2" s="242" t="s">
        <v>315</v>
      </c>
      <c r="AU2" s="242" t="s">
        <v>316</v>
      </c>
      <c r="AV2" s="242" t="s">
        <v>317</v>
      </c>
      <c r="AW2" s="242" t="s">
        <v>318</v>
      </c>
      <c r="AX2" s="242" t="s">
        <v>319</v>
      </c>
      <c r="AY2" s="242" t="s">
        <v>320</v>
      </c>
      <c r="AZ2" s="242" t="s">
        <v>321</v>
      </c>
      <c r="BA2" s="242" t="s">
        <v>322</v>
      </c>
      <c r="BB2" s="242" t="s">
        <v>323</v>
      </c>
      <c r="BC2" s="242" t="s">
        <v>324</v>
      </c>
      <c r="BD2" s="242" t="s">
        <v>325</v>
      </c>
    </row>
    <row r="3" spans="1:56" ht="15">
      <c r="A3" s="243" t="str">
        <f>VLOOKUP(CONCATENATE($C3," - ",$B3),[2]ACHIEV!$B$12:$C$78,2,FALSE)</f>
        <v>LO1Slow</v>
      </c>
      <c r="B3" s="243" t="str">
        <f>'SC-New'!$C$7</f>
        <v>New</v>
      </c>
      <c r="C3" s="243" t="str">
        <f>'SC-New'!$C$8</f>
        <v>WasteWater Heat Recovery</v>
      </c>
      <c r="D3" s="243" t="s">
        <v>151</v>
      </c>
      <c r="E3" s="243" t="str">
        <f>'SC-New'!$A$9</f>
        <v>Water Heating</v>
      </c>
      <c r="F3" s="244">
        <f t="shared" ref="F3:F14" si="1">VLOOKUP($J3,MeasureOutput,14,FALSE)</f>
        <v>4.968121669622351E-2</v>
      </c>
      <c r="G3" s="245">
        <f>'SC-New'!A44</f>
        <v>256.71911903766988</v>
      </c>
      <c r="H3" s="245">
        <f>'SC-New'!B44</f>
        <v>199.0155219887227</v>
      </c>
      <c r="I3" s="246" t="str">
        <f>'SC-New'!C44</f>
        <v>Single Family</v>
      </c>
      <c r="J3" s="246" t="str">
        <f>'SC-New'!D44</f>
        <v>Single Family GFHX DHW &amp; Shower Preheat, Electric Resistance</v>
      </c>
      <c r="K3" s="247">
        <f ca="1">'SC-New'!E44</f>
        <v>9.3447000195058202E-4</v>
      </c>
      <c r="L3" s="247">
        <f ca="1">'SC-New'!F44</f>
        <v>2.6806367465638755E-3</v>
      </c>
      <c r="M3" s="247">
        <f ca="1">'SC-New'!G44</f>
        <v>5.5478189565883957E-3</v>
      </c>
      <c r="N3" s="247">
        <f ca="1">'SC-New'!H44</f>
        <v>1.0099548637047016E-2</v>
      </c>
      <c r="O3" s="247">
        <f ca="1">'SC-New'!I44</f>
        <v>1.6817907773019152E-2</v>
      </c>
      <c r="P3" s="247">
        <f ca="1">'SC-New'!J44</f>
        <v>2.5562517218528088E-2</v>
      </c>
      <c r="Q3" s="247">
        <f ca="1">'SC-New'!K44</f>
        <v>3.7463659768952155E-2</v>
      </c>
      <c r="R3" s="247">
        <f ca="1">'SC-New'!L44</f>
        <v>5.3557580933606824E-2</v>
      </c>
      <c r="S3" s="247">
        <f ca="1">'SC-New'!M44</f>
        <v>7.2924698036591698E-2</v>
      </c>
      <c r="T3" s="247">
        <f ca="1">'SC-New'!N44</f>
        <v>9.8127888801381388E-2</v>
      </c>
      <c r="U3" s="247">
        <f ca="1">'SC-New'!O44</f>
        <v>0.12582269802184654</v>
      </c>
      <c r="V3" s="247">
        <f ca="1">'SC-New'!P44</f>
        <v>0.15257146183519396</v>
      </c>
      <c r="W3" s="247">
        <f ca="1">'SC-New'!Q44</f>
        <v>0.17625755313548697</v>
      </c>
      <c r="X3" s="247">
        <f ca="1">'SC-New'!R44</f>
        <v>0.20260522833831146</v>
      </c>
      <c r="Y3" s="247">
        <f ca="1">'SC-New'!S44</f>
        <v>0.22824269889653964</v>
      </c>
      <c r="Z3" s="247">
        <f ca="1">'SC-New'!T44</f>
        <v>0.24613347652717846</v>
      </c>
      <c r="AA3" s="247">
        <f ca="1">'SC-New'!U44</f>
        <v>0.25162490790984771</v>
      </c>
      <c r="AB3" s="247">
        <f ca="1">'SC-New'!V44</f>
        <v>0.26045070808549597</v>
      </c>
      <c r="AC3" s="247">
        <f ca="1">'SC-New'!W44</f>
        <v>0.26679767549419969</v>
      </c>
      <c r="AD3" s="247">
        <f ca="1">'SC-New'!X44</f>
        <v>0.2713548379996914</v>
      </c>
      <c r="AE3" s="247">
        <f ca="1">'SC-New'!Y44</f>
        <v>2.505577973118021</v>
      </c>
      <c r="AF3" s="248">
        <f t="shared" ref="AF3:AF14" si="2">VLOOKUP($J3,MeasureOutput,15,FALSE)</f>
        <v>16.974252130941522</v>
      </c>
      <c r="AG3" s="248">
        <f t="shared" ref="AG3:AG14" si="3">VLOOKUP($J3,MeasureOutput,16,FALSE)</f>
        <v>15.206074488924425</v>
      </c>
      <c r="AH3" s="248">
        <f t="shared" ref="AH3:AH14" si="4">VLOOKUP($J3,MeasureOutput,17,FALSE)</f>
        <v>17.49279380043361</v>
      </c>
      <c r="AI3" s="248">
        <f t="shared" ref="AI3:AI14" si="5">VLOOKUP($J3,MeasureOutput,18,FALSE)</f>
        <v>15.170697763662981</v>
      </c>
      <c r="AJ3" s="248">
        <f t="shared" ref="AJ3:AJ14" si="6">VLOOKUP($J3,MeasureOutput,19,FALSE)</f>
        <v>14.470189705989108</v>
      </c>
      <c r="AK3" s="248">
        <f t="shared" ref="AK3:AK14" si="7">VLOOKUP($J3,MeasureOutput,20,FALSE)</f>
        <v>14.108154860005159</v>
      </c>
      <c r="AL3" s="248">
        <f t="shared" ref="AL3:AL14" si="8">VLOOKUP($J3,MeasureOutput,21,FALSE)</f>
        <v>11.940214963652727</v>
      </c>
      <c r="AM3" s="248">
        <f t="shared" ref="AM3:AM14" si="9">VLOOKUP($J3,MeasureOutput,22,FALSE)</f>
        <v>12.486980601275031</v>
      </c>
      <c r="AN3" s="248">
        <f t="shared" ref="AN3:AN14" si="10">VLOOKUP($J3,MeasureOutput,23,FALSE)</f>
        <v>11.71460881818879</v>
      </c>
      <c r="AO3" s="248">
        <f t="shared" ref="AO3:AO14" si="11">VLOOKUP($J3,MeasureOutput,24,FALSE)</f>
        <v>14.143273661343647</v>
      </c>
      <c r="AP3" s="248">
        <f t="shared" ref="AP3:AP14" si="12">VLOOKUP($J3,MeasureOutput,25,FALSE)</f>
        <v>14.49630311882791</v>
      </c>
      <c r="AQ3" s="248">
        <f t="shared" ref="AQ3:AQ14" si="13">VLOOKUP($J3,MeasureOutput,26,FALSE)</f>
        <v>16.854538800706795</v>
      </c>
      <c r="AR3" s="248"/>
      <c r="AS3" s="248">
        <f t="shared" ref="AS3:AS14" si="14">VLOOKUP($J3,MeasureOutput,28,FALSE)</f>
        <v>8.5173958524754561</v>
      </c>
      <c r="AT3" s="248">
        <f t="shared" ref="AT3:AT14" si="15">VLOOKUP($J3,MeasureOutput,29,FALSE)</f>
        <v>7.1343627239134708</v>
      </c>
      <c r="AU3" s="248">
        <f t="shared" ref="AU3:AU14" si="16">VLOOKUP($J3,MeasureOutput,30,FALSE)</f>
        <v>6.8115668777676479</v>
      </c>
      <c r="AV3" s="248">
        <f t="shared" ref="AV3:AV14" si="17">VLOOKUP($J3,MeasureOutput,31,FALSE)</f>
        <v>7.085639007701217</v>
      </c>
      <c r="AW3" s="248">
        <f t="shared" ref="AW3:AW14" si="18">VLOOKUP($J3,MeasureOutput,32,FALSE)</f>
        <v>7.0806549609780305</v>
      </c>
      <c r="AX3" s="248">
        <f t="shared" ref="AX3:AX14" si="19">VLOOKUP($J3,MeasureOutput,33,FALSE)</f>
        <v>5.8706617390262847</v>
      </c>
      <c r="AY3" s="248">
        <f t="shared" ref="AY3:AY14" si="20">VLOOKUP($J3,MeasureOutput,34,FALSE)</f>
        <v>6.3834149282792385</v>
      </c>
      <c r="AZ3" s="248">
        <f t="shared" ref="AZ3:AZ14" si="21">VLOOKUP($J3,MeasureOutput,35,FALSE)</f>
        <v>5.011663443002754</v>
      </c>
      <c r="BA3" s="248">
        <f t="shared" ref="BA3:BA14" si="22">VLOOKUP($J3,MeasureOutput,36,FALSE)</f>
        <v>6.1745694461951501</v>
      </c>
      <c r="BB3" s="248">
        <f t="shared" ref="BB3:BB14" si="23">VLOOKUP($J3,MeasureOutput,37,FALSE)</f>
        <v>5.7606510854867894</v>
      </c>
      <c r="BC3" s="248">
        <f t="shared" ref="BC3:BC14" si="24">VLOOKUP($J3,MeasureOutput,38,FALSE)</f>
        <v>7.5441375579403838</v>
      </c>
      <c r="BD3" s="248">
        <f t="shared" ref="BD3:BD14" si="25">VLOOKUP($J3,MeasureOutput,39,FALSE)</f>
        <v>8.2863187009517336</v>
      </c>
    </row>
    <row r="4" spans="1:56" ht="15">
      <c r="A4" s="243" t="str">
        <f>VLOOKUP(CONCATENATE($C4," - ",$B4),[2]ACHIEV!$B$12:$C$78,2,FALSE)</f>
        <v>LO1Slow</v>
      </c>
      <c r="B4" s="243" t="str">
        <f>'SC-New'!$C$7</f>
        <v>New</v>
      </c>
      <c r="C4" s="243" t="str">
        <f>'SC-New'!$C$8</f>
        <v>WasteWater Heat Recovery</v>
      </c>
      <c r="D4" s="243" t="s">
        <v>151</v>
      </c>
      <c r="E4" s="243" t="str">
        <f>'SC-New'!$A$9</f>
        <v>Water Heating</v>
      </c>
      <c r="F4" s="244">
        <f t="shared" si="1"/>
        <v>4.968121669622351E-2</v>
      </c>
      <c r="G4" s="245">
        <f>'SC-New'!A45</f>
        <v>256.71911903766988</v>
      </c>
      <c r="H4" s="245">
        <f>'SC-New'!B45</f>
        <v>171.21013342853448</v>
      </c>
      <c r="I4" s="246" t="str">
        <f>'SC-New'!C45</f>
        <v>Multifamily - Low Rise</v>
      </c>
      <c r="J4" s="246" t="str">
        <f>'SC-New'!D45</f>
        <v>Multifamily GFHX DHW &amp; Shower Preheat, Electric Resistance</v>
      </c>
      <c r="K4" s="247">
        <f ca="1">'SC-New'!E45</f>
        <v>3.3246162888090432E-4</v>
      </c>
      <c r="L4" s="247">
        <f ca="1">'SC-New'!F45</f>
        <v>9.8577012210179327E-4</v>
      </c>
      <c r="M4" s="247">
        <f ca="1">'SC-New'!G45</f>
        <v>2.1331700477239578E-3</v>
      </c>
      <c r="N4" s="247">
        <f ca="1">'SC-New'!H45</f>
        <v>3.8862186908817558E-3</v>
      </c>
      <c r="O4" s="247">
        <f ca="1">'SC-New'!I45</f>
        <v>6.2682899229958384E-3</v>
      </c>
      <c r="P4" s="247">
        <f ca="1">'SC-New'!J45</f>
        <v>9.6404063845129742E-3</v>
      </c>
      <c r="Q4" s="247">
        <f ca="1">'SC-New'!K45</f>
        <v>1.4401485991269392E-2</v>
      </c>
      <c r="R4" s="247">
        <f ca="1">'SC-New'!L45</f>
        <v>2.1071785449690007E-2</v>
      </c>
      <c r="S4" s="247">
        <f ca="1">'SC-New'!M45</f>
        <v>2.9695859561860369E-2</v>
      </c>
      <c r="T4" s="247">
        <f ca="1">'SC-New'!N45</f>
        <v>4.0328290670769949E-2</v>
      </c>
      <c r="U4" s="247">
        <f ca="1">'SC-New'!O45</f>
        <v>5.1565990291924851E-2</v>
      </c>
      <c r="V4" s="247">
        <f ca="1">'SC-New'!P45</f>
        <v>6.3359059971131448E-2</v>
      </c>
      <c r="W4" s="247">
        <f ca="1">'SC-New'!Q45</f>
        <v>7.5307388756427784E-2</v>
      </c>
      <c r="X4" s="247">
        <f ca="1">'SC-New'!R45</f>
        <v>8.5533623083905858E-2</v>
      </c>
      <c r="Y4" s="247">
        <f ca="1">'SC-New'!S45</f>
        <v>9.4097540967404927E-2</v>
      </c>
      <c r="Z4" s="247">
        <f ca="1">'SC-New'!T45</f>
        <v>9.9822973274700313E-2</v>
      </c>
      <c r="AA4" s="247">
        <f ca="1">'SC-New'!U45</f>
        <v>0.10374216550019269</v>
      </c>
      <c r="AB4" s="247">
        <f ca="1">'SC-New'!V45</f>
        <v>0.10620132766890188</v>
      </c>
      <c r="AC4" s="247">
        <f ca="1">'SC-New'!W45</f>
        <v>0.10642448700072513</v>
      </c>
      <c r="AD4" s="247">
        <f ca="1">'SC-New'!X45</f>
        <v>0.10710570370395071</v>
      </c>
      <c r="AE4" s="247">
        <f ca="1">'SC-New'!Y45</f>
        <v>1.0219039986899525</v>
      </c>
      <c r="AF4" s="248">
        <f t="shared" si="2"/>
        <v>16.974252130941522</v>
      </c>
      <c r="AG4" s="248">
        <f t="shared" si="3"/>
        <v>15.206074488924425</v>
      </c>
      <c r="AH4" s="248">
        <f t="shared" si="4"/>
        <v>17.49279380043361</v>
      </c>
      <c r="AI4" s="248">
        <f t="shared" si="5"/>
        <v>15.170697763662981</v>
      </c>
      <c r="AJ4" s="248">
        <f t="shared" si="6"/>
        <v>14.470189705989108</v>
      </c>
      <c r="AK4" s="248">
        <f t="shared" si="7"/>
        <v>14.108154860005159</v>
      </c>
      <c r="AL4" s="248">
        <f t="shared" si="8"/>
        <v>11.940214963652727</v>
      </c>
      <c r="AM4" s="248">
        <f t="shared" si="9"/>
        <v>12.486980601275031</v>
      </c>
      <c r="AN4" s="248">
        <f t="shared" si="10"/>
        <v>11.71460881818879</v>
      </c>
      <c r="AO4" s="248">
        <f t="shared" si="11"/>
        <v>14.143273661343647</v>
      </c>
      <c r="AP4" s="248">
        <f t="shared" si="12"/>
        <v>14.49630311882791</v>
      </c>
      <c r="AQ4" s="248">
        <f t="shared" si="13"/>
        <v>16.854538800706795</v>
      </c>
      <c r="AR4" s="248"/>
      <c r="AS4" s="248">
        <f t="shared" si="14"/>
        <v>8.5173958524754561</v>
      </c>
      <c r="AT4" s="248">
        <f t="shared" si="15"/>
        <v>7.1343627239134708</v>
      </c>
      <c r="AU4" s="248">
        <f t="shared" si="16"/>
        <v>6.8115668777676479</v>
      </c>
      <c r="AV4" s="248">
        <f t="shared" si="17"/>
        <v>7.085639007701217</v>
      </c>
      <c r="AW4" s="248">
        <f t="shared" si="18"/>
        <v>7.0806549609780305</v>
      </c>
      <c r="AX4" s="248">
        <f t="shared" si="19"/>
        <v>5.8706617390262847</v>
      </c>
      <c r="AY4" s="248">
        <f t="shared" si="20"/>
        <v>6.3834149282792385</v>
      </c>
      <c r="AZ4" s="248">
        <f t="shared" si="21"/>
        <v>5.011663443002754</v>
      </c>
      <c r="BA4" s="248">
        <f t="shared" si="22"/>
        <v>6.1745694461951501</v>
      </c>
      <c r="BB4" s="248">
        <f t="shared" si="23"/>
        <v>5.7606510854867894</v>
      </c>
      <c r="BC4" s="248">
        <f t="shared" si="24"/>
        <v>7.5441375579403838</v>
      </c>
      <c r="BD4" s="248">
        <f t="shared" si="25"/>
        <v>8.2863187009517336</v>
      </c>
    </row>
    <row r="5" spans="1:56" ht="15">
      <c r="A5" s="243" t="str">
        <f>VLOOKUP(CONCATENATE($C5," - ",$B5),[2]ACHIEV!$B$12:$C$78,2,FALSE)</f>
        <v>LO1Slow</v>
      </c>
      <c r="B5" s="243" t="str">
        <f>'SC-New'!$C$7</f>
        <v>New</v>
      </c>
      <c r="C5" s="243" t="str">
        <f>'SC-New'!$C$8</f>
        <v>WasteWater Heat Recovery</v>
      </c>
      <c r="D5" s="243" t="s">
        <v>151</v>
      </c>
      <c r="E5" s="243" t="str">
        <f>'SC-New'!$A$9</f>
        <v>Water Heating</v>
      </c>
      <c r="F5" s="244">
        <f t="shared" si="1"/>
        <v>2.6003504756367E-2</v>
      </c>
      <c r="G5" s="245">
        <f>'SC-New'!A46</f>
        <v>123.26393620193372</v>
      </c>
      <c r="H5" s="245">
        <f>'SC-New'!B46</f>
        <v>367.48174569205361</v>
      </c>
      <c r="I5" s="246" t="str">
        <f>'SC-New'!C46</f>
        <v>Multifamily - High Rise</v>
      </c>
      <c r="J5" s="246" t="str">
        <f>'SC-New'!D46</f>
        <v>Multifamily GFHX DHW &amp; Shower Preheat, Heat Pump</v>
      </c>
      <c r="K5" s="247">
        <f ca="1">'SC-New'!E46</f>
        <v>3.8058202058345366E-6</v>
      </c>
      <c r="L5" s="247">
        <f ca="1">'SC-New'!F46</f>
        <v>1.1443355548784884E-5</v>
      </c>
      <c r="M5" s="247">
        <f ca="1">'SC-New'!G46</f>
        <v>2.5135704118790121E-5</v>
      </c>
      <c r="N5" s="247">
        <f ca="1">'SC-New'!H46</f>
        <v>4.4736385207804429E-5</v>
      </c>
      <c r="O5" s="247">
        <f ca="1">'SC-New'!I46</f>
        <v>7.0760069510604053E-5</v>
      </c>
      <c r="P5" s="247">
        <f ca="1">'SC-New'!J46</f>
        <v>1.1045630541331865E-4</v>
      </c>
      <c r="Q5" s="247">
        <f ca="1">'SC-New'!K46</f>
        <v>1.6549140949580042E-4</v>
      </c>
      <c r="R5" s="247">
        <f ca="1">'SC-New'!L46</f>
        <v>2.4515160287842512E-4</v>
      </c>
      <c r="S5" s="247">
        <f ca="1">'SC-New'!M46</f>
        <v>3.4305621229205232E-4</v>
      </c>
      <c r="T5" s="247">
        <f ca="1">'SC-New'!N46</f>
        <v>4.6583676569640582E-4</v>
      </c>
      <c r="U5" s="247">
        <f ca="1">'SC-New'!O46</f>
        <v>5.884744620744081E-4</v>
      </c>
      <c r="V5" s="247">
        <f ca="1">'SC-New'!P46</f>
        <v>7.2165890240364337E-4</v>
      </c>
      <c r="W5" s="247">
        <f ca="1">'SC-New'!Q46</f>
        <v>8.5035092839966654E-4</v>
      </c>
      <c r="X5" s="247">
        <f ca="1">'SC-New'!R46</f>
        <v>9.7338950767029227E-4</v>
      </c>
      <c r="Y5" s="247">
        <f ca="1">'SC-New'!S46</f>
        <v>1.0759498952288068E-3</v>
      </c>
      <c r="Z5" s="247">
        <f ca="1">'SC-New'!T46</f>
        <v>1.140608464257208E-3</v>
      </c>
      <c r="AA5" s="247">
        <f ca="1">'SC-New'!U46</f>
        <v>1.1868126394976011E-3</v>
      </c>
      <c r="AB5" s="247">
        <f ca="1">'SC-New'!V46</f>
        <v>1.2022041193539747E-3</v>
      </c>
      <c r="AC5" s="247">
        <f ca="1">'SC-New'!W46</f>
        <v>1.2236929042928391E-3</v>
      </c>
      <c r="AD5" s="247">
        <f ca="1">'SC-New'!X46</f>
        <v>1.2305705780043539E-3</v>
      </c>
      <c r="AE5" s="247">
        <f ca="1">'SC-New'!Y46</f>
        <v>1.1679586031550612E-2</v>
      </c>
      <c r="AF5" s="248">
        <f t="shared" si="2"/>
        <v>9.5801057048135423</v>
      </c>
      <c r="AG5" s="248">
        <f t="shared" si="3"/>
        <v>8.6342007160070811</v>
      </c>
      <c r="AH5" s="248">
        <f t="shared" si="4"/>
        <v>9.6636255305245111</v>
      </c>
      <c r="AI5" s="248">
        <f t="shared" si="5"/>
        <v>7.5829951097516659</v>
      </c>
      <c r="AJ5" s="248">
        <f t="shared" si="6"/>
        <v>6.2992889771455163</v>
      </c>
      <c r="AK5" s="248">
        <f t="shared" si="7"/>
        <v>5.3277443895094008</v>
      </c>
      <c r="AL5" s="248">
        <f t="shared" si="8"/>
        <v>4.5493859040886901</v>
      </c>
      <c r="AM5" s="248">
        <f t="shared" si="9"/>
        <v>4.6407140882725599</v>
      </c>
      <c r="AN5" s="248">
        <f t="shared" si="10"/>
        <v>4.6083035410272188</v>
      </c>
      <c r="AO5" s="248">
        <f t="shared" si="11"/>
        <v>6.1817868545251882</v>
      </c>
      <c r="AP5" s="248">
        <f t="shared" si="12"/>
        <v>6.8405158734017002</v>
      </c>
      <c r="AQ5" s="248">
        <f t="shared" si="13"/>
        <v>9.3262936742320619</v>
      </c>
      <c r="AR5" s="248"/>
      <c r="AS5" s="248">
        <f t="shared" si="14"/>
        <v>5.0373145672789033</v>
      </c>
      <c r="AT5" s="248">
        <f t="shared" si="15"/>
        <v>4.2423234681170268</v>
      </c>
      <c r="AU5" s="248">
        <f t="shared" si="16"/>
        <v>3.8879301977025569</v>
      </c>
      <c r="AV5" s="248">
        <f t="shared" si="17"/>
        <v>3.6214340353903349</v>
      </c>
      <c r="AW5" s="248">
        <f t="shared" si="18"/>
        <v>3.0766776757997669</v>
      </c>
      <c r="AX5" s="248">
        <f t="shared" si="19"/>
        <v>2.3223611632597421</v>
      </c>
      <c r="AY5" s="248">
        <f t="shared" si="20"/>
        <v>2.4391610121885132</v>
      </c>
      <c r="AZ5" s="248">
        <f t="shared" si="21"/>
        <v>2.0192428843559047</v>
      </c>
      <c r="BA5" s="248">
        <f t="shared" si="22"/>
        <v>2.421738657755153</v>
      </c>
      <c r="BB5" s="248">
        <f t="shared" si="23"/>
        <v>2.5529545707092698</v>
      </c>
      <c r="BC5" s="248">
        <f t="shared" si="24"/>
        <v>3.5557830241620025</v>
      </c>
      <c r="BD5" s="248">
        <f t="shared" si="25"/>
        <v>4.8520545819154153</v>
      </c>
    </row>
    <row r="6" spans="1:56" ht="15">
      <c r="A6" s="243" t="str">
        <f>VLOOKUP(CONCATENATE($C6," - ",$B6),[2]ACHIEV!$B$12:$C$78,2,FALSE)</f>
        <v>LO1Slow</v>
      </c>
      <c r="B6" s="243" t="str">
        <f>'SC-New'!$C$7</f>
        <v>New</v>
      </c>
      <c r="C6" s="243" t="str">
        <f>'SC-New'!$C$8</f>
        <v>WasteWater Heat Recovery</v>
      </c>
      <c r="D6" s="243" t="s">
        <v>151</v>
      </c>
      <c r="E6" s="243" t="str">
        <f>'SC-New'!$A$9</f>
        <v>Water Heating</v>
      </c>
      <c r="F6" s="244">
        <f t="shared" si="1"/>
        <v>2.6003504756367E-2</v>
      </c>
      <c r="G6" s="245">
        <f>'SC-New'!A47</f>
        <v>123.26393620193372</v>
      </c>
      <c r="H6" s="245">
        <f>'SC-New'!B47</f>
        <v>425.39142370183015</v>
      </c>
      <c r="I6" s="246" t="str">
        <f>'SC-New'!C47</f>
        <v>Single Family</v>
      </c>
      <c r="J6" s="246" t="str">
        <f>'SC-New'!D47</f>
        <v>Single Family GFHX DHW &amp; Shower Preheat, Heat Pump</v>
      </c>
      <c r="K6" s="247">
        <f ca="1">'SC-New'!E47</f>
        <v>2.8904831905884115E-5</v>
      </c>
      <c r="L6" s="247">
        <f ca="1">'SC-New'!F47</f>
        <v>8.2916898775165285E-5</v>
      </c>
      <c r="M6" s="247">
        <f ca="1">'SC-New'!G47</f>
        <v>1.7160398305963529E-4</v>
      </c>
      <c r="N6" s="247">
        <f ca="1">'SC-New'!H47</f>
        <v>3.1239713962972468E-4</v>
      </c>
      <c r="O6" s="247">
        <f ca="1">'SC-New'!I47</f>
        <v>5.2020802826529709E-4</v>
      </c>
      <c r="P6" s="247">
        <f ca="1">'SC-New'!J47</f>
        <v>7.9069447039552731E-4</v>
      </c>
      <c r="Q6" s="247">
        <f ca="1">'SC-New'!K47</f>
        <v>1.1588181385602809E-3</v>
      </c>
      <c r="R6" s="247">
        <f ca="1">'SC-New'!L47</f>
        <v>1.6566319635090401E-3</v>
      </c>
      <c r="S6" s="247">
        <f ca="1">'SC-New'!M47</f>
        <v>2.2556916050115346E-3</v>
      </c>
      <c r="T6" s="247">
        <f ca="1">'SC-New'!N47</f>
        <v>3.0352714642125178E-3</v>
      </c>
      <c r="U6" s="247">
        <f ca="1">'SC-New'!O47</f>
        <v>3.8919215476952498E-3</v>
      </c>
      <c r="V6" s="247">
        <f ca="1">'SC-New'!P47</f>
        <v>4.7193087512449813E-3</v>
      </c>
      <c r="W6" s="247">
        <f ca="1">'SC-New'!Q47</f>
        <v>5.4519620050822292E-3</v>
      </c>
      <c r="X6" s="247">
        <f ca="1">'SC-New'!R47</f>
        <v>6.2669428190824487E-3</v>
      </c>
      <c r="Y6" s="247">
        <f ca="1">'SC-New'!S47</f>
        <v>7.0599557306053468E-3</v>
      </c>
      <c r="Z6" s="247">
        <f ca="1">'SC-New'!T47</f>
        <v>7.6133495463508779E-3</v>
      </c>
      <c r="AA6" s="247">
        <f ca="1">'SC-New'!U47</f>
        <v>7.7832093606920848E-3</v>
      </c>
      <c r="AB6" s="247">
        <f ca="1">'SC-New'!V47</f>
        <v>8.0562071776145439E-3</v>
      </c>
      <c r="AC6" s="247">
        <f ca="1">'SC-New'!W47</f>
        <v>8.2525302545220537E-3</v>
      </c>
      <c r="AD6" s="247">
        <f ca="1">'SC-New'!X47</f>
        <v>8.3934914581070569E-3</v>
      </c>
      <c r="AE6" s="247">
        <f ca="1">'SC-New'!Y47</f>
        <v>7.750201717432148E-2</v>
      </c>
      <c r="AF6" s="248">
        <f t="shared" si="2"/>
        <v>9.5801057048135423</v>
      </c>
      <c r="AG6" s="248">
        <f t="shared" si="3"/>
        <v>8.6342007160070811</v>
      </c>
      <c r="AH6" s="248">
        <f t="shared" si="4"/>
        <v>9.6636255305245111</v>
      </c>
      <c r="AI6" s="248">
        <f t="shared" si="5"/>
        <v>7.5829951097516659</v>
      </c>
      <c r="AJ6" s="248">
        <f t="shared" si="6"/>
        <v>6.2992889771455163</v>
      </c>
      <c r="AK6" s="248">
        <f t="shared" si="7"/>
        <v>5.3277443895094008</v>
      </c>
      <c r="AL6" s="248">
        <f t="shared" si="8"/>
        <v>4.5493859040886901</v>
      </c>
      <c r="AM6" s="248">
        <f t="shared" si="9"/>
        <v>4.6407140882725599</v>
      </c>
      <c r="AN6" s="248">
        <f t="shared" si="10"/>
        <v>4.6083035410272188</v>
      </c>
      <c r="AO6" s="248">
        <f t="shared" si="11"/>
        <v>6.1817868545251882</v>
      </c>
      <c r="AP6" s="248">
        <f t="shared" si="12"/>
        <v>6.8405158734017002</v>
      </c>
      <c r="AQ6" s="248">
        <f t="shared" si="13"/>
        <v>9.3262936742320619</v>
      </c>
      <c r="AR6" s="248"/>
      <c r="AS6" s="248">
        <f t="shared" si="14"/>
        <v>5.0373145672789033</v>
      </c>
      <c r="AT6" s="248">
        <f t="shared" si="15"/>
        <v>4.2423234681170268</v>
      </c>
      <c r="AU6" s="248">
        <f t="shared" si="16"/>
        <v>3.8879301977025569</v>
      </c>
      <c r="AV6" s="248">
        <f t="shared" si="17"/>
        <v>3.6214340353903349</v>
      </c>
      <c r="AW6" s="248">
        <f t="shared" si="18"/>
        <v>3.0766776757997669</v>
      </c>
      <c r="AX6" s="248">
        <f t="shared" si="19"/>
        <v>2.3223611632597421</v>
      </c>
      <c r="AY6" s="248">
        <f t="shared" si="20"/>
        <v>2.4391610121885132</v>
      </c>
      <c r="AZ6" s="248">
        <f t="shared" si="21"/>
        <v>2.0192428843559047</v>
      </c>
      <c r="BA6" s="248">
        <f t="shared" si="22"/>
        <v>2.421738657755153</v>
      </c>
      <c r="BB6" s="248">
        <f t="shared" si="23"/>
        <v>2.5529545707092698</v>
      </c>
      <c r="BC6" s="248">
        <f t="shared" si="24"/>
        <v>3.5557830241620025</v>
      </c>
      <c r="BD6" s="248">
        <f t="shared" si="25"/>
        <v>4.8520545819154153</v>
      </c>
    </row>
    <row r="7" spans="1:56" ht="15">
      <c r="A7" s="243" t="str">
        <f>VLOOKUP(CONCATENATE($C7," - ",$B7),[2]ACHIEV!$B$12:$C$78,2,FALSE)</f>
        <v>LO1Slow</v>
      </c>
      <c r="B7" s="243" t="str">
        <f>'SC-New'!$C$7</f>
        <v>New</v>
      </c>
      <c r="C7" s="243" t="str">
        <f>'SC-New'!$C$8</f>
        <v>WasteWater Heat Recovery</v>
      </c>
      <c r="D7" s="243" t="s">
        <v>151</v>
      </c>
      <c r="E7" s="243" t="str">
        <f>'SC-New'!$A$9</f>
        <v>Water Heating</v>
      </c>
      <c r="F7" s="244">
        <f t="shared" si="1"/>
        <v>2.6003504756367E-2</v>
      </c>
      <c r="G7" s="245">
        <f>'SC-New'!A48</f>
        <v>123.26393620193372</v>
      </c>
      <c r="H7" s="245">
        <f>'SC-New'!B48</f>
        <v>367.48174569205361</v>
      </c>
      <c r="I7" s="246" t="str">
        <f>'SC-New'!C48</f>
        <v>Multifamily - Low Rise</v>
      </c>
      <c r="J7" s="246" t="str">
        <f>'SC-New'!D48</f>
        <v>Multifamily GFHX DHW &amp; Shower Preheat, Heat Pump</v>
      </c>
      <c r="K7" s="247">
        <f ca="1">'SC-New'!E48</f>
        <v>9.4183747925785222E-6</v>
      </c>
      <c r="L7" s="247">
        <f ca="1">'SC-New'!F48</f>
        <v>2.7926087291735133E-5</v>
      </c>
      <c r="M7" s="247">
        <f ca="1">'SC-New'!G48</f>
        <v>6.0431018982235466E-5</v>
      </c>
      <c r="N7" s="247">
        <f ca="1">'SC-New'!H48</f>
        <v>1.1009349945090925E-4</v>
      </c>
      <c r="O7" s="247">
        <f ca="1">'SC-New'!I48</f>
        <v>1.7757569197396453E-4</v>
      </c>
      <c r="P7" s="247">
        <f ca="1">'SC-New'!J48</f>
        <v>2.7310508219472053E-4</v>
      </c>
      <c r="Q7" s="247">
        <f ca="1">'SC-New'!K48</f>
        <v>4.0798269891300249E-4</v>
      </c>
      <c r="R7" s="247">
        <f ca="1">'SC-New'!L48</f>
        <v>5.9694700282262366E-4</v>
      </c>
      <c r="S7" s="247">
        <f ca="1">'SC-New'!M48</f>
        <v>8.4126019620016986E-4</v>
      </c>
      <c r="T7" s="247">
        <f ca="1">'SC-New'!N48</f>
        <v>1.1424685536189272E-3</v>
      </c>
      <c r="U7" s="247">
        <f ca="1">'SC-New'!O48</f>
        <v>1.4608236889009278E-3</v>
      </c>
      <c r="V7" s="247">
        <f ca="1">'SC-New'!P48</f>
        <v>1.7949120183350291E-3</v>
      </c>
      <c r="W7" s="247">
        <f ca="1">'SC-New'!Q48</f>
        <v>2.133398715352289E-3</v>
      </c>
      <c r="X7" s="247">
        <f ca="1">'SC-New'!R48</f>
        <v>2.4230998394703536E-3</v>
      </c>
      <c r="Y7" s="247">
        <f ca="1">'SC-New'!S48</f>
        <v>2.6657088545051499E-3</v>
      </c>
      <c r="Z7" s="247">
        <f ca="1">'SC-New'!T48</f>
        <v>2.8279058199148404E-3</v>
      </c>
      <c r="AA7" s="247">
        <f ca="1">'SC-New'!U48</f>
        <v>2.9389334335017006E-3</v>
      </c>
      <c r="AB7" s="247">
        <f ca="1">'SC-New'!V48</f>
        <v>3.0085995512386448E-3</v>
      </c>
      <c r="AC7" s="247">
        <f ca="1">'SC-New'!W48</f>
        <v>3.0149214784717139E-3</v>
      </c>
      <c r="AD7" s="247">
        <f ca="1">'SC-New'!X48</f>
        <v>3.0342198084700954E-3</v>
      </c>
      <c r="AE7" s="247">
        <f ca="1">'SC-New'!Y48</f>
        <v>2.894973141440161E-2</v>
      </c>
      <c r="AF7" s="248">
        <f t="shared" si="2"/>
        <v>9.5801057048135423</v>
      </c>
      <c r="AG7" s="248">
        <f t="shared" si="3"/>
        <v>8.6342007160070811</v>
      </c>
      <c r="AH7" s="248">
        <f t="shared" si="4"/>
        <v>9.6636255305245111</v>
      </c>
      <c r="AI7" s="248">
        <f t="shared" si="5"/>
        <v>7.5829951097516659</v>
      </c>
      <c r="AJ7" s="248">
        <f t="shared" si="6"/>
        <v>6.2992889771455163</v>
      </c>
      <c r="AK7" s="248">
        <f t="shared" si="7"/>
        <v>5.3277443895094008</v>
      </c>
      <c r="AL7" s="248">
        <f t="shared" si="8"/>
        <v>4.5493859040886901</v>
      </c>
      <c r="AM7" s="248">
        <f t="shared" si="9"/>
        <v>4.6407140882725599</v>
      </c>
      <c r="AN7" s="248">
        <f t="shared" si="10"/>
        <v>4.6083035410272188</v>
      </c>
      <c r="AO7" s="248">
        <f t="shared" si="11"/>
        <v>6.1817868545251882</v>
      </c>
      <c r="AP7" s="248">
        <f t="shared" si="12"/>
        <v>6.8405158734017002</v>
      </c>
      <c r="AQ7" s="248">
        <f t="shared" si="13"/>
        <v>9.3262936742320619</v>
      </c>
      <c r="AR7" s="248"/>
      <c r="AS7" s="248">
        <f t="shared" si="14"/>
        <v>5.0373145672789033</v>
      </c>
      <c r="AT7" s="248">
        <f t="shared" si="15"/>
        <v>4.2423234681170268</v>
      </c>
      <c r="AU7" s="248">
        <f t="shared" si="16"/>
        <v>3.8879301977025569</v>
      </c>
      <c r="AV7" s="248">
        <f t="shared" si="17"/>
        <v>3.6214340353903349</v>
      </c>
      <c r="AW7" s="248">
        <f t="shared" si="18"/>
        <v>3.0766776757997669</v>
      </c>
      <c r="AX7" s="248">
        <f t="shared" si="19"/>
        <v>2.3223611632597421</v>
      </c>
      <c r="AY7" s="248">
        <f t="shared" si="20"/>
        <v>2.4391610121885132</v>
      </c>
      <c r="AZ7" s="248">
        <f t="shared" si="21"/>
        <v>2.0192428843559047</v>
      </c>
      <c r="BA7" s="248">
        <f t="shared" si="22"/>
        <v>2.421738657755153</v>
      </c>
      <c r="BB7" s="248">
        <f t="shared" si="23"/>
        <v>2.5529545707092698</v>
      </c>
      <c r="BC7" s="248">
        <f t="shared" si="24"/>
        <v>3.5557830241620025</v>
      </c>
      <c r="BD7" s="248">
        <f t="shared" si="25"/>
        <v>4.8520545819154153</v>
      </c>
    </row>
    <row r="8" spans="1:56" ht="15">
      <c r="A8" s="243" t="str">
        <f>VLOOKUP(CONCATENATE($C8," - ",$B8),[2]ACHIEV!$B$12:$C$78,2,FALSE)</f>
        <v>LO1Slow</v>
      </c>
      <c r="B8" s="243" t="str">
        <f>'SC-New'!$C$7</f>
        <v>New</v>
      </c>
      <c r="C8" s="243" t="str">
        <f>'SC-New'!$C$8</f>
        <v>WasteWater Heat Recovery</v>
      </c>
      <c r="D8" s="243" t="s">
        <v>151</v>
      </c>
      <c r="E8" s="243" t="str">
        <f>'SC-New'!$A$9</f>
        <v>Water Heating</v>
      </c>
      <c r="F8" s="244">
        <f t="shared" si="1"/>
        <v>2.6003504756367E-2</v>
      </c>
      <c r="G8" s="245">
        <f>'SC-New'!A49</f>
        <v>123.26393620193372</v>
      </c>
      <c r="H8" s="245">
        <f>'SC-New'!B49</f>
        <v>367.48174569205361</v>
      </c>
      <c r="I8" s="246" t="str">
        <f>'SC-New'!C49</f>
        <v>Multifamily - High Rise</v>
      </c>
      <c r="J8" s="246" t="str">
        <f>'SC-New'!D49</f>
        <v>Multifamily GFHX DHW &amp; Shower Preheat, Heat Pump</v>
      </c>
      <c r="K8" s="247">
        <f ca="1">'SC-New'!E49</f>
        <v>3.8058202058345366E-6</v>
      </c>
      <c r="L8" s="247">
        <f ca="1">'SC-New'!F49</f>
        <v>1.1443355548784884E-5</v>
      </c>
      <c r="M8" s="247">
        <f ca="1">'SC-New'!G49</f>
        <v>2.5135704118790121E-5</v>
      </c>
      <c r="N8" s="247">
        <f ca="1">'SC-New'!H49</f>
        <v>4.4736385207804429E-5</v>
      </c>
      <c r="O8" s="247">
        <f ca="1">'SC-New'!I49</f>
        <v>7.0760069510604053E-5</v>
      </c>
      <c r="P8" s="247">
        <f ca="1">'SC-New'!J49</f>
        <v>1.1045630541331865E-4</v>
      </c>
      <c r="Q8" s="247">
        <f ca="1">'SC-New'!K49</f>
        <v>1.6549140949580042E-4</v>
      </c>
      <c r="R8" s="247">
        <f ca="1">'SC-New'!L49</f>
        <v>2.4515160287842512E-4</v>
      </c>
      <c r="S8" s="247">
        <f ca="1">'SC-New'!M49</f>
        <v>3.4305621229205232E-4</v>
      </c>
      <c r="T8" s="247">
        <f ca="1">'SC-New'!N49</f>
        <v>4.6583676569640582E-4</v>
      </c>
      <c r="U8" s="247">
        <f ca="1">'SC-New'!O49</f>
        <v>5.884744620744081E-4</v>
      </c>
      <c r="V8" s="247">
        <f ca="1">'SC-New'!P49</f>
        <v>7.2165890240364337E-4</v>
      </c>
      <c r="W8" s="247">
        <f ca="1">'SC-New'!Q49</f>
        <v>8.5035092839966654E-4</v>
      </c>
      <c r="X8" s="247">
        <f ca="1">'SC-New'!R49</f>
        <v>9.7338950767029227E-4</v>
      </c>
      <c r="Y8" s="247">
        <f ca="1">'SC-New'!S49</f>
        <v>1.0759498952288068E-3</v>
      </c>
      <c r="Z8" s="247">
        <f ca="1">'SC-New'!T49</f>
        <v>1.140608464257208E-3</v>
      </c>
      <c r="AA8" s="247">
        <f ca="1">'SC-New'!U49</f>
        <v>1.1868126394976011E-3</v>
      </c>
      <c r="AB8" s="247">
        <f ca="1">'SC-New'!V49</f>
        <v>1.2022041193539747E-3</v>
      </c>
      <c r="AC8" s="247">
        <f ca="1">'SC-New'!W49</f>
        <v>1.2236929042928391E-3</v>
      </c>
      <c r="AD8" s="247">
        <f ca="1">'SC-New'!X49</f>
        <v>1.2305705780043539E-3</v>
      </c>
      <c r="AE8" s="247">
        <f ca="1">'SC-New'!Y49</f>
        <v>1.1679586031550612E-2</v>
      </c>
      <c r="AF8" s="248">
        <f t="shared" si="2"/>
        <v>9.5801057048135423</v>
      </c>
      <c r="AG8" s="248">
        <f t="shared" si="3"/>
        <v>8.6342007160070811</v>
      </c>
      <c r="AH8" s="248">
        <f t="shared" si="4"/>
        <v>9.6636255305245111</v>
      </c>
      <c r="AI8" s="248">
        <f t="shared" si="5"/>
        <v>7.5829951097516659</v>
      </c>
      <c r="AJ8" s="248">
        <f t="shared" si="6"/>
        <v>6.2992889771455163</v>
      </c>
      <c r="AK8" s="248">
        <f t="shared" si="7"/>
        <v>5.3277443895094008</v>
      </c>
      <c r="AL8" s="248">
        <f t="shared" si="8"/>
        <v>4.5493859040886901</v>
      </c>
      <c r="AM8" s="248">
        <f t="shared" si="9"/>
        <v>4.6407140882725599</v>
      </c>
      <c r="AN8" s="248">
        <f t="shared" si="10"/>
        <v>4.6083035410272188</v>
      </c>
      <c r="AO8" s="248">
        <f t="shared" si="11"/>
        <v>6.1817868545251882</v>
      </c>
      <c r="AP8" s="248">
        <f t="shared" si="12"/>
        <v>6.8405158734017002</v>
      </c>
      <c r="AQ8" s="248">
        <f t="shared" si="13"/>
        <v>9.3262936742320619</v>
      </c>
      <c r="AR8" s="248"/>
      <c r="AS8" s="248">
        <f t="shared" si="14"/>
        <v>5.0373145672789033</v>
      </c>
      <c r="AT8" s="248">
        <f t="shared" si="15"/>
        <v>4.2423234681170268</v>
      </c>
      <c r="AU8" s="248">
        <f t="shared" si="16"/>
        <v>3.8879301977025569</v>
      </c>
      <c r="AV8" s="248">
        <f t="shared" si="17"/>
        <v>3.6214340353903349</v>
      </c>
      <c r="AW8" s="248">
        <f t="shared" si="18"/>
        <v>3.0766776757997669</v>
      </c>
      <c r="AX8" s="248">
        <f t="shared" si="19"/>
        <v>2.3223611632597421</v>
      </c>
      <c r="AY8" s="248">
        <f t="shared" si="20"/>
        <v>2.4391610121885132</v>
      </c>
      <c r="AZ8" s="248">
        <f t="shared" si="21"/>
        <v>2.0192428843559047</v>
      </c>
      <c r="BA8" s="248">
        <f t="shared" si="22"/>
        <v>2.421738657755153</v>
      </c>
      <c r="BB8" s="248">
        <f t="shared" si="23"/>
        <v>2.5529545707092698</v>
      </c>
      <c r="BC8" s="248">
        <f t="shared" si="24"/>
        <v>3.5557830241620025</v>
      </c>
      <c r="BD8" s="248">
        <f t="shared" si="25"/>
        <v>4.8520545819154153</v>
      </c>
    </row>
    <row r="9" spans="1:56" ht="15">
      <c r="A9" s="243" t="str">
        <f>VLOOKUP(CONCATENATE($C9," - ",$B9),[2]ACHIEV!$B$12:$C$78,2,FALSE)</f>
        <v>LO1Slow</v>
      </c>
      <c r="B9" s="243" t="str">
        <f>'SC-New'!$C$7</f>
        <v>New</v>
      </c>
      <c r="C9" s="243" t="str">
        <f>'SC-New'!$C$8</f>
        <v>WasteWater Heat Recovery</v>
      </c>
      <c r="D9" s="243" t="s">
        <v>151</v>
      </c>
      <c r="E9" s="243" t="str">
        <f>'SC-New'!$A$9</f>
        <v>Water Heating</v>
      </c>
      <c r="F9" s="244">
        <f t="shared" si="1"/>
        <v>4.968121669622351E-2</v>
      </c>
      <c r="G9" s="245">
        <f>'SC-New'!A50</f>
        <v>256.71911903766988</v>
      </c>
      <c r="H9" s="245">
        <f>'SC-New'!B50</f>
        <v>191.49472963945871</v>
      </c>
      <c r="I9" s="246" t="str">
        <f>'SC-New'!C50</f>
        <v>Single Family</v>
      </c>
      <c r="J9" s="246" t="str">
        <f>'SC-New'!D50</f>
        <v>Single Family GFHX DHW Preheat, Electric Resistance</v>
      </c>
      <c r="K9" s="247">
        <f ca="1">'SC-New'!E50</f>
        <v>9.3447000195058202E-4</v>
      </c>
      <c r="L9" s="247">
        <f ca="1">'SC-New'!F50</f>
        <v>2.6806367465638755E-3</v>
      </c>
      <c r="M9" s="247">
        <f ca="1">'SC-New'!G50</f>
        <v>5.5478189565883957E-3</v>
      </c>
      <c r="N9" s="247">
        <f ca="1">'SC-New'!H50</f>
        <v>1.0099548637047016E-2</v>
      </c>
      <c r="O9" s="247">
        <f ca="1">'SC-New'!I50</f>
        <v>1.6817907773019152E-2</v>
      </c>
      <c r="P9" s="247">
        <f ca="1">'SC-New'!J50</f>
        <v>2.5562517218528088E-2</v>
      </c>
      <c r="Q9" s="247">
        <f ca="1">'SC-New'!K50</f>
        <v>3.7463659768952155E-2</v>
      </c>
      <c r="R9" s="247">
        <f ca="1">'SC-New'!L50</f>
        <v>5.3557580933606824E-2</v>
      </c>
      <c r="S9" s="247">
        <f ca="1">'SC-New'!M50</f>
        <v>7.2924698036591698E-2</v>
      </c>
      <c r="T9" s="247">
        <f ca="1">'SC-New'!N50</f>
        <v>9.8127888801381388E-2</v>
      </c>
      <c r="U9" s="247">
        <f ca="1">'SC-New'!O50</f>
        <v>0.12582269802184654</v>
      </c>
      <c r="V9" s="247">
        <f ca="1">'SC-New'!P50</f>
        <v>0.15257146183519396</v>
      </c>
      <c r="W9" s="247">
        <f ca="1">'SC-New'!Q50</f>
        <v>0.17625755313548697</v>
      </c>
      <c r="X9" s="247">
        <f ca="1">'SC-New'!R50</f>
        <v>0.20260522833831146</v>
      </c>
      <c r="Y9" s="247">
        <f ca="1">'SC-New'!S50</f>
        <v>0.22824269889653964</v>
      </c>
      <c r="Z9" s="247">
        <f ca="1">'SC-New'!T50</f>
        <v>0.24613347652717846</v>
      </c>
      <c r="AA9" s="247">
        <f ca="1">'SC-New'!U50</f>
        <v>0.25162490790984771</v>
      </c>
      <c r="AB9" s="247">
        <f ca="1">'SC-New'!V50</f>
        <v>0.26045070808549597</v>
      </c>
      <c r="AC9" s="247">
        <f ca="1">'SC-New'!W50</f>
        <v>0.26679767549419969</v>
      </c>
      <c r="AD9" s="247">
        <f ca="1">'SC-New'!X50</f>
        <v>0.2713548379996914</v>
      </c>
      <c r="AE9" s="247">
        <f ca="1">'SC-New'!Y50</f>
        <v>2.505577973118021</v>
      </c>
      <c r="AF9" s="248">
        <f t="shared" si="2"/>
        <v>16.974252130941522</v>
      </c>
      <c r="AG9" s="248">
        <f t="shared" si="3"/>
        <v>15.206074488924425</v>
      </c>
      <c r="AH9" s="248">
        <f t="shared" si="4"/>
        <v>17.49279380043361</v>
      </c>
      <c r="AI9" s="248">
        <f t="shared" si="5"/>
        <v>15.170697763662981</v>
      </c>
      <c r="AJ9" s="248">
        <f t="shared" si="6"/>
        <v>14.470189705989108</v>
      </c>
      <c r="AK9" s="248">
        <f t="shared" si="7"/>
        <v>14.108154860005159</v>
      </c>
      <c r="AL9" s="248">
        <f t="shared" si="8"/>
        <v>11.940214963652727</v>
      </c>
      <c r="AM9" s="248">
        <f t="shared" si="9"/>
        <v>12.486980601275031</v>
      </c>
      <c r="AN9" s="248">
        <f t="shared" si="10"/>
        <v>11.71460881818879</v>
      </c>
      <c r="AO9" s="248">
        <f t="shared" si="11"/>
        <v>14.143273661343647</v>
      </c>
      <c r="AP9" s="248">
        <f t="shared" si="12"/>
        <v>14.49630311882791</v>
      </c>
      <c r="AQ9" s="248">
        <f t="shared" si="13"/>
        <v>16.854538800706795</v>
      </c>
      <c r="AR9" s="248"/>
      <c r="AS9" s="248">
        <f t="shared" si="14"/>
        <v>8.5173958524754561</v>
      </c>
      <c r="AT9" s="248">
        <f t="shared" si="15"/>
        <v>7.1343627239134708</v>
      </c>
      <c r="AU9" s="248">
        <f t="shared" si="16"/>
        <v>6.8115668777676479</v>
      </c>
      <c r="AV9" s="248">
        <f t="shared" si="17"/>
        <v>7.085639007701217</v>
      </c>
      <c r="AW9" s="248">
        <f t="shared" si="18"/>
        <v>7.0806549609780305</v>
      </c>
      <c r="AX9" s="248">
        <f t="shared" si="19"/>
        <v>5.8706617390262847</v>
      </c>
      <c r="AY9" s="248">
        <f t="shared" si="20"/>
        <v>6.3834149282792385</v>
      </c>
      <c r="AZ9" s="248">
        <f t="shared" si="21"/>
        <v>5.011663443002754</v>
      </c>
      <c r="BA9" s="248">
        <f t="shared" si="22"/>
        <v>6.1745694461951501</v>
      </c>
      <c r="BB9" s="248">
        <f t="shared" si="23"/>
        <v>5.7606510854867894</v>
      </c>
      <c r="BC9" s="248">
        <f t="shared" si="24"/>
        <v>7.5441375579403838</v>
      </c>
      <c r="BD9" s="248">
        <f t="shared" si="25"/>
        <v>8.2863187009517336</v>
      </c>
    </row>
    <row r="10" spans="1:56" ht="15">
      <c r="A10" s="243" t="str">
        <f>VLOOKUP(CONCATENATE($C10," - ",$B10),[2]ACHIEV!$B$12:$C$78,2,FALSE)</f>
        <v>LO1Slow</v>
      </c>
      <c r="B10" s="243" t="str">
        <f>'SC-New'!$C$7</f>
        <v>New</v>
      </c>
      <c r="C10" s="243" t="str">
        <f>'SC-New'!$C$8</f>
        <v>WasteWater Heat Recovery</v>
      </c>
      <c r="D10" s="243" t="s">
        <v>151</v>
      </c>
      <c r="E10" s="243" t="str">
        <f>'SC-New'!$A$9</f>
        <v>Water Heating</v>
      </c>
      <c r="F10" s="244">
        <f t="shared" si="1"/>
        <v>4.968121669622351E-2</v>
      </c>
      <c r="G10" s="245">
        <f>'SC-New'!A51</f>
        <v>256.71911903766988</v>
      </c>
      <c r="H10" s="245">
        <f>'SC-New'!B51</f>
        <v>153.66426901335223</v>
      </c>
      <c r="I10" s="246" t="str">
        <f>'SC-New'!C51</f>
        <v>Multifamily - Low Rise</v>
      </c>
      <c r="J10" s="246" t="str">
        <f>'SC-New'!D51</f>
        <v>Multifamily GFHX DHW Preheat, Electric Resistance</v>
      </c>
      <c r="K10" s="247">
        <f ca="1">'SC-New'!E51</f>
        <v>3.3246162888090432E-4</v>
      </c>
      <c r="L10" s="247">
        <f ca="1">'SC-New'!F51</f>
        <v>9.8577012210179327E-4</v>
      </c>
      <c r="M10" s="247">
        <f ca="1">'SC-New'!G51</f>
        <v>2.1331700477239578E-3</v>
      </c>
      <c r="N10" s="247">
        <f ca="1">'SC-New'!H51</f>
        <v>3.8862186908817558E-3</v>
      </c>
      <c r="O10" s="247">
        <f ca="1">'SC-New'!I51</f>
        <v>6.2682899229958384E-3</v>
      </c>
      <c r="P10" s="247">
        <f ca="1">'SC-New'!J51</f>
        <v>9.6404063845129742E-3</v>
      </c>
      <c r="Q10" s="247">
        <f ca="1">'SC-New'!K51</f>
        <v>1.4401485991269392E-2</v>
      </c>
      <c r="R10" s="247">
        <f ca="1">'SC-New'!L51</f>
        <v>2.1071785449690007E-2</v>
      </c>
      <c r="S10" s="247">
        <f ca="1">'SC-New'!M51</f>
        <v>2.9695859561860369E-2</v>
      </c>
      <c r="T10" s="247">
        <f ca="1">'SC-New'!N51</f>
        <v>4.0328290670769949E-2</v>
      </c>
      <c r="U10" s="247">
        <f ca="1">'SC-New'!O51</f>
        <v>5.1565990291924851E-2</v>
      </c>
      <c r="V10" s="247">
        <f ca="1">'SC-New'!P51</f>
        <v>6.3359059971131448E-2</v>
      </c>
      <c r="W10" s="247">
        <f ca="1">'SC-New'!Q51</f>
        <v>7.5307388756427784E-2</v>
      </c>
      <c r="X10" s="247">
        <f ca="1">'SC-New'!R51</f>
        <v>8.5533623083905858E-2</v>
      </c>
      <c r="Y10" s="247">
        <f ca="1">'SC-New'!S51</f>
        <v>9.4097540967404927E-2</v>
      </c>
      <c r="Z10" s="247">
        <f ca="1">'SC-New'!T51</f>
        <v>9.9822973274700313E-2</v>
      </c>
      <c r="AA10" s="247">
        <f ca="1">'SC-New'!U51</f>
        <v>0.10374216550019269</v>
      </c>
      <c r="AB10" s="247">
        <f ca="1">'SC-New'!V51</f>
        <v>0.10620132766890188</v>
      </c>
      <c r="AC10" s="247">
        <f ca="1">'SC-New'!W51</f>
        <v>0.10642448700072513</v>
      </c>
      <c r="AD10" s="247">
        <f ca="1">'SC-New'!X51</f>
        <v>0.10710570370395071</v>
      </c>
      <c r="AE10" s="247">
        <f ca="1">'SC-New'!Y51</f>
        <v>1.0219039986899525</v>
      </c>
      <c r="AF10" s="248">
        <f t="shared" si="2"/>
        <v>16.974252130941522</v>
      </c>
      <c r="AG10" s="248">
        <f t="shared" si="3"/>
        <v>15.206074488924425</v>
      </c>
      <c r="AH10" s="248">
        <f t="shared" si="4"/>
        <v>17.49279380043361</v>
      </c>
      <c r="AI10" s="248">
        <f t="shared" si="5"/>
        <v>15.170697763662981</v>
      </c>
      <c r="AJ10" s="248">
        <f t="shared" si="6"/>
        <v>14.470189705989108</v>
      </c>
      <c r="AK10" s="248">
        <f t="shared" si="7"/>
        <v>14.108154860005159</v>
      </c>
      <c r="AL10" s="248">
        <f t="shared" si="8"/>
        <v>11.940214963652727</v>
      </c>
      <c r="AM10" s="248">
        <f t="shared" si="9"/>
        <v>12.486980601275031</v>
      </c>
      <c r="AN10" s="248">
        <f t="shared" si="10"/>
        <v>11.71460881818879</v>
      </c>
      <c r="AO10" s="248">
        <f t="shared" si="11"/>
        <v>14.143273661343647</v>
      </c>
      <c r="AP10" s="248">
        <f t="shared" si="12"/>
        <v>14.49630311882791</v>
      </c>
      <c r="AQ10" s="248">
        <f t="shared" si="13"/>
        <v>16.854538800706795</v>
      </c>
      <c r="AR10" s="248"/>
      <c r="AS10" s="248">
        <f t="shared" si="14"/>
        <v>8.5173958524754561</v>
      </c>
      <c r="AT10" s="248">
        <f t="shared" si="15"/>
        <v>7.1343627239134708</v>
      </c>
      <c r="AU10" s="248">
        <f t="shared" si="16"/>
        <v>6.8115668777676479</v>
      </c>
      <c r="AV10" s="248">
        <f t="shared" si="17"/>
        <v>7.085639007701217</v>
      </c>
      <c r="AW10" s="248">
        <f t="shared" si="18"/>
        <v>7.0806549609780305</v>
      </c>
      <c r="AX10" s="248">
        <f t="shared" si="19"/>
        <v>5.8706617390262847</v>
      </c>
      <c r="AY10" s="248">
        <f t="shared" si="20"/>
        <v>6.3834149282792385</v>
      </c>
      <c r="AZ10" s="248">
        <f t="shared" si="21"/>
        <v>5.011663443002754</v>
      </c>
      <c r="BA10" s="248">
        <f t="shared" si="22"/>
        <v>6.1745694461951501</v>
      </c>
      <c r="BB10" s="248">
        <f t="shared" si="23"/>
        <v>5.7606510854867894</v>
      </c>
      <c r="BC10" s="248">
        <f t="shared" si="24"/>
        <v>7.5441375579403838</v>
      </c>
      <c r="BD10" s="248">
        <f t="shared" si="25"/>
        <v>8.2863187009517336</v>
      </c>
    </row>
    <row r="11" spans="1:56" ht="15">
      <c r="A11" s="243" t="str">
        <f>VLOOKUP(CONCATENATE($C11," - ",$B11),[2]ACHIEV!$B$12:$C$78,2,FALSE)</f>
        <v>LO1Slow</v>
      </c>
      <c r="B11" s="243" t="str">
        <f>'SC-New'!$C$7</f>
        <v>New</v>
      </c>
      <c r="C11" s="243" t="str">
        <f>'SC-New'!$C$8</f>
        <v>WasteWater Heat Recovery</v>
      </c>
      <c r="D11" s="243" t="s">
        <v>151</v>
      </c>
      <c r="E11" s="243" t="str">
        <f>'SC-New'!$A$9</f>
        <v>Water Heating</v>
      </c>
      <c r="F11" s="244">
        <f t="shared" si="1"/>
        <v>4.968121669622351E-2</v>
      </c>
      <c r="G11" s="245">
        <f>'SC-New'!A52</f>
        <v>256.71911903766988</v>
      </c>
      <c r="H11" s="245">
        <f>'SC-New'!B52</f>
        <v>153.66426901335223</v>
      </c>
      <c r="I11" s="246" t="str">
        <f>'SC-New'!C52</f>
        <v>Multifamily - High Rise</v>
      </c>
      <c r="J11" s="246" t="str">
        <f>'SC-New'!D52</f>
        <v>Multifamily GFHX DHW Preheat, Electric Resistance</v>
      </c>
      <c r="K11" s="247">
        <f ca="1">'SC-New'!E52</f>
        <v>1.3434262414961756E-4</v>
      </c>
      <c r="L11" s="247">
        <f ca="1">'SC-New'!F52</f>
        <v>4.0394194427367688E-4</v>
      </c>
      <c r="M11" s="247">
        <f ca="1">'SC-New'!G52</f>
        <v>8.8727167037207775E-4</v>
      </c>
      <c r="N11" s="247">
        <f ca="1">'SC-New'!H52</f>
        <v>1.5791611423395426E-3</v>
      </c>
      <c r="O11" s="247">
        <f ca="1">'SC-New'!I52</f>
        <v>2.4977778531131123E-3</v>
      </c>
      <c r="P11" s="247">
        <f ca="1">'SC-New'!J52</f>
        <v>3.8990254716572853E-3</v>
      </c>
      <c r="Q11" s="247">
        <f ca="1">'SC-New'!K52</f>
        <v>5.8417237345581938E-3</v>
      </c>
      <c r="R11" s="247">
        <f ca="1">'SC-New'!L52</f>
        <v>8.653669344306494E-3</v>
      </c>
      <c r="S11" s="247">
        <f ca="1">'SC-New'!M52</f>
        <v>1.2109629277675418E-2</v>
      </c>
      <c r="T11" s="247">
        <f ca="1">'SC-New'!N52</f>
        <v>1.6443691541992544E-2</v>
      </c>
      <c r="U11" s="247">
        <f ca="1">'SC-New'!O52</f>
        <v>2.0772711059474491E-2</v>
      </c>
      <c r="V11" s="247">
        <f ca="1">'SC-New'!P52</f>
        <v>2.5474022798346877E-2</v>
      </c>
      <c r="W11" s="247">
        <f ca="1">'SC-New'!Q52</f>
        <v>3.0016755650763761E-2</v>
      </c>
      <c r="X11" s="247">
        <f ca="1">'SC-New'!R52</f>
        <v>3.4359926036352711E-2</v>
      </c>
      <c r="Y11" s="247">
        <f ca="1">'SC-New'!S52</f>
        <v>3.7980231477290204E-2</v>
      </c>
      <c r="Z11" s="247">
        <f ca="1">'SC-New'!T52</f>
        <v>4.0262630899027964E-2</v>
      </c>
      <c r="AA11" s="247">
        <f ca="1">'SC-New'!U52</f>
        <v>4.1893603938413057E-2</v>
      </c>
      <c r="AB11" s="247">
        <f ca="1">'SC-New'!V52</f>
        <v>4.2436911735844282E-2</v>
      </c>
      <c r="AC11" s="247">
        <f ca="1">'SC-New'!W52</f>
        <v>4.3195449870159747E-2</v>
      </c>
      <c r="AD11" s="247">
        <f ca="1">'SC-New'!X52</f>
        <v>4.3438226639549236E-2</v>
      </c>
      <c r="AE11" s="247">
        <f ca="1">'SC-New'!Y52</f>
        <v>0.41228070470966027</v>
      </c>
      <c r="AF11" s="248">
        <f t="shared" si="2"/>
        <v>16.974252130941522</v>
      </c>
      <c r="AG11" s="248">
        <f t="shared" si="3"/>
        <v>15.206074488924425</v>
      </c>
      <c r="AH11" s="248">
        <f t="shared" si="4"/>
        <v>17.49279380043361</v>
      </c>
      <c r="AI11" s="248">
        <f t="shared" si="5"/>
        <v>15.170697763662981</v>
      </c>
      <c r="AJ11" s="248">
        <f t="shared" si="6"/>
        <v>14.470189705989108</v>
      </c>
      <c r="AK11" s="248">
        <f t="shared" si="7"/>
        <v>14.108154860005159</v>
      </c>
      <c r="AL11" s="248">
        <f t="shared" si="8"/>
        <v>11.940214963652727</v>
      </c>
      <c r="AM11" s="248">
        <f t="shared" si="9"/>
        <v>12.486980601275031</v>
      </c>
      <c r="AN11" s="248">
        <f t="shared" si="10"/>
        <v>11.71460881818879</v>
      </c>
      <c r="AO11" s="248">
        <f t="shared" si="11"/>
        <v>14.143273661343647</v>
      </c>
      <c r="AP11" s="248">
        <f t="shared" si="12"/>
        <v>14.49630311882791</v>
      </c>
      <c r="AQ11" s="248">
        <f t="shared" si="13"/>
        <v>16.854538800706795</v>
      </c>
      <c r="AR11" s="248"/>
      <c r="AS11" s="248">
        <f t="shared" si="14"/>
        <v>8.5173958524754561</v>
      </c>
      <c r="AT11" s="248">
        <f t="shared" si="15"/>
        <v>7.1343627239134708</v>
      </c>
      <c r="AU11" s="248">
        <f t="shared" si="16"/>
        <v>6.8115668777676479</v>
      </c>
      <c r="AV11" s="248">
        <f t="shared" si="17"/>
        <v>7.085639007701217</v>
      </c>
      <c r="AW11" s="248">
        <f t="shared" si="18"/>
        <v>7.0806549609780305</v>
      </c>
      <c r="AX11" s="248">
        <f t="shared" si="19"/>
        <v>5.8706617390262847</v>
      </c>
      <c r="AY11" s="248">
        <f t="shared" si="20"/>
        <v>6.3834149282792385</v>
      </c>
      <c r="AZ11" s="248">
        <f t="shared" si="21"/>
        <v>5.011663443002754</v>
      </c>
      <c r="BA11" s="248">
        <f t="shared" si="22"/>
        <v>6.1745694461951501</v>
      </c>
      <c r="BB11" s="248">
        <f t="shared" si="23"/>
        <v>5.7606510854867894</v>
      </c>
      <c r="BC11" s="248">
        <f t="shared" si="24"/>
        <v>7.5441375579403838</v>
      </c>
      <c r="BD11" s="248">
        <f t="shared" si="25"/>
        <v>8.2863187009517336</v>
      </c>
    </row>
    <row r="12" spans="1:56" ht="15">
      <c r="A12" s="243" t="str">
        <f>VLOOKUP(CONCATENATE($C12," - ",$B12),[2]ACHIEV!$B$12:$C$78,2,FALSE)</f>
        <v>LO1Slow</v>
      </c>
      <c r="B12" s="243" t="str">
        <f>'SC-New'!$C$7</f>
        <v>New</v>
      </c>
      <c r="C12" s="243" t="str">
        <f>'SC-New'!$C$8</f>
        <v>WasteWater Heat Recovery</v>
      </c>
      <c r="D12" s="243" t="s">
        <v>151</v>
      </c>
      <c r="E12" s="243" t="str">
        <f>'SC-New'!$A$9</f>
        <v>Water Heating</v>
      </c>
      <c r="F12" s="244">
        <f t="shared" si="1"/>
        <v>2.6003504756367E-2</v>
      </c>
      <c r="G12" s="245">
        <f>'SC-New'!A53</f>
        <v>123.26393620193372</v>
      </c>
      <c r="H12" s="245">
        <f>'SC-New'!B53</f>
        <v>409.7280330471188</v>
      </c>
      <c r="I12" s="246" t="str">
        <f>'SC-New'!C53</f>
        <v>Single Family</v>
      </c>
      <c r="J12" s="246" t="str">
        <f>'SC-New'!D53</f>
        <v>Single Family GFHX DHW  Preheat, Heat Pump</v>
      </c>
      <c r="K12" s="247">
        <f ca="1">'SC-New'!E53</f>
        <v>2.8904831905884115E-5</v>
      </c>
      <c r="L12" s="247">
        <f ca="1">'SC-New'!F53</f>
        <v>8.2916898775165285E-5</v>
      </c>
      <c r="M12" s="247">
        <f ca="1">'SC-New'!G53</f>
        <v>1.7160398305963529E-4</v>
      </c>
      <c r="N12" s="247">
        <f ca="1">'SC-New'!H53</f>
        <v>3.1239713962972468E-4</v>
      </c>
      <c r="O12" s="247">
        <f ca="1">'SC-New'!I53</f>
        <v>5.2020802826529709E-4</v>
      </c>
      <c r="P12" s="247">
        <f ca="1">'SC-New'!J53</f>
        <v>7.9069447039552731E-4</v>
      </c>
      <c r="Q12" s="247">
        <f ca="1">'SC-New'!K53</f>
        <v>1.1588181385602809E-3</v>
      </c>
      <c r="R12" s="247">
        <f ca="1">'SC-New'!L53</f>
        <v>1.6566319635090401E-3</v>
      </c>
      <c r="S12" s="247">
        <f ca="1">'SC-New'!M53</f>
        <v>2.2556916050115346E-3</v>
      </c>
      <c r="T12" s="247">
        <f ca="1">'SC-New'!N53</f>
        <v>3.0352714642125178E-3</v>
      </c>
      <c r="U12" s="247">
        <f ca="1">'SC-New'!O53</f>
        <v>3.8919215476952498E-3</v>
      </c>
      <c r="V12" s="247">
        <f ca="1">'SC-New'!P53</f>
        <v>4.7193087512449813E-3</v>
      </c>
      <c r="W12" s="247">
        <f ca="1">'SC-New'!Q53</f>
        <v>5.4519620050822292E-3</v>
      </c>
      <c r="X12" s="247">
        <f ca="1">'SC-New'!R53</f>
        <v>6.2669428190824487E-3</v>
      </c>
      <c r="Y12" s="247">
        <f ca="1">'SC-New'!S53</f>
        <v>7.0599557306053468E-3</v>
      </c>
      <c r="Z12" s="247">
        <f ca="1">'SC-New'!T53</f>
        <v>7.6133495463508779E-3</v>
      </c>
      <c r="AA12" s="247">
        <f ca="1">'SC-New'!U53</f>
        <v>7.7832093606920848E-3</v>
      </c>
      <c r="AB12" s="247">
        <f ca="1">'SC-New'!V53</f>
        <v>8.0562071776145439E-3</v>
      </c>
      <c r="AC12" s="247">
        <f ca="1">'SC-New'!W53</f>
        <v>8.2525302545220537E-3</v>
      </c>
      <c r="AD12" s="247">
        <f ca="1">'SC-New'!X53</f>
        <v>8.3934914581070569E-3</v>
      </c>
      <c r="AE12" s="247">
        <f ca="1">'SC-New'!Y53</f>
        <v>7.750201717432148E-2</v>
      </c>
      <c r="AF12" s="248">
        <f t="shared" si="2"/>
        <v>9.5801057048135423</v>
      </c>
      <c r="AG12" s="248">
        <f t="shared" si="3"/>
        <v>8.6342007160070811</v>
      </c>
      <c r="AH12" s="248">
        <f t="shared" si="4"/>
        <v>9.6636255305245111</v>
      </c>
      <c r="AI12" s="248">
        <f t="shared" si="5"/>
        <v>7.5829951097516659</v>
      </c>
      <c r="AJ12" s="248">
        <f t="shared" si="6"/>
        <v>6.2992889771455163</v>
      </c>
      <c r="AK12" s="248">
        <f t="shared" si="7"/>
        <v>5.3277443895094008</v>
      </c>
      <c r="AL12" s="248">
        <f t="shared" si="8"/>
        <v>4.5493859040886901</v>
      </c>
      <c r="AM12" s="248">
        <f t="shared" si="9"/>
        <v>4.6407140882725599</v>
      </c>
      <c r="AN12" s="248">
        <f t="shared" si="10"/>
        <v>4.6083035410272188</v>
      </c>
      <c r="AO12" s="248">
        <f t="shared" si="11"/>
        <v>6.1817868545251882</v>
      </c>
      <c r="AP12" s="248">
        <f t="shared" si="12"/>
        <v>6.8405158734017002</v>
      </c>
      <c r="AQ12" s="248">
        <f t="shared" si="13"/>
        <v>9.3262936742320619</v>
      </c>
      <c r="AR12" s="248"/>
      <c r="AS12" s="248">
        <f t="shared" si="14"/>
        <v>5.0373145672789033</v>
      </c>
      <c r="AT12" s="248">
        <f t="shared" si="15"/>
        <v>4.2423234681170268</v>
      </c>
      <c r="AU12" s="248">
        <f t="shared" si="16"/>
        <v>3.8879301977025569</v>
      </c>
      <c r="AV12" s="248">
        <f t="shared" si="17"/>
        <v>3.6214340353903349</v>
      </c>
      <c r="AW12" s="248">
        <f t="shared" si="18"/>
        <v>3.0766776757997669</v>
      </c>
      <c r="AX12" s="248">
        <f t="shared" si="19"/>
        <v>2.3223611632597421</v>
      </c>
      <c r="AY12" s="248">
        <f t="shared" si="20"/>
        <v>2.4391610121885132</v>
      </c>
      <c r="AZ12" s="248">
        <f t="shared" si="21"/>
        <v>2.0192428843559047</v>
      </c>
      <c r="BA12" s="248">
        <f t="shared" si="22"/>
        <v>2.421738657755153</v>
      </c>
      <c r="BB12" s="248">
        <f t="shared" si="23"/>
        <v>2.5529545707092698</v>
      </c>
      <c r="BC12" s="248">
        <f t="shared" si="24"/>
        <v>3.5557830241620025</v>
      </c>
      <c r="BD12" s="248">
        <f t="shared" si="25"/>
        <v>4.8520545819154153</v>
      </c>
    </row>
    <row r="13" spans="1:56" ht="15">
      <c r="A13" s="243" t="str">
        <f>VLOOKUP(CONCATENATE($C13," - ",$B13),[2]ACHIEV!$B$12:$C$78,2,FALSE)</f>
        <v>LO1Slow</v>
      </c>
      <c r="B13" s="243" t="str">
        <f>'SC-New'!$C$7</f>
        <v>New</v>
      </c>
      <c r="C13" s="243" t="str">
        <f>'SC-New'!$C$8</f>
        <v>WasteWater Heat Recovery</v>
      </c>
      <c r="D13" s="243" t="s">
        <v>151</v>
      </c>
      <c r="E13" s="243" t="str">
        <f>'SC-New'!$A$9</f>
        <v>Water Heating</v>
      </c>
      <c r="F13" s="244">
        <f t="shared" si="1"/>
        <v>2.6003504756367E-2</v>
      </c>
      <c r="G13" s="245">
        <f>'SC-New'!A54</f>
        <v>123.26393620193372</v>
      </c>
      <c r="H13" s="245">
        <f>'SC-New'!B54</f>
        <v>330.93935548279683</v>
      </c>
      <c r="I13" s="246" t="str">
        <f>'SC-New'!C54</f>
        <v>Multifamily - Low Rise</v>
      </c>
      <c r="J13" s="246" t="str">
        <f>'SC-New'!D54</f>
        <v>Multifamily GFHX DHW  Preheat, Heat Pump</v>
      </c>
      <c r="K13" s="247">
        <f ca="1">'SC-New'!E54</f>
        <v>9.4183747925785222E-6</v>
      </c>
      <c r="L13" s="247">
        <f ca="1">'SC-New'!F54</f>
        <v>2.7926087291735133E-5</v>
      </c>
      <c r="M13" s="247">
        <f ca="1">'SC-New'!G54</f>
        <v>6.0431018982235466E-5</v>
      </c>
      <c r="N13" s="247">
        <f ca="1">'SC-New'!H54</f>
        <v>1.1009349945090925E-4</v>
      </c>
      <c r="O13" s="247">
        <f ca="1">'SC-New'!I54</f>
        <v>1.7757569197396453E-4</v>
      </c>
      <c r="P13" s="247">
        <f ca="1">'SC-New'!J54</f>
        <v>2.7310508219472053E-4</v>
      </c>
      <c r="Q13" s="247">
        <f ca="1">'SC-New'!K54</f>
        <v>4.0798269891300249E-4</v>
      </c>
      <c r="R13" s="247">
        <f ca="1">'SC-New'!L54</f>
        <v>5.9694700282262366E-4</v>
      </c>
      <c r="S13" s="247">
        <f ca="1">'SC-New'!M54</f>
        <v>8.4126019620016986E-4</v>
      </c>
      <c r="T13" s="247">
        <f ca="1">'SC-New'!N54</f>
        <v>1.1424685536189272E-3</v>
      </c>
      <c r="U13" s="247">
        <f ca="1">'SC-New'!O54</f>
        <v>1.4608236889009278E-3</v>
      </c>
      <c r="V13" s="247">
        <f ca="1">'SC-New'!P54</f>
        <v>1.7949120183350291E-3</v>
      </c>
      <c r="W13" s="247">
        <f ca="1">'SC-New'!Q54</f>
        <v>2.133398715352289E-3</v>
      </c>
      <c r="X13" s="247">
        <f ca="1">'SC-New'!R54</f>
        <v>2.4230998394703536E-3</v>
      </c>
      <c r="Y13" s="247">
        <f ca="1">'SC-New'!S54</f>
        <v>2.6657088545051499E-3</v>
      </c>
      <c r="Z13" s="247">
        <f ca="1">'SC-New'!T54</f>
        <v>2.8279058199148404E-3</v>
      </c>
      <c r="AA13" s="247">
        <f ca="1">'SC-New'!U54</f>
        <v>2.9389334335017006E-3</v>
      </c>
      <c r="AB13" s="247">
        <f ca="1">'SC-New'!V54</f>
        <v>3.0085995512386448E-3</v>
      </c>
      <c r="AC13" s="247">
        <f ca="1">'SC-New'!W54</f>
        <v>3.0149214784717139E-3</v>
      </c>
      <c r="AD13" s="247">
        <f ca="1">'SC-New'!X54</f>
        <v>3.0342198084700954E-3</v>
      </c>
      <c r="AE13" s="247">
        <f ca="1">'SC-New'!Y54</f>
        <v>2.894973141440161E-2</v>
      </c>
      <c r="AF13" s="248">
        <f t="shared" si="2"/>
        <v>9.5801057048135423</v>
      </c>
      <c r="AG13" s="248">
        <f t="shared" si="3"/>
        <v>8.6342007160070811</v>
      </c>
      <c r="AH13" s="248">
        <f t="shared" si="4"/>
        <v>9.6636255305245111</v>
      </c>
      <c r="AI13" s="248">
        <f t="shared" si="5"/>
        <v>7.5829951097516659</v>
      </c>
      <c r="AJ13" s="248">
        <f t="shared" si="6"/>
        <v>6.2992889771455163</v>
      </c>
      <c r="AK13" s="248">
        <f t="shared" si="7"/>
        <v>5.3277443895094008</v>
      </c>
      <c r="AL13" s="248">
        <f t="shared" si="8"/>
        <v>4.5493859040886901</v>
      </c>
      <c r="AM13" s="248">
        <f t="shared" si="9"/>
        <v>4.6407140882725599</v>
      </c>
      <c r="AN13" s="248">
        <f t="shared" si="10"/>
        <v>4.6083035410272188</v>
      </c>
      <c r="AO13" s="248">
        <f t="shared" si="11"/>
        <v>6.1817868545251882</v>
      </c>
      <c r="AP13" s="248">
        <f t="shared" si="12"/>
        <v>6.8405158734017002</v>
      </c>
      <c r="AQ13" s="248">
        <f t="shared" si="13"/>
        <v>9.3262936742320619</v>
      </c>
      <c r="AR13" s="248"/>
      <c r="AS13" s="248">
        <f t="shared" si="14"/>
        <v>5.0373145672789033</v>
      </c>
      <c r="AT13" s="248">
        <f t="shared" si="15"/>
        <v>4.2423234681170268</v>
      </c>
      <c r="AU13" s="248">
        <f t="shared" si="16"/>
        <v>3.8879301977025569</v>
      </c>
      <c r="AV13" s="248">
        <f t="shared" si="17"/>
        <v>3.6214340353903349</v>
      </c>
      <c r="AW13" s="248">
        <f t="shared" si="18"/>
        <v>3.0766776757997669</v>
      </c>
      <c r="AX13" s="248">
        <f t="shared" si="19"/>
        <v>2.3223611632597421</v>
      </c>
      <c r="AY13" s="248">
        <f t="shared" si="20"/>
        <v>2.4391610121885132</v>
      </c>
      <c r="AZ13" s="248">
        <f t="shared" si="21"/>
        <v>2.0192428843559047</v>
      </c>
      <c r="BA13" s="248">
        <f t="shared" si="22"/>
        <v>2.421738657755153</v>
      </c>
      <c r="BB13" s="248">
        <f t="shared" si="23"/>
        <v>2.5529545707092698</v>
      </c>
      <c r="BC13" s="248">
        <f t="shared" si="24"/>
        <v>3.5557830241620025</v>
      </c>
      <c r="BD13" s="248">
        <f t="shared" si="25"/>
        <v>4.8520545819154153</v>
      </c>
    </row>
    <row r="14" spans="1:56" ht="15">
      <c r="A14" s="243" t="str">
        <f>VLOOKUP(CONCATENATE($C14," - ",$B14),[2]ACHIEV!$B$12:$C$78,2,FALSE)</f>
        <v>LO1Slow</v>
      </c>
      <c r="B14" s="243" t="str">
        <f>'SC-New'!$C$7</f>
        <v>New</v>
      </c>
      <c r="C14" s="243" t="str">
        <f>'SC-New'!$C$8</f>
        <v>WasteWater Heat Recovery</v>
      </c>
      <c r="D14" s="243" t="s">
        <v>151</v>
      </c>
      <c r="E14" s="243" t="str">
        <f>'SC-New'!$A$9</f>
        <v>Water Heating</v>
      </c>
      <c r="F14" s="244">
        <f t="shared" si="1"/>
        <v>2.6003504756367E-2</v>
      </c>
      <c r="G14" s="245">
        <f>'SC-New'!A55</f>
        <v>123.26393620193372</v>
      </c>
      <c r="H14" s="245">
        <f>'SC-New'!B55</f>
        <v>330.93935548279683</v>
      </c>
      <c r="I14" s="246" t="str">
        <f>'SC-New'!C55</f>
        <v>Multifamily - High Rise</v>
      </c>
      <c r="J14" s="246" t="str">
        <f>'SC-New'!D55</f>
        <v>Multifamily GFHX DHW  Preheat, Heat Pump</v>
      </c>
      <c r="K14" s="247">
        <f ca="1">'SC-New'!E55</f>
        <v>3.8058202058345366E-6</v>
      </c>
      <c r="L14" s="247">
        <f ca="1">'SC-New'!F55</f>
        <v>1.1443355548784884E-5</v>
      </c>
      <c r="M14" s="247">
        <f ca="1">'SC-New'!G55</f>
        <v>2.5135704118790121E-5</v>
      </c>
      <c r="N14" s="247">
        <f ca="1">'SC-New'!H55</f>
        <v>4.4736385207804429E-5</v>
      </c>
      <c r="O14" s="247">
        <f ca="1">'SC-New'!I55</f>
        <v>7.0760069510604053E-5</v>
      </c>
      <c r="P14" s="247">
        <f ca="1">'SC-New'!J55</f>
        <v>1.1045630541331865E-4</v>
      </c>
      <c r="Q14" s="247">
        <f ca="1">'SC-New'!K55</f>
        <v>1.6549140949580042E-4</v>
      </c>
      <c r="R14" s="247">
        <f ca="1">'SC-New'!L55</f>
        <v>2.4515160287842512E-4</v>
      </c>
      <c r="S14" s="247">
        <f ca="1">'SC-New'!M55</f>
        <v>3.4305621229205232E-4</v>
      </c>
      <c r="T14" s="247">
        <f ca="1">'SC-New'!N55</f>
        <v>4.6583676569640582E-4</v>
      </c>
      <c r="U14" s="247">
        <f ca="1">'SC-New'!O55</f>
        <v>5.884744620744081E-4</v>
      </c>
      <c r="V14" s="247">
        <f ca="1">'SC-New'!P55</f>
        <v>7.2165890240364337E-4</v>
      </c>
      <c r="W14" s="247">
        <f ca="1">'SC-New'!Q55</f>
        <v>8.5035092839966654E-4</v>
      </c>
      <c r="X14" s="247">
        <f ca="1">'SC-New'!R55</f>
        <v>9.7338950767029227E-4</v>
      </c>
      <c r="Y14" s="247">
        <f ca="1">'SC-New'!S55</f>
        <v>1.0759498952288068E-3</v>
      </c>
      <c r="Z14" s="247">
        <f ca="1">'SC-New'!T55</f>
        <v>1.140608464257208E-3</v>
      </c>
      <c r="AA14" s="247">
        <f ca="1">'SC-New'!U55</f>
        <v>1.1868126394976011E-3</v>
      </c>
      <c r="AB14" s="247">
        <f ca="1">'SC-New'!V55</f>
        <v>1.2022041193539747E-3</v>
      </c>
      <c r="AC14" s="247">
        <f ca="1">'SC-New'!W55</f>
        <v>1.2236929042928391E-3</v>
      </c>
      <c r="AD14" s="247">
        <f ca="1">'SC-New'!X55</f>
        <v>1.2305705780043539E-3</v>
      </c>
      <c r="AE14" s="247">
        <f ca="1">'SC-New'!Y55</f>
        <v>1.1679586031550612E-2</v>
      </c>
      <c r="AF14" s="248">
        <f t="shared" si="2"/>
        <v>9.5801057048135423</v>
      </c>
      <c r="AG14" s="248">
        <f t="shared" si="3"/>
        <v>8.6342007160070811</v>
      </c>
      <c r="AH14" s="248">
        <f t="shared" si="4"/>
        <v>9.6636255305245111</v>
      </c>
      <c r="AI14" s="248">
        <f t="shared" si="5"/>
        <v>7.5829951097516659</v>
      </c>
      <c r="AJ14" s="248">
        <f t="shared" si="6"/>
        <v>6.2992889771455163</v>
      </c>
      <c r="AK14" s="248">
        <f t="shared" si="7"/>
        <v>5.3277443895094008</v>
      </c>
      <c r="AL14" s="248">
        <f t="shared" si="8"/>
        <v>4.5493859040886901</v>
      </c>
      <c r="AM14" s="248">
        <f t="shared" si="9"/>
        <v>4.6407140882725599</v>
      </c>
      <c r="AN14" s="248">
        <f t="shared" si="10"/>
        <v>4.6083035410272188</v>
      </c>
      <c r="AO14" s="248">
        <f t="shared" si="11"/>
        <v>6.1817868545251882</v>
      </c>
      <c r="AP14" s="248">
        <f t="shared" si="12"/>
        <v>6.8405158734017002</v>
      </c>
      <c r="AQ14" s="248">
        <f t="shared" si="13"/>
        <v>9.3262936742320619</v>
      </c>
      <c r="AR14" s="248"/>
      <c r="AS14" s="248">
        <f t="shared" si="14"/>
        <v>5.0373145672789033</v>
      </c>
      <c r="AT14" s="248">
        <f t="shared" si="15"/>
        <v>4.2423234681170268</v>
      </c>
      <c r="AU14" s="248">
        <f t="shared" si="16"/>
        <v>3.8879301977025569</v>
      </c>
      <c r="AV14" s="248">
        <f t="shared" si="17"/>
        <v>3.6214340353903349</v>
      </c>
      <c r="AW14" s="248">
        <f t="shared" si="18"/>
        <v>3.0766776757997669</v>
      </c>
      <c r="AX14" s="248">
        <f t="shared" si="19"/>
        <v>2.3223611632597421</v>
      </c>
      <c r="AY14" s="248">
        <f t="shared" si="20"/>
        <v>2.4391610121885132</v>
      </c>
      <c r="AZ14" s="248">
        <f t="shared" si="21"/>
        <v>2.0192428843559047</v>
      </c>
      <c r="BA14" s="248">
        <f t="shared" si="22"/>
        <v>2.421738657755153</v>
      </c>
      <c r="BB14" s="248">
        <f t="shared" si="23"/>
        <v>2.5529545707092698</v>
      </c>
      <c r="BC14" s="248">
        <f t="shared" si="24"/>
        <v>3.5557830241620025</v>
      </c>
      <c r="BD14" s="248">
        <f t="shared" si="25"/>
        <v>4.8520545819154153</v>
      </c>
    </row>
    <row r="15" spans="1:56" ht="15">
      <c r="A15" s="243"/>
      <c r="B15" s="243"/>
      <c r="C15" s="243"/>
      <c r="D15" s="243"/>
      <c r="E15" s="243"/>
      <c r="F15" s="244"/>
      <c r="G15" s="245"/>
      <c r="H15" s="245"/>
      <c r="I15" s="246"/>
      <c r="J15" s="246"/>
      <c r="K15" s="247"/>
      <c r="L15" s="247"/>
      <c r="M15" s="247"/>
      <c r="N15" s="247"/>
      <c r="O15" s="247"/>
      <c r="P15" s="247"/>
      <c r="Q15" s="247"/>
      <c r="R15" s="247"/>
      <c r="S15" s="247"/>
      <c r="T15" s="247"/>
      <c r="U15" s="247"/>
      <c r="V15" s="247"/>
      <c r="W15" s="247"/>
      <c r="X15" s="247"/>
      <c r="Y15" s="247"/>
      <c r="Z15" s="247"/>
      <c r="AA15" s="247"/>
      <c r="AB15" s="247"/>
      <c r="AC15" s="247"/>
      <c r="AD15" s="247"/>
      <c r="AE15" s="247"/>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row>
    <row r="16" spans="1:56" ht="15">
      <c r="A16" s="243"/>
      <c r="B16" s="243"/>
      <c r="C16" s="243"/>
      <c r="D16" s="243"/>
      <c r="E16" s="243"/>
      <c r="F16" s="244"/>
      <c r="G16" s="245"/>
      <c r="H16" s="245"/>
      <c r="I16" s="246"/>
      <c r="J16" s="246"/>
      <c r="K16" s="247"/>
      <c r="L16" s="247"/>
      <c r="M16" s="247"/>
      <c r="N16" s="247"/>
      <c r="O16" s="247"/>
      <c r="P16" s="247"/>
      <c r="Q16" s="247"/>
      <c r="R16" s="247"/>
      <c r="S16" s="247"/>
      <c r="T16" s="247"/>
      <c r="U16" s="247"/>
      <c r="V16" s="247"/>
      <c r="W16" s="247"/>
      <c r="X16" s="247"/>
      <c r="Y16" s="247"/>
      <c r="Z16" s="247"/>
      <c r="AA16" s="247"/>
      <c r="AB16" s="247"/>
      <c r="AC16" s="247"/>
      <c r="AD16" s="247"/>
      <c r="AE16" s="247"/>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row>
    <row r="17" spans="1:56" ht="15">
      <c r="A17" s="243"/>
      <c r="B17" s="243"/>
      <c r="C17" s="243"/>
      <c r="D17" s="243"/>
      <c r="E17" s="243"/>
      <c r="F17" s="244"/>
      <c r="G17" s="245"/>
      <c r="H17" s="245"/>
      <c r="I17" s="246"/>
      <c r="J17" s="246"/>
      <c r="K17" s="247"/>
      <c r="L17" s="247"/>
      <c r="M17" s="247"/>
      <c r="N17" s="247"/>
      <c r="O17" s="247"/>
      <c r="P17" s="247"/>
      <c r="Q17" s="247"/>
      <c r="R17" s="247"/>
      <c r="S17" s="247"/>
      <c r="T17" s="247"/>
      <c r="U17" s="247"/>
      <c r="V17" s="247"/>
      <c r="W17" s="247"/>
      <c r="X17" s="247"/>
      <c r="Y17" s="247"/>
      <c r="Z17" s="247"/>
      <c r="AA17" s="247"/>
      <c r="AB17" s="247"/>
      <c r="AC17" s="247"/>
      <c r="AD17" s="247"/>
      <c r="AE17" s="247"/>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7"/>
  <dimension ref="A1:CB149"/>
  <sheetViews>
    <sheetView tabSelected="1" workbookViewId="0">
      <selection activeCell="A13" sqref="A13"/>
    </sheetView>
  </sheetViews>
  <sheetFormatPr defaultRowHeight="12.75"/>
  <cols>
    <col min="1" max="1" width="35" style="143" customWidth="1"/>
    <col min="2" max="2" width="29.28515625" style="143" customWidth="1"/>
    <col min="3" max="3" width="19.85546875" style="143" customWidth="1"/>
    <col min="4" max="4" width="50" style="143" customWidth="1"/>
    <col min="5" max="5" width="10.7109375" style="143" customWidth="1"/>
    <col min="6" max="25" width="9.5703125" style="143" bestFit="1" customWidth="1"/>
    <col min="26" max="28" width="9.140625" style="143"/>
    <col min="29" max="29" width="21.7109375" style="143" customWidth="1"/>
    <col min="30" max="30" width="35.85546875" style="143" customWidth="1"/>
    <col min="31" max="31" width="35.28515625" style="143" customWidth="1"/>
    <col min="32" max="32" width="15" style="143" customWidth="1"/>
    <col min="33" max="33" width="17.7109375" style="143" customWidth="1"/>
    <col min="34" max="34" width="15.140625" style="143" customWidth="1"/>
    <col min="35" max="35" width="15.7109375" style="143" customWidth="1"/>
    <col min="36" max="36" width="21.28515625" style="143" customWidth="1"/>
    <col min="37" max="37" width="17.7109375" style="143" bestFit="1" customWidth="1"/>
    <col min="38" max="38" width="15.42578125" style="143" bestFit="1" customWidth="1"/>
    <col min="39" max="39" width="14.28515625" style="143" bestFit="1" customWidth="1"/>
    <col min="40" max="40" width="14.28515625" style="143" customWidth="1"/>
    <col min="41" max="41" width="12.5703125" style="143" customWidth="1"/>
    <col min="42" max="42" width="14" style="143" bestFit="1" customWidth="1"/>
    <col min="43" max="44" width="10.85546875" style="143" bestFit="1" customWidth="1"/>
    <col min="45" max="45" width="13.42578125" style="143" customWidth="1"/>
    <col min="46" max="46" width="11.85546875" style="143" bestFit="1" customWidth="1"/>
    <col min="47" max="47" width="11" style="143" bestFit="1" customWidth="1"/>
    <col min="48" max="48" width="14.28515625" style="143" bestFit="1" customWidth="1"/>
    <col min="49" max="49" width="10.7109375" style="143" customWidth="1"/>
    <col min="50" max="50" width="13.85546875" style="143" bestFit="1" customWidth="1"/>
    <col min="51" max="51" width="11.7109375" style="143" bestFit="1" customWidth="1"/>
    <col min="52" max="52" width="15.28515625" style="143" bestFit="1" customWidth="1"/>
    <col min="53" max="55" width="12.28515625" style="143" bestFit="1" customWidth="1"/>
    <col min="56" max="56" width="12.5703125" style="143" bestFit="1" customWidth="1"/>
    <col min="57" max="59" width="14.28515625" style="143" bestFit="1" customWidth="1"/>
    <col min="60" max="60" width="13.7109375" style="143" bestFit="1" customWidth="1"/>
    <col min="61" max="61" width="14" style="143" bestFit="1" customWidth="1"/>
    <col min="62" max="62" width="12.85546875" style="143" bestFit="1" customWidth="1"/>
    <col min="63" max="63" width="15.28515625" style="143" bestFit="1" customWidth="1"/>
    <col min="64" max="64" width="12.28515625" style="143" bestFit="1" customWidth="1"/>
    <col min="65" max="65" width="10.85546875" style="143" bestFit="1" customWidth="1"/>
    <col min="66" max="66" width="12.28515625" style="143" bestFit="1" customWidth="1"/>
    <col min="67" max="67" width="12.5703125" style="143" bestFit="1" customWidth="1"/>
    <col min="68" max="16384" width="9.140625" style="143"/>
  </cols>
  <sheetData>
    <row r="1" spans="1:69">
      <c r="A1" s="142" t="s">
        <v>210</v>
      </c>
      <c r="B1" s="252" t="s">
        <v>341</v>
      </c>
      <c r="C1" s="252"/>
      <c r="D1" s="252"/>
      <c r="E1" s="252"/>
      <c r="F1" s="252"/>
      <c r="G1" s="252"/>
      <c r="H1" s="252"/>
      <c r="I1" s="252"/>
      <c r="J1" s="252"/>
      <c r="K1" s="252"/>
      <c r="L1" s="252"/>
      <c r="M1" s="252"/>
      <c r="N1" s="252"/>
      <c r="O1" s="252"/>
      <c r="P1" s="252"/>
      <c r="Q1" s="252"/>
      <c r="R1" s="252"/>
      <c r="S1" s="252"/>
      <c r="T1" s="252"/>
    </row>
    <row r="2" spans="1:69">
      <c r="A2" s="144" t="s">
        <v>594</v>
      </c>
      <c r="B2" s="252"/>
      <c r="C2" s="252"/>
      <c r="D2" s="252"/>
      <c r="E2" s="252"/>
      <c r="F2" s="252"/>
      <c r="G2" s="252"/>
      <c r="H2" s="252"/>
      <c r="I2" s="252"/>
      <c r="J2" s="252"/>
      <c r="K2" s="252"/>
      <c r="L2" s="252"/>
      <c r="M2" s="252"/>
      <c r="N2" s="252"/>
      <c r="O2" s="252"/>
      <c r="P2" s="252"/>
      <c r="Q2" s="252"/>
      <c r="R2" s="252"/>
      <c r="S2" s="252"/>
      <c r="T2" s="252"/>
    </row>
    <row r="3" spans="1:69">
      <c r="B3" s="252"/>
      <c r="C3" s="252"/>
      <c r="D3" s="252"/>
      <c r="E3" s="252"/>
      <c r="F3" s="252"/>
      <c r="G3" s="252"/>
      <c r="H3" s="252"/>
      <c r="I3" s="252"/>
      <c r="J3" s="252"/>
      <c r="K3" s="252"/>
      <c r="L3" s="252"/>
      <c r="M3" s="252"/>
      <c r="N3" s="252"/>
      <c r="O3" s="252"/>
      <c r="P3" s="252"/>
      <c r="Q3" s="252"/>
      <c r="R3" s="252"/>
      <c r="S3" s="252"/>
      <c r="T3" s="252"/>
    </row>
    <row r="4" spans="1:69">
      <c r="B4" s="252"/>
      <c r="C4" s="252"/>
      <c r="D4" s="252"/>
      <c r="E4" s="252"/>
      <c r="F4" s="252"/>
      <c r="G4" s="252"/>
      <c r="H4" s="252"/>
      <c r="I4" s="252"/>
      <c r="J4" s="252"/>
      <c r="K4" s="252"/>
      <c r="L4" s="252"/>
      <c r="M4" s="252"/>
      <c r="N4" s="252"/>
      <c r="O4" s="252"/>
      <c r="P4" s="252"/>
      <c r="Q4" s="252"/>
      <c r="R4" s="252"/>
      <c r="S4" s="252"/>
      <c r="T4" s="252"/>
    </row>
    <row r="5" spans="1:69">
      <c r="B5" s="252"/>
      <c r="C5" s="252"/>
      <c r="D5" s="252"/>
      <c r="E5" s="252"/>
      <c r="F5" s="252"/>
      <c r="G5" s="252"/>
      <c r="H5" s="252"/>
      <c r="I5" s="252"/>
      <c r="J5" s="252"/>
      <c r="K5" s="252"/>
      <c r="L5" s="252"/>
      <c r="M5" s="252"/>
      <c r="N5" s="252"/>
      <c r="O5" s="252"/>
      <c r="P5" s="252"/>
      <c r="Q5" s="252"/>
      <c r="R5" s="252"/>
      <c r="S5" s="252"/>
      <c r="T5" s="252"/>
    </row>
    <row r="6" spans="1:69">
      <c r="B6" s="252"/>
      <c r="C6" s="252"/>
      <c r="D6" s="252"/>
      <c r="E6" s="252"/>
      <c r="F6" s="252"/>
      <c r="G6" s="252"/>
      <c r="H6" s="252"/>
      <c r="I6" s="252"/>
      <c r="J6" s="252"/>
      <c r="K6" s="252"/>
      <c r="L6" s="252"/>
      <c r="M6" s="252"/>
      <c r="N6" s="252"/>
      <c r="O6" s="252"/>
      <c r="P6" s="252"/>
      <c r="Q6" s="252"/>
      <c r="R6" s="252"/>
      <c r="S6" s="252"/>
      <c r="T6" s="252"/>
    </row>
    <row r="7" spans="1:69">
      <c r="A7" s="249"/>
      <c r="B7" s="249" t="s">
        <v>211</v>
      </c>
      <c r="C7" s="145" t="s">
        <v>212</v>
      </c>
      <c r="D7" s="193" t="s">
        <v>212</v>
      </c>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6"/>
    </row>
    <row r="8" spans="1:69">
      <c r="A8" s="249" t="s">
        <v>863</v>
      </c>
      <c r="B8" s="249" t="s">
        <v>213</v>
      </c>
      <c r="C8" s="145" t="str">
        <f>[2]MLIST!$B$16</f>
        <v>WasteWater Heat Recovery</v>
      </c>
      <c r="D8" s="193" t="str">
        <f>[1]!switch_ForecastState</f>
        <v>Region</v>
      </c>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6"/>
    </row>
    <row r="9" spans="1:69">
      <c r="A9" s="249" t="str">
        <f>INDEX([2]ACHIEV!$A$19:$B$100,MATCH(CONCATENATE($C$8," - ",$C$7),[2]ACHIEV!$B$19:$B$100,0),1)</f>
        <v>Water Heating</v>
      </c>
      <c r="B9" s="250" t="s">
        <v>214</v>
      </c>
      <c r="C9" s="145">
        <f>[2]FILES!$H$4</f>
        <v>2035</v>
      </c>
      <c r="D9" s="193" t="str">
        <f>[1]!switch_ForecastScenario</f>
        <v>Base</v>
      </c>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row>
    <row r="10" spans="1:69">
      <c r="A10" s="249"/>
      <c r="B10" s="249" t="s">
        <v>865</v>
      </c>
      <c r="C10" s="251">
        <f ca="1">MIN(SUM(E57:X57),Y57)</f>
        <v>7.7151869035977052</v>
      </c>
      <c r="D10" s="194"/>
      <c r="E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row>
    <row r="11" spans="1:69" ht="15">
      <c r="A11" s="147" t="str">
        <f>CONCATENATE("# HOMES AVAILABLE FOR MEASURE -",$C$8)</f>
        <v># HOMES AVAILABLE FOR MEASURE -WasteWater Heat Recovery</v>
      </c>
      <c r="C11" s="143" t="s">
        <v>215</v>
      </c>
      <c r="E11" s="195">
        <v>2016</v>
      </c>
      <c r="F11" s="195">
        <v>2017</v>
      </c>
      <c r="G11" s="195">
        <v>2018</v>
      </c>
      <c r="H11" s="195">
        <v>2019</v>
      </c>
      <c r="I11" s="195">
        <v>2020</v>
      </c>
      <c r="J11" s="195">
        <v>2021</v>
      </c>
      <c r="K11" s="195">
        <v>2022</v>
      </c>
      <c r="L11" s="195">
        <v>2023</v>
      </c>
      <c r="M11" s="195">
        <v>2024</v>
      </c>
      <c r="N11" s="195">
        <v>2025</v>
      </c>
      <c r="O11" s="195">
        <v>2026</v>
      </c>
      <c r="P11" s="195">
        <v>2027</v>
      </c>
      <c r="Q11" s="195">
        <v>2028</v>
      </c>
      <c r="R11" s="195">
        <v>2029</v>
      </c>
      <c r="S11" s="195">
        <v>2030</v>
      </c>
      <c r="T11" s="195">
        <v>2031</v>
      </c>
      <c r="U11" s="195">
        <v>2032</v>
      </c>
      <c r="V11" s="195">
        <v>2033</v>
      </c>
      <c r="W11" s="195">
        <v>2034</v>
      </c>
      <c r="X11" s="195">
        <v>2035</v>
      </c>
      <c r="Y11" s="148"/>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row>
    <row r="12" spans="1:69" ht="15">
      <c r="E12" s="196" t="str">
        <f>CONCATENATE("Homes_",E11)</f>
        <v>Homes_2016</v>
      </c>
      <c r="F12" s="196" t="str">
        <f t="shared" ref="F12:X12" si="0">CONCATENATE("Homes_",F11)</f>
        <v>Homes_2017</v>
      </c>
      <c r="G12" s="196" t="str">
        <f t="shared" si="0"/>
        <v>Homes_2018</v>
      </c>
      <c r="H12" s="196" t="str">
        <f t="shared" si="0"/>
        <v>Homes_2019</v>
      </c>
      <c r="I12" s="196" t="str">
        <f t="shared" si="0"/>
        <v>Homes_2020</v>
      </c>
      <c r="J12" s="196" t="str">
        <f t="shared" si="0"/>
        <v>Homes_2021</v>
      </c>
      <c r="K12" s="196" t="str">
        <f t="shared" si="0"/>
        <v>Homes_2022</v>
      </c>
      <c r="L12" s="196" t="str">
        <f t="shared" si="0"/>
        <v>Homes_2023</v>
      </c>
      <c r="M12" s="196" t="str">
        <f t="shared" si="0"/>
        <v>Homes_2024</v>
      </c>
      <c r="N12" s="196" t="str">
        <f t="shared" si="0"/>
        <v>Homes_2025</v>
      </c>
      <c r="O12" s="196" t="str">
        <f t="shared" si="0"/>
        <v>Homes_2026</v>
      </c>
      <c r="P12" s="196" t="str">
        <f t="shared" si="0"/>
        <v>Homes_2027</v>
      </c>
      <c r="Q12" s="196" t="str">
        <f t="shared" si="0"/>
        <v>Homes_2028</v>
      </c>
      <c r="R12" s="196" t="str">
        <f t="shared" si="0"/>
        <v>Homes_2029</v>
      </c>
      <c r="S12" s="196" t="str">
        <f t="shared" si="0"/>
        <v>Homes_2030</v>
      </c>
      <c r="T12" s="196" t="str">
        <f t="shared" si="0"/>
        <v>Homes_2031</v>
      </c>
      <c r="U12" s="196" t="str">
        <f t="shared" si="0"/>
        <v>Homes_2032</v>
      </c>
      <c r="V12" s="196" t="str">
        <f t="shared" si="0"/>
        <v>Homes_2033</v>
      </c>
      <c r="W12" s="196" t="str">
        <f t="shared" si="0"/>
        <v>Homes_2034</v>
      </c>
      <c r="X12" s="196" t="str">
        <f t="shared" si="0"/>
        <v>Homes_2035</v>
      </c>
      <c r="Y12" s="149"/>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row>
    <row r="13" spans="1:69">
      <c r="B13" s="143" t="s">
        <v>212</v>
      </c>
      <c r="C13" s="143" t="s">
        <v>216</v>
      </c>
      <c r="E13" s="197">
        <f ca="1">INDEX([1]!tbl_Forecast,MATCH($D$8&amp;$C13&amp;$D$7,[1]!rng_ForecastRowLookup,0),MATCH(E$11,[1]!rng_ForecastColumnLookup,0))</f>
        <v>62685.758999999998</v>
      </c>
      <c r="F13" s="197">
        <f ca="1">INDEX([1]!tbl_Forecast,MATCH($D$8&amp;$C13&amp;$D$7,[1]!rng_ForecastRowLookup,0),MATCH(F$11,[1]!rng_ForecastColumnLookup,0))</f>
        <v>59961.781000000003</v>
      </c>
      <c r="G13" s="197">
        <f ca="1">INDEX([1]!tbl_Forecast,MATCH($D$8&amp;$C13&amp;$D$7,[1]!rng_ForecastRowLookup,0),MATCH(G$11,[1]!rng_ForecastColumnLookup,0))</f>
        <v>56834.012000000002</v>
      </c>
      <c r="H13" s="197">
        <f ca="1">INDEX([1]!tbl_Forecast,MATCH($D$8&amp;$C13&amp;$D$7,[1]!rng_ForecastRowLookup,0),MATCH(H$11,[1]!rng_ForecastColumnLookup,0))</f>
        <v>54985.192999999999</v>
      </c>
      <c r="I13" s="197">
        <f ca="1">INDEX([1]!tbl_Forecast,MATCH($D$8&amp;$C13&amp;$D$7,[1]!rng_ForecastRowLookup,0),MATCH(I$11,[1]!rng_ForecastColumnLookup,0))</f>
        <v>53507.474000000002</v>
      </c>
      <c r="J13" s="197">
        <f ca="1">INDEX([1]!tbl_Forecast,MATCH($D$8&amp;$C13&amp;$D$7,[1]!rng_ForecastRowLookup,0),MATCH(J$11,[1]!rng_ForecastColumnLookup,0))</f>
        <v>50982.05</v>
      </c>
      <c r="K13" s="197">
        <f ca="1">INDEX([1]!tbl_Forecast,MATCH($D$8&amp;$C13&amp;$D$7,[1]!rng_ForecastRowLookup,0),MATCH(K$11,[1]!rng_ForecastColumnLookup,0))</f>
        <v>49561.669000000002</v>
      </c>
      <c r="L13" s="197">
        <f ca="1">INDEX([1]!tbl_Forecast,MATCH($D$8&amp;$C13&amp;$D$7,[1]!rng_ForecastRowLookup,0),MATCH(L$11,[1]!rng_ForecastColumnLookup,0))</f>
        <v>49324.517999999996</v>
      </c>
      <c r="M13" s="197">
        <f ca="1">INDEX([1]!tbl_Forecast,MATCH($D$8&amp;$C13&amp;$D$7,[1]!rng_ForecastRowLookup,0),MATCH(M$11,[1]!rng_ForecastColumnLookup,0))</f>
        <v>48815.77</v>
      </c>
      <c r="N13" s="197">
        <f ca="1">INDEX([1]!tbl_Forecast,MATCH($D$8&amp;$C13&amp;$D$7,[1]!rng_ForecastRowLookup,0),MATCH(N$11,[1]!rng_ForecastColumnLookup,0))</f>
        <v>49683.252</v>
      </c>
      <c r="O13" s="197">
        <f ca="1">INDEX([1]!tbl_Forecast,MATCH($D$8&amp;$C13&amp;$D$7,[1]!rng_ForecastRowLookup,0),MATCH(O$11,[1]!rng_ForecastColumnLookup,0))</f>
        <v>50030.137000000002</v>
      </c>
      <c r="P13" s="197">
        <f ca="1">INDEX([1]!tbl_Forecast,MATCH($D$8&amp;$C13&amp;$D$7,[1]!rng_ForecastRowLookup,0),MATCH(P$11,[1]!rng_ForecastColumnLookup,0))</f>
        <v>49387.762999999999</v>
      </c>
      <c r="Q13" s="197">
        <f ca="1">INDEX([1]!tbl_Forecast,MATCH($D$8&amp;$C13&amp;$D$7,[1]!rng_ForecastRowLookup,0),MATCH(Q$11,[1]!rng_ForecastColumnLookup,0))</f>
        <v>48079.345999999998</v>
      </c>
      <c r="R13" s="197">
        <f ca="1">INDEX([1]!tbl_Forecast,MATCH($D$8&amp;$C13&amp;$D$7,[1]!rng_ForecastRowLookup,0),MATCH(R$11,[1]!rng_ForecastColumnLookup,0))</f>
        <v>48129.050999999999</v>
      </c>
      <c r="S13" s="197">
        <f ca="1">INDEX([1]!tbl_Forecast,MATCH($D$8&amp;$C13&amp;$D$7,[1]!rng_ForecastRowLookup,0),MATCH(S$11,[1]!rng_ForecastColumnLookup,0))</f>
        <v>48690.569000000003</v>
      </c>
      <c r="T13" s="197">
        <f ca="1">INDEX([1]!tbl_Forecast,MATCH($D$8&amp;$C13&amp;$D$7,[1]!rng_ForecastRowLookup,0),MATCH(T$11,[1]!rng_ForecastColumnLookup,0))</f>
        <v>48482.864000000001</v>
      </c>
      <c r="U13" s="197">
        <f ca="1">INDEX([1]!tbl_Forecast,MATCH($D$8&amp;$C13&amp;$D$7,[1]!rng_ForecastRowLookup,0),MATCH(U$11,[1]!rng_ForecastColumnLookup,0))</f>
        <v>46879.000999999997</v>
      </c>
      <c r="V13" s="197">
        <f ca="1">INDEX([1]!tbl_Forecast,MATCH($D$8&amp;$C13&amp;$D$7,[1]!rng_ForecastRowLookup,0),MATCH(V$11,[1]!rng_ForecastColumnLookup,0))</f>
        <v>46798.777999999998</v>
      </c>
      <c r="W13" s="197">
        <f ca="1">INDEX([1]!tbl_Forecast,MATCH($D$8&amp;$C13&amp;$D$7,[1]!rng_ForecastRowLookup,0),MATCH(W$11,[1]!rng_ForecastColumnLookup,0))</f>
        <v>46917.627</v>
      </c>
      <c r="X13" s="197">
        <f ca="1">INDEX([1]!tbl_Forecast,MATCH($D$8&amp;$C13&amp;$D$7,[1]!rng_ForecastRowLookup,0),MATCH(X$11,[1]!rng_ForecastColumnLookup,0))</f>
        <v>47236.144999999997</v>
      </c>
      <c r="Y13" s="150"/>
      <c r="AA13" s="150">
        <f ca="1">SUM(E13:Y13)</f>
        <v>1016972.7590000002</v>
      </c>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row>
    <row r="14" spans="1:69">
      <c r="B14" s="143" t="s">
        <v>212</v>
      </c>
      <c r="C14" s="143" t="s">
        <v>217</v>
      </c>
      <c r="E14" s="197">
        <f ca="1">INDEX([1]!tbl_Forecast,MATCH($D$8&amp;$C14&amp;$D$7,[1]!rng_ForecastRowLookup,0),MATCH(E$11,[1]!rng_ForecastColumnLookup,0))</f>
        <v>23280.347100904564</v>
      </c>
      <c r="F14" s="197">
        <f ca="1">INDEX([1]!tbl_Forecast,MATCH($D$8&amp;$C14&amp;$D$7,[1]!rng_ForecastRowLookup,0),MATCH(F$11,[1]!rng_ForecastColumnLookup,0))</f>
        <v>23017.418106038647</v>
      </c>
      <c r="G14" s="197">
        <f ca="1">INDEX([1]!tbl_Forecast,MATCH($D$8&amp;$C14&amp;$D$7,[1]!rng_ForecastRowLookup,0),MATCH(G$11,[1]!rng_ForecastColumnLookup,0))</f>
        <v>22811.60852767331</v>
      </c>
      <c r="H14" s="197">
        <f ca="1">INDEX([1]!tbl_Forecast,MATCH($D$8&amp;$C14&amp;$D$7,[1]!rng_ForecastRowLookup,0),MATCH(H$11,[1]!rng_ForecastColumnLookup,0))</f>
        <v>22085.916378202593</v>
      </c>
      <c r="I14" s="197">
        <f ca="1">INDEX([1]!tbl_Forecast,MATCH($D$8&amp;$C14&amp;$D$7,[1]!rng_ForecastRowLookup,0),MATCH(I$11,[1]!rng_ForecastColumnLookup,0))</f>
        <v>20817.853908138593</v>
      </c>
      <c r="J14" s="197">
        <f ca="1">INDEX([1]!tbl_Forecast,MATCH($D$8&amp;$C14&amp;$D$7,[1]!rng_ForecastRowLookup,0),MATCH(J$11,[1]!rng_ForecastColumnLookup,0))</f>
        <v>20070.279329962508</v>
      </c>
      <c r="K14" s="197">
        <f ca="1">INDEX([1]!tbl_Forecast,MATCH($D$8&amp;$C14&amp;$D$7,[1]!rng_ForecastRowLookup,0),MATCH(K$11,[1]!rng_ForecastColumnLookup,0))</f>
        <v>19887.831284331631</v>
      </c>
      <c r="L14" s="197">
        <f ca="1">INDEX([1]!tbl_Forecast,MATCH($D$8&amp;$C14&amp;$D$7,[1]!rng_ForecastRowLookup,0),MATCH(L$11,[1]!rng_ForecastColumnLookup,0))</f>
        <v>20257.583209811291</v>
      </c>
      <c r="M14" s="197">
        <f ca="1">INDEX([1]!tbl_Forecast,MATCH($D$8&amp;$C14&amp;$D$7,[1]!rng_ForecastRowLookup,0),MATCH(M$11,[1]!rng_ForecastColumnLookup,0))</f>
        <v>20750.368029493613</v>
      </c>
      <c r="N14" s="197">
        <f ca="1">INDEX([1]!tbl_Forecast,MATCH($D$8&amp;$C14&amp;$D$7,[1]!rng_ForecastRowLookup,0),MATCH(N$11,[1]!rng_ForecastColumnLookup,0))</f>
        <v>21314.334279744231</v>
      </c>
      <c r="O14" s="197">
        <f ca="1">INDEX([1]!tbl_Forecast,MATCH($D$8&amp;$C14&amp;$D$7,[1]!rng_ForecastRowLookup,0),MATCH(O$11,[1]!rng_ForecastColumnLookup,0))</f>
        <v>21403.286239774712</v>
      </c>
      <c r="P14" s="197">
        <f ca="1">INDEX([1]!tbl_Forecast,MATCH($D$8&amp;$C14&amp;$D$7,[1]!rng_ForecastRowLookup,0),MATCH(P$11,[1]!rng_ForecastColumnLookup,0))</f>
        <v>21409.137516518917</v>
      </c>
      <c r="Q14" s="197">
        <f ca="1">INDEX([1]!tbl_Forecast,MATCH($D$8&amp;$C14&amp;$D$7,[1]!rng_ForecastRowLookup,0),MATCH(Q$11,[1]!rng_ForecastColumnLookup,0))</f>
        <v>21443.358292282628</v>
      </c>
      <c r="R14" s="197">
        <f ca="1">INDEX([1]!tbl_Forecast,MATCH($D$8&amp;$C14&amp;$D$7,[1]!rng_ForecastRowLookup,0),MATCH(R$11,[1]!rng_ForecastColumnLookup,0))</f>
        <v>21209.865626522758</v>
      </c>
      <c r="S14" s="197">
        <f ca="1">INDEX([1]!tbl_Forecast,MATCH($D$8&amp;$C14&amp;$D$7,[1]!rng_ForecastRowLookup,0),MATCH(S$11,[1]!rng_ForecastColumnLookup,0))</f>
        <v>20954.17798283829</v>
      </c>
      <c r="T14" s="197">
        <f ca="1">INDEX([1]!tbl_Forecast,MATCH($D$8&amp;$C14&amp;$D$7,[1]!rng_ForecastRowLookup,0),MATCH(T$11,[1]!rng_ForecastColumnLookup,0))</f>
        <v>20525.44023202754</v>
      </c>
      <c r="U14" s="197">
        <f ca="1">INDEX([1]!tbl_Forecast,MATCH($D$8&amp;$C14&amp;$D$7,[1]!rng_ForecastRowLookup,0),MATCH(U$11,[1]!rng_ForecastColumnLookup,0))</f>
        <v>20175.505597554071</v>
      </c>
      <c r="V14" s="197">
        <f ca="1">INDEX([1]!tbl_Forecast,MATCH($D$8&amp;$C14&amp;$D$7,[1]!rng_ForecastRowLookup,0),MATCH(V$11,[1]!rng_ForecastColumnLookup,0))</f>
        <v>19919.723927484571</v>
      </c>
      <c r="W14" s="197">
        <f ca="1">INDEX([1]!tbl_Forecast,MATCH($D$8&amp;$C14&amp;$D$7,[1]!rng_ForecastRowLookup,0),MATCH(W$11,[1]!rng_ForecastColumnLookup,0))</f>
        <v>19536.194066416414</v>
      </c>
      <c r="X14" s="197">
        <f ca="1">INDEX([1]!tbl_Forecast,MATCH($D$8&amp;$C14&amp;$D$7,[1]!rng_ForecastRowLookup,0),MATCH(X$11,[1]!rng_ForecastColumnLookup,0))</f>
        <v>19462.287131015248</v>
      </c>
      <c r="Y14" s="150"/>
      <c r="AA14" s="150">
        <f t="shared" ref="AA14:AA16" ca="1" si="1">SUM(E14:Y14)</f>
        <v>420332.51676673623</v>
      </c>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row>
    <row r="15" spans="1:69">
      <c r="B15" s="143" t="s">
        <v>212</v>
      </c>
      <c r="C15" s="143" t="s">
        <v>218</v>
      </c>
      <c r="E15" s="197">
        <f ca="1">INDEX([1]!tbl_Forecast,MATCH($D$8&amp;$C15&amp;$D$7,[1]!rng_ForecastRowLookup,0),MATCH(E$11,[1]!rng_ForecastColumnLookup,0))</f>
        <v>5226.2387411561367</v>
      </c>
      <c r="F15" s="197">
        <f ca="1">INDEX([1]!tbl_Forecast,MATCH($D$8&amp;$C15&amp;$D$7,[1]!rng_ForecastRowLookup,0),MATCH(F$11,[1]!rng_ForecastColumnLookup,0))</f>
        <v>5239.95312759432</v>
      </c>
      <c r="G15" s="197">
        <f ca="1">INDEX([1]!tbl_Forecast,MATCH($D$8&amp;$C15&amp;$D$7,[1]!rng_ForecastRowLookup,0),MATCH(G$11,[1]!rng_ForecastColumnLookup,0))</f>
        <v>5271.2612760989568</v>
      </c>
      <c r="H15" s="197">
        <f ca="1">INDEX([1]!tbl_Forecast,MATCH($D$8&amp;$C15&amp;$D$7,[1]!rng_ForecastRowLookup,0),MATCH(H$11,[1]!rng_ForecastColumnLookup,0))</f>
        <v>4985.883552972361</v>
      </c>
      <c r="I15" s="197">
        <f ca="1">INDEX([1]!tbl_Forecast,MATCH($D$8&amp;$C15&amp;$D$7,[1]!rng_ForecastRowLookup,0),MATCH(I$11,[1]!rng_ForecastColumnLookup,0))</f>
        <v>4608.5912035798974</v>
      </c>
      <c r="J15" s="197">
        <f ca="1">INDEX([1]!tbl_Forecast,MATCH($D$8&amp;$C15&amp;$D$7,[1]!rng_ForecastRowLookup,0),MATCH(J$11,[1]!rng_ForecastColumnLookup,0))</f>
        <v>4509.6375960361838</v>
      </c>
      <c r="K15" s="197">
        <f ca="1">INDEX([1]!tbl_Forecast,MATCH($D$8&amp;$C15&amp;$D$7,[1]!rng_ForecastRowLookup,0),MATCH(K$11,[1]!rng_ForecastColumnLookup,0))</f>
        <v>4481.760351096189</v>
      </c>
      <c r="L15" s="197">
        <f ca="1">INDEX([1]!tbl_Forecast,MATCH($D$8&amp;$C15&amp;$D$7,[1]!rng_ForecastRowLookup,0),MATCH(L$11,[1]!rng_ForecastColumnLookup,0))</f>
        <v>4621.8312800578688</v>
      </c>
      <c r="M15" s="197">
        <f ca="1">INDEX([1]!tbl_Forecast,MATCH($D$8&amp;$C15&amp;$D$7,[1]!rng_ForecastRowLookup,0),MATCH(M$11,[1]!rng_ForecastColumnLookup,0))</f>
        <v>4700.9782942419988</v>
      </c>
      <c r="N15" s="197">
        <f ca="1">INDEX([1]!tbl_Forecast,MATCH($D$8&amp;$C15&amp;$D$7,[1]!rng_ForecastRowLookup,0),MATCH(N$11,[1]!rng_ForecastColumnLookup,0))</f>
        <v>4828.2391631488581</v>
      </c>
      <c r="O15" s="197">
        <f ca="1">INDEX([1]!tbl_Forecast,MATCH($D$8&amp;$C15&amp;$D$7,[1]!rng_ForecastRowLookup,0),MATCH(O$11,[1]!rng_ForecastColumnLookup,0))</f>
        <v>4790.0249139778334</v>
      </c>
      <c r="P15" s="197">
        <f ca="1">INDEX([1]!tbl_Forecast,MATCH($D$8&amp;$C15&amp;$D$7,[1]!rng_ForecastRowLookup,0),MATCH(P$11,[1]!rng_ForecastColumnLookup,0))</f>
        <v>4782.0649962402858</v>
      </c>
      <c r="Q15" s="197">
        <f ca="1">INDEX([1]!tbl_Forecast,MATCH($D$8&amp;$C15&amp;$D$7,[1]!rng_ForecastRowLookup,0),MATCH(Q$11,[1]!rng_ForecastColumnLookup,0))</f>
        <v>4748.3908346265653</v>
      </c>
      <c r="R15" s="197">
        <f ca="1">INDEX([1]!tbl_Forecast,MATCH($D$8&amp;$C15&amp;$D$7,[1]!rng_ForecastRowLookup,0),MATCH(R$11,[1]!rng_ForecastColumnLookup,0))</f>
        <v>4733.4823682495089</v>
      </c>
      <c r="S15" s="197">
        <f ca="1">INDEX([1]!tbl_Forecast,MATCH($D$8&amp;$C15&amp;$D$7,[1]!rng_ForecastRowLookup,0),MATCH(S$11,[1]!rng_ForecastColumnLookup,0))</f>
        <v>4698.697177079107</v>
      </c>
      <c r="T15" s="197">
        <f ca="1">INDEX([1]!tbl_Forecast,MATCH($D$8&amp;$C15&amp;$D$7,[1]!rng_ForecastRowLookup,0),MATCH(T$11,[1]!rng_ForecastColumnLookup,0))</f>
        <v>4599.2987885998937</v>
      </c>
      <c r="U15" s="197">
        <f ca="1">INDEX([1]!tbl_Forecast,MATCH($D$8&amp;$C15&amp;$D$7,[1]!rng_ForecastRowLookup,0),MATCH(U$11,[1]!rng_ForecastColumnLookup,0))</f>
        <v>4526.3104216428001</v>
      </c>
      <c r="V15" s="197">
        <f ca="1">INDEX([1]!tbl_Forecast,MATCH($D$8&amp;$C15&amp;$D$7,[1]!rng_ForecastRowLookup,0),MATCH(V$11,[1]!rng_ForecastColumnLookup,0))</f>
        <v>4422.0600452822764</v>
      </c>
      <c r="W15" s="197">
        <f ca="1">INDEX([1]!tbl_Forecast,MATCH($D$8&amp;$C15&amp;$D$7,[1]!rng_ForecastRowLookup,0),MATCH(W$11,[1]!rng_ForecastColumnLookup,0))</f>
        <v>4405.182362066379</v>
      </c>
      <c r="X15" s="197">
        <f ca="1">INDEX([1]!tbl_Forecast,MATCH($D$8&amp;$C15&amp;$D$7,[1]!rng_ForecastRowLookup,0),MATCH(X$11,[1]!rng_ForecastColumnLookup,0))</f>
        <v>4385.1136986120664</v>
      </c>
      <c r="Y15" s="150"/>
      <c r="AA15" s="150">
        <f t="shared" ca="1" si="1"/>
        <v>94565.000192359483</v>
      </c>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row>
    <row r="16" spans="1:69">
      <c r="B16" s="143" t="s">
        <v>212</v>
      </c>
      <c r="C16" s="143" t="s">
        <v>219</v>
      </c>
      <c r="E16" s="197">
        <f ca="1">INDEX([1]!tbl_Forecast,MATCH($D$8&amp;$C16&amp;$D$7,[1]!rng_ForecastRowLookup,0),MATCH(E$11,[1]!rng_ForecastColumnLookup,0))</f>
        <v>1869.5754050925925</v>
      </c>
      <c r="F16" s="197">
        <f ca="1">INDEX([1]!tbl_Forecast,MATCH($D$8&amp;$C16&amp;$D$7,[1]!rng_ForecastRowLookup,0),MATCH(F$11,[1]!rng_ForecastColumnLookup,0))</f>
        <v>1881.796305941358</v>
      </c>
      <c r="G16" s="197">
        <f ca="1">INDEX([1]!tbl_Forecast,MATCH($D$8&amp;$C16&amp;$D$7,[1]!rng_ForecastRowLookup,0),MATCH(G$11,[1]!rng_ForecastColumnLookup,0))</f>
        <v>1949.1340235982509</v>
      </c>
      <c r="H16" s="197">
        <f ca="1">INDEX([1]!tbl_Forecast,MATCH($D$8&amp;$C16&amp;$D$7,[1]!rng_ForecastRowLookup,0),MATCH(H$11,[1]!rng_ForecastColumnLookup,0))</f>
        <v>2021.1963608646258</v>
      </c>
      <c r="I16" s="197">
        <f ca="1">INDEX([1]!tbl_Forecast,MATCH($D$8&amp;$C16&amp;$D$7,[1]!rng_ForecastRowLookup,0),MATCH(I$11,[1]!rng_ForecastColumnLookup,0))</f>
        <v>1959.5061710087307</v>
      </c>
      <c r="J16" s="197">
        <f ca="1">INDEX([1]!tbl_Forecast,MATCH($D$8&amp;$C16&amp;$D$7,[1]!rng_ForecastRowLookup,0),MATCH(J$11,[1]!rng_ForecastColumnLookup,0))</f>
        <v>1928.5764356212967</v>
      </c>
      <c r="K16" s="197">
        <f ca="1">INDEX([1]!tbl_Forecast,MATCH($D$8&amp;$C16&amp;$D$7,[1]!rng_ForecastRowLookup,0),MATCH(K$11,[1]!rng_ForecastColumnLookup,0))</f>
        <v>1934.9641170211423</v>
      </c>
      <c r="L16" s="197">
        <f ca="1">INDEX([1]!tbl_Forecast,MATCH($D$8&amp;$C16&amp;$D$7,[1]!rng_ForecastRowLookup,0),MATCH(L$11,[1]!rng_ForecastColumnLookup,0))</f>
        <v>1945.862235675901</v>
      </c>
      <c r="M16" s="197">
        <f ca="1">INDEX([1]!tbl_Forecast,MATCH($D$8&amp;$C16&amp;$D$7,[1]!rng_ForecastRowLookup,0),MATCH(M$11,[1]!rng_ForecastColumnLookup,0))</f>
        <v>1956.539890631658</v>
      </c>
      <c r="N16" s="197">
        <f ca="1">INDEX([1]!tbl_Forecast,MATCH($D$8&amp;$C16&amp;$D$7,[1]!rng_ForecastRowLookup,0),MATCH(N$11,[1]!rng_ForecastColumnLookup,0))</f>
        <v>1957.7742018038925</v>
      </c>
      <c r="O16" s="197">
        <f ca="1">INDEX([1]!tbl_Forecast,MATCH($D$8&amp;$C16&amp;$D$7,[1]!rng_ForecastRowLookup,0),MATCH(O$11,[1]!rng_ForecastColumnLookup,0))</f>
        <v>1947.2038419604366</v>
      </c>
      <c r="P16" s="197">
        <f ca="1">INDEX([1]!tbl_Forecast,MATCH($D$8&amp;$C16&amp;$D$7,[1]!rng_ForecastRowLookup,0),MATCH(P$11,[1]!rng_ForecastColumnLookup,0))</f>
        <v>1945.153453785721</v>
      </c>
      <c r="Q16" s="197">
        <f ca="1">INDEX([1]!tbl_Forecast,MATCH($D$8&amp;$C16&amp;$D$7,[1]!rng_ForecastRowLookup,0),MATCH(Q$11,[1]!rng_ForecastColumnLookup,0))</f>
        <v>1947.9162901464586</v>
      </c>
      <c r="R16" s="197">
        <f ca="1">INDEX([1]!tbl_Forecast,MATCH($D$8&amp;$C16&amp;$D$7,[1]!rng_ForecastRowLookup,0),MATCH(R$11,[1]!rng_ForecastColumnLookup,0))</f>
        <v>1950.0749856673444</v>
      </c>
      <c r="S16" s="197">
        <f ca="1">INDEX([1]!tbl_Forecast,MATCH($D$8&amp;$C16&amp;$D$7,[1]!rng_ForecastRowLookup,0),MATCH(S$11,[1]!rng_ForecastColumnLookup,0))</f>
        <v>1950.7771106659191</v>
      </c>
      <c r="T16" s="197">
        <f ca="1">INDEX([1]!tbl_Forecast,MATCH($D$8&amp;$C16&amp;$D$7,[1]!rng_ForecastRowLookup,0),MATCH(T$11,[1]!rng_ForecastColumnLookup,0))</f>
        <v>1949.8166473382953</v>
      </c>
      <c r="U16" s="197">
        <f ca="1">INDEX([1]!tbl_Forecast,MATCH($D$8&amp;$C16&amp;$D$7,[1]!rng_ForecastRowLookup,0),MATCH(U$11,[1]!rng_ForecastColumnLookup,0))</f>
        <v>1948.4903882606959</v>
      </c>
      <c r="V16" s="197">
        <f ca="1">INDEX([1]!tbl_Forecast,MATCH($D$8&amp;$C16&amp;$D$7,[1]!rng_ForecastRowLookup,0),MATCH(V$11,[1]!rng_ForecastColumnLookup,0))</f>
        <v>1948.7048126440727</v>
      </c>
      <c r="W16" s="197">
        <f ca="1">INDEX([1]!tbl_Forecast,MATCH($D$8&amp;$C16&amp;$D$7,[1]!rng_ForecastRowLookup,0),MATCH(W$11,[1]!rng_ForecastColumnLookup,0))</f>
        <v>1949.296705787131</v>
      </c>
      <c r="X16" s="197">
        <f ca="1">INDEX([1]!tbl_Forecast,MATCH($D$8&amp;$C16&amp;$D$7,[1]!rng_ForecastRowLookup,0),MATCH(X$11,[1]!rng_ForecastColumnLookup,0))</f>
        <v>1949.5267750605763</v>
      </c>
      <c r="Y16" s="150"/>
      <c r="AA16" s="150">
        <f t="shared" ca="1" si="1"/>
        <v>38891.88615857609</v>
      </c>
    </row>
    <row r="17" spans="1:27">
      <c r="E17" s="150"/>
      <c r="F17" s="150"/>
      <c r="G17" s="150"/>
      <c r="H17" s="150"/>
      <c r="I17" s="150"/>
      <c r="J17" s="150"/>
      <c r="K17" s="150"/>
      <c r="L17" s="150"/>
      <c r="M17" s="150"/>
      <c r="N17" s="150"/>
      <c r="O17" s="150"/>
      <c r="P17" s="150"/>
      <c r="Q17" s="150"/>
      <c r="R17" s="150"/>
      <c r="S17" s="150"/>
      <c r="T17" s="150"/>
      <c r="U17" s="150"/>
      <c r="V17" s="150"/>
      <c r="W17" s="150"/>
      <c r="X17" s="150"/>
      <c r="Y17" s="150"/>
    </row>
    <row r="18" spans="1:27">
      <c r="B18" s="143" t="s">
        <v>220</v>
      </c>
      <c r="C18" s="143" t="s">
        <v>221</v>
      </c>
      <c r="E18" s="150">
        <f ca="1">SUM(E13:E16)</f>
        <v>93061.920247153292</v>
      </c>
      <c r="F18" s="150">
        <f t="shared" ref="F18:X18" ca="1" si="2">SUM(F13:F16)</f>
        <v>90100.948539574325</v>
      </c>
      <c r="G18" s="150">
        <f t="shared" ca="1" si="2"/>
        <v>86866.015827370516</v>
      </c>
      <c r="H18" s="150">
        <f t="shared" ca="1" si="2"/>
        <v>84078.189292039577</v>
      </c>
      <c r="I18" s="150">
        <f t="shared" ca="1" si="2"/>
        <v>80893.425282727228</v>
      </c>
      <c r="J18" s="150">
        <f t="shared" ca="1" si="2"/>
        <v>77490.543361619988</v>
      </c>
      <c r="K18" s="150">
        <f t="shared" ca="1" si="2"/>
        <v>75866.224752448965</v>
      </c>
      <c r="L18" s="150">
        <f t="shared" ca="1" si="2"/>
        <v>76149.794725545056</v>
      </c>
      <c r="M18" s="150">
        <f t="shared" ca="1" si="2"/>
        <v>76223.656214367264</v>
      </c>
      <c r="N18" s="150">
        <f t="shared" ca="1" si="2"/>
        <v>77783.59964469698</v>
      </c>
      <c r="O18" s="150">
        <f t="shared" ca="1" si="2"/>
        <v>78170.651995712979</v>
      </c>
      <c r="P18" s="150">
        <f t="shared" ca="1" si="2"/>
        <v>77524.11896654492</v>
      </c>
      <c r="Q18" s="150">
        <f t="shared" ca="1" si="2"/>
        <v>76219.011417055648</v>
      </c>
      <c r="R18" s="150">
        <f t="shared" ca="1" si="2"/>
        <v>76022.473980439609</v>
      </c>
      <c r="S18" s="150">
        <f t="shared" ca="1" si="2"/>
        <v>76294.221270583323</v>
      </c>
      <c r="T18" s="150">
        <f t="shared" ca="1" si="2"/>
        <v>75557.419667965733</v>
      </c>
      <c r="U18" s="150">
        <f t="shared" ca="1" si="2"/>
        <v>73529.307407457556</v>
      </c>
      <c r="V18" s="150">
        <f t="shared" ca="1" si="2"/>
        <v>73089.266785410931</v>
      </c>
      <c r="W18" s="150">
        <f t="shared" ca="1" si="2"/>
        <v>72808.300134269928</v>
      </c>
      <c r="X18" s="150">
        <f t="shared" ca="1" si="2"/>
        <v>73033.072604687884</v>
      </c>
      <c r="Y18" s="150"/>
      <c r="AA18" s="150">
        <f ca="1">SUM(E18:Y18)</f>
        <v>1570762.1621176719</v>
      </c>
    </row>
    <row r="19" spans="1:27">
      <c r="E19" s="150"/>
      <c r="F19" s="150"/>
      <c r="G19" s="150"/>
      <c r="H19" s="150"/>
      <c r="I19" s="150"/>
      <c r="J19" s="150"/>
      <c r="K19" s="150"/>
      <c r="L19" s="150"/>
      <c r="M19" s="150"/>
      <c r="N19" s="150"/>
      <c r="O19" s="150"/>
      <c r="P19" s="150"/>
      <c r="Q19" s="150"/>
      <c r="R19" s="150"/>
      <c r="S19" s="150"/>
      <c r="T19" s="150"/>
      <c r="U19" s="150"/>
      <c r="V19" s="150"/>
      <c r="W19" s="150"/>
      <c r="X19" s="150"/>
      <c r="Y19" s="150"/>
    </row>
    <row r="20" spans="1:27">
      <c r="E20" s="150"/>
      <c r="F20" s="150"/>
      <c r="G20" s="150"/>
      <c r="H20" s="150"/>
      <c r="I20" s="150"/>
      <c r="J20" s="150"/>
      <c r="K20" s="150"/>
      <c r="L20" s="150"/>
      <c r="M20" s="150"/>
      <c r="N20" s="150"/>
      <c r="O20" s="150"/>
      <c r="P20" s="150"/>
      <c r="Q20" s="150"/>
      <c r="R20" s="150"/>
      <c r="S20" s="150"/>
      <c r="T20" s="150"/>
      <c r="U20" s="150"/>
      <c r="V20" s="150"/>
      <c r="W20" s="150"/>
      <c r="X20" s="150"/>
      <c r="Y20" s="150"/>
    </row>
    <row r="21" spans="1:27" ht="15">
      <c r="A21" s="147" t="str">
        <f>CONCATENATE("# HOMES APPLICABLE BY YEAR FOR MEASURE - ",C22)</f>
        <v># HOMES APPLICABLE BY YEAR FOR MEASURE - WasteWater Heat Recovery - New</v>
      </c>
      <c r="E21" s="150"/>
      <c r="F21" s="150"/>
      <c r="G21" s="150"/>
      <c r="H21" s="150"/>
      <c r="I21" s="150"/>
      <c r="J21" s="150"/>
      <c r="K21" s="150"/>
      <c r="L21" s="150"/>
      <c r="M21" s="150"/>
      <c r="N21" s="150"/>
      <c r="O21" s="150"/>
      <c r="P21" s="150"/>
      <c r="Q21" s="150"/>
      <c r="R21" s="150"/>
      <c r="S21" s="150"/>
      <c r="T21" s="150"/>
      <c r="U21" s="150"/>
      <c r="V21" s="150"/>
      <c r="W21" s="150"/>
      <c r="X21" s="150"/>
      <c r="Y21" s="150"/>
    </row>
    <row r="22" spans="1:27" ht="15">
      <c r="A22" s="151" t="s">
        <v>222</v>
      </c>
      <c r="B22" s="151" t="s">
        <v>342</v>
      </c>
      <c r="C22" s="151" t="str">
        <f>CONCATENATE(C8," - ",C7)</f>
        <v>WasteWater Heat Recovery - New</v>
      </c>
      <c r="D22" s="151"/>
    </row>
    <row r="23" spans="1:27">
      <c r="A23" s="152">
        <f>INDEX([2]!ResApplic,MATCH($C$22,[2]APPLIC!$B$9:$B$120,0)+1,MATCH($C23,[2]APPLIC!$C$8:$F$8,0)+1)</f>
        <v>0.9</v>
      </c>
      <c r="B23" s="152">
        <f>VLOOKUP($B$22,[2]!NewSat,MATCH(C23,[2]SATS!$B$87:$F$87,0),FALSE)</f>
        <v>0.55200000000000005</v>
      </c>
      <c r="C23" s="143" t="str">
        <f>C13</f>
        <v>Single Family</v>
      </c>
      <c r="E23" s="150">
        <f ca="1">E13*$A23*$B23</f>
        <v>31142.285071200004</v>
      </c>
      <c r="F23" s="150">
        <f t="shared" ref="F23:X23" ca="1" si="3">F13*$A23*$B23</f>
        <v>29789.012800800007</v>
      </c>
      <c r="G23" s="150">
        <f t="shared" ca="1" si="3"/>
        <v>28235.137161600003</v>
      </c>
      <c r="H23" s="150">
        <f t="shared" ca="1" si="3"/>
        <v>27316.643882400003</v>
      </c>
      <c r="I23" s="150">
        <f t="shared" ca="1" si="3"/>
        <v>26582.513083200003</v>
      </c>
      <c r="J23" s="150">
        <f t="shared" ca="1" si="3"/>
        <v>25327.882440000001</v>
      </c>
      <c r="K23" s="150">
        <f t="shared" ca="1" si="3"/>
        <v>24622.237159200005</v>
      </c>
      <c r="L23" s="150">
        <f t="shared" ca="1" si="3"/>
        <v>24504.420542400003</v>
      </c>
      <c r="M23" s="150">
        <f t="shared" ca="1" si="3"/>
        <v>24251.674536000002</v>
      </c>
      <c r="N23" s="150">
        <f t="shared" ca="1" si="3"/>
        <v>24682.639593600004</v>
      </c>
      <c r="O23" s="150">
        <f t="shared" ca="1" si="3"/>
        <v>24854.972061600005</v>
      </c>
      <c r="P23" s="150">
        <f t="shared" ca="1" si="3"/>
        <v>24535.840658400004</v>
      </c>
      <c r="Q23" s="150">
        <f t="shared" ca="1" si="3"/>
        <v>23885.8190928</v>
      </c>
      <c r="R23" s="150">
        <f t="shared" ca="1" si="3"/>
        <v>23910.512536800004</v>
      </c>
      <c r="S23" s="150">
        <f t="shared" ca="1" si="3"/>
        <v>24189.474679200008</v>
      </c>
      <c r="T23" s="150">
        <f t="shared" ca="1" si="3"/>
        <v>24086.286835200004</v>
      </c>
      <c r="U23" s="150">
        <f t="shared" ca="1" si="3"/>
        <v>23289.487696799999</v>
      </c>
      <c r="V23" s="150">
        <f t="shared" ca="1" si="3"/>
        <v>23249.6329104</v>
      </c>
      <c r="W23" s="150">
        <f t="shared" ca="1" si="3"/>
        <v>23308.677093600003</v>
      </c>
      <c r="X23" s="150">
        <f t="shared" ca="1" si="3"/>
        <v>23466.916836000004</v>
      </c>
      <c r="Y23" s="150"/>
      <c r="AA23" s="150">
        <f t="shared" ref="AA23:AA26" ca="1" si="4">SUM(E23:Y23)</f>
        <v>505232.06667120004</v>
      </c>
    </row>
    <row r="24" spans="1:27">
      <c r="A24" s="152">
        <f>INDEX([2]!ResApplic,MATCH($C$22,[2]APPLIC!$B$9:$B$120,0)+1,MATCH($C24,[2]APPLIC!$C$8:$F$8,0)+1)</f>
        <v>0.5</v>
      </c>
      <c r="B24" s="152">
        <f>VLOOKUP($B$22,[2]!NewSat,MATCH(C24,[2]SATS!$B$87:$F$87,0),FALSE)</f>
        <v>0.94699999999999995</v>
      </c>
      <c r="C24" s="143" t="str">
        <f>C14</f>
        <v>Multifamily - Low Rise</v>
      </c>
      <c r="E24" s="150">
        <f t="shared" ref="E24:X26" ca="1" si="5">E14*$A24*$B24</f>
        <v>11023.244352278311</v>
      </c>
      <c r="F24" s="150">
        <f t="shared" ca="1" si="5"/>
        <v>10898.7474732093</v>
      </c>
      <c r="G24" s="150">
        <f t="shared" ca="1" si="5"/>
        <v>10801.296637853311</v>
      </c>
      <c r="H24" s="150">
        <f t="shared" ca="1" si="5"/>
        <v>10457.681405078927</v>
      </c>
      <c r="I24" s="150">
        <f t="shared" ca="1" si="5"/>
        <v>9857.2538255036234</v>
      </c>
      <c r="J24" s="150">
        <f t="shared" ca="1" si="5"/>
        <v>9503.2772627372469</v>
      </c>
      <c r="K24" s="150">
        <f t="shared" ca="1" si="5"/>
        <v>9416.8881131310263</v>
      </c>
      <c r="L24" s="150">
        <f t="shared" ca="1" si="5"/>
        <v>9591.9656498456461</v>
      </c>
      <c r="M24" s="150">
        <f t="shared" ca="1" si="5"/>
        <v>9825.299261965225</v>
      </c>
      <c r="N24" s="150">
        <f t="shared" ca="1" si="5"/>
        <v>10092.337281458893</v>
      </c>
      <c r="O24" s="150">
        <f t="shared" ca="1" si="5"/>
        <v>10134.456034533327</v>
      </c>
      <c r="P24" s="150">
        <f t="shared" ca="1" si="5"/>
        <v>10137.226614071706</v>
      </c>
      <c r="Q24" s="150">
        <f t="shared" ca="1" si="5"/>
        <v>10153.430151395823</v>
      </c>
      <c r="R24" s="150">
        <f t="shared" ca="1" si="5"/>
        <v>10042.871374158525</v>
      </c>
      <c r="S24" s="150">
        <f t="shared" ca="1" si="5"/>
        <v>9921.8032748739297</v>
      </c>
      <c r="T24" s="150">
        <f t="shared" ca="1" si="5"/>
        <v>9718.7959498650398</v>
      </c>
      <c r="U24" s="150">
        <f t="shared" ca="1" si="5"/>
        <v>9553.1019004418522</v>
      </c>
      <c r="V24" s="150">
        <f t="shared" ca="1" si="5"/>
        <v>9431.9892796639433</v>
      </c>
      <c r="W24" s="150">
        <f t="shared" ca="1" si="5"/>
        <v>9250.3878904481717</v>
      </c>
      <c r="X24" s="150">
        <f t="shared" ca="1" si="5"/>
        <v>9215.3929565357193</v>
      </c>
      <c r="Y24" s="150"/>
      <c r="AA24" s="150">
        <f t="shared" ca="1" si="4"/>
        <v>199027.4466890496</v>
      </c>
    </row>
    <row r="25" spans="1:27">
      <c r="A25" s="152">
        <f>INDEX([2]!ResApplic,MATCH($C$22,[2]APPLIC!$B$9:$B$120,0)+1,MATCH($C25,[2]APPLIC!$C$8:$F$8,0)+1)</f>
        <v>0.9</v>
      </c>
      <c r="B25" s="152">
        <f>VLOOKUP($B$22,[2]!NewSat,MATCH(C25,[2]SATS!$B$87:$F$87,0),FALSE)</f>
        <v>0.94699999999999995</v>
      </c>
      <c r="C25" s="143" t="str">
        <f>C15</f>
        <v>Multifamily - High Rise</v>
      </c>
      <c r="E25" s="150">
        <f t="shared" ca="1" si="5"/>
        <v>4454.3232790873744</v>
      </c>
      <c r="F25" s="150">
        <f t="shared" ca="1" si="5"/>
        <v>4466.0120506486392</v>
      </c>
      <c r="G25" s="150">
        <f t="shared" ca="1" si="5"/>
        <v>4492.6959856191406</v>
      </c>
      <c r="H25" s="150">
        <f t="shared" ca="1" si="5"/>
        <v>4249.4685521983429</v>
      </c>
      <c r="I25" s="150">
        <f t="shared" ca="1" si="5"/>
        <v>3927.9022828111461</v>
      </c>
      <c r="J25" s="150">
        <f t="shared" ca="1" si="5"/>
        <v>3843.5641231016393</v>
      </c>
      <c r="K25" s="150">
        <f t="shared" ca="1" si="5"/>
        <v>3819.8043472392819</v>
      </c>
      <c r="L25" s="150">
        <f t="shared" ca="1" si="5"/>
        <v>3939.1867999933215</v>
      </c>
      <c r="M25" s="150">
        <f t="shared" ca="1" si="5"/>
        <v>4006.6438001824558</v>
      </c>
      <c r="N25" s="150">
        <f t="shared" ca="1" si="5"/>
        <v>4115.1082387517718</v>
      </c>
      <c r="O25" s="150">
        <f t="shared" ca="1" si="5"/>
        <v>4082.5382341833074</v>
      </c>
      <c r="P25" s="150">
        <f t="shared" ca="1" si="5"/>
        <v>4075.7539962955952</v>
      </c>
      <c r="Q25" s="150">
        <f t="shared" ca="1" si="5"/>
        <v>4047.0535083522218</v>
      </c>
      <c r="R25" s="150">
        <f t="shared" ca="1" si="5"/>
        <v>4034.3470224590565</v>
      </c>
      <c r="S25" s="150">
        <f t="shared" ca="1" si="5"/>
        <v>4004.6996040245231</v>
      </c>
      <c r="T25" s="150">
        <f t="shared" ca="1" si="5"/>
        <v>3919.9823575236896</v>
      </c>
      <c r="U25" s="150">
        <f t="shared" ca="1" si="5"/>
        <v>3857.7743723661588</v>
      </c>
      <c r="V25" s="150">
        <f t="shared" ca="1" si="5"/>
        <v>3768.9217765940843</v>
      </c>
      <c r="W25" s="150">
        <f t="shared" ca="1" si="5"/>
        <v>3754.5369271891745</v>
      </c>
      <c r="X25" s="150">
        <f t="shared" ca="1" si="5"/>
        <v>3737.4324053270639</v>
      </c>
      <c r="Y25" s="150"/>
      <c r="AA25" s="150">
        <f t="shared" ca="1" si="4"/>
        <v>80597.74966394798</v>
      </c>
    </row>
    <row r="26" spans="1:27">
      <c r="A26" s="152">
        <f>INDEX([2]!ResApplic,MATCH($C$22,[2]APPLIC!$B$9:$B$120,0)+1,MATCH($C26,[2]APPLIC!$C$8:$F$8,0)+1)</f>
        <v>0</v>
      </c>
      <c r="B26" s="152">
        <f>VLOOKUP($B$22,[2]!NewSat,MATCH(C26,[2]SATS!$B$87:$F$87,0),FALSE)</f>
        <v>0.88900000000000001</v>
      </c>
      <c r="C26" s="146" t="s">
        <v>219</v>
      </c>
      <c r="D26" s="146"/>
      <c r="E26" s="150">
        <f t="shared" ca="1" si="5"/>
        <v>0</v>
      </c>
      <c r="F26" s="150">
        <f t="shared" ca="1" si="5"/>
        <v>0</v>
      </c>
      <c r="G26" s="150">
        <f t="shared" ca="1" si="5"/>
        <v>0</v>
      </c>
      <c r="H26" s="150">
        <f t="shared" ca="1" si="5"/>
        <v>0</v>
      </c>
      <c r="I26" s="150">
        <f t="shared" ca="1" si="5"/>
        <v>0</v>
      </c>
      <c r="J26" s="150">
        <f t="shared" ca="1" si="5"/>
        <v>0</v>
      </c>
      <c r="K26" s="150">
        <f t="shared" ca="1" si="5"/>
        <v>0</v>
      </c>
      <c r="L26" s="150">
        <f t="shared" ca="1" si="5"/>
        <v>0</v>
      </c>
      <c r="M26" s="150">
        <f t="shared" ca="1" si="5"/>
        <v>0</v>
      </c>
      <c r="N26" s="150">
        <f t="shared" ca="1" si="5"/>
        <v>0</v>
      </c>
      <c r="O26" s="150">
        <f t="shared" ca="1" si="5"/>
        <v>0</v>
      </c>
      <c r="P26" s="150">
        <f t="shared" ca="1" si="5"/>
        <v>0</v>
      </c>
      <c r="Q26" s="150">
        <f t="shared" ca="1" si="5"/>
        <v>0</v>
      </c>
      <c r="R26" s="150">
        <f t="shared" ca="1" si="5"/>
        <v>0</v>
      </c>
      <c r="S26" s="150">
        <f t="shared" ca="1" si="5"/>
        <v>0</v>
      </c>
      <c r="T26" s="150">
        <f t="shared" ca="1" si="5"/>
        <v>0</v>
      </c>
      <c r="U26" s="150">
        <f t="shared" ca="1" si="5"/>
        <v>0</v>
      </c>
      <c r="V26" s="150">
        <f t="shared" ca="1" si="5"/>
        <v>0</v>
      </c>
      <c r="W26" s="150">
        <f t="shared" ca="1" si="5"/>
        <v>0</v>
      </c>
      <c r="X26" s="150">
        <f t="shared" ca="1" si="5"/>
        <v>0</v>
      </c>
      <c r="Y26" s="150"/>
      <c r="AA26" s="150">
        <f t="shared" ca="1" si="4"/>
        <v>0</v>
      </c>
    </row>
    <row r="27" spans="1:27">
      <c r="E27" s="150"/>
      <c r="F27" s="150"/>
      <c r="G27" s="150"/>
      <c r="H27" s="150"/>
      <c r="I27" s="150"/>
      <c r="J27" s="150"/>
      <c r="K27" s="150"/>
      <c r="L27" s="150"/>
      <c r="M27" s="150"/>
      <c r="N27" s="150"/>
      <c r="O27" s="150"/>
      <c r="P27" s="150"/>
      <c r="Q27" s="150"/>
      <c r="R27" s="150"/>
      <c r="S27" s="150"/>
      <c r="T27" s="150"/>
      <c r="U27" s="150"/>
      <c r="V27" s="150"/>
      <c r="W27" s="150"/>
      <c r="X27" s="150"/>
      <c r="Y27" s="150"/>
    </row>
    <row r="28" spans="1:27">
      <c r="E28" s="150">
        <f t="shared" ref="E28:X28" ca="1" si="6">SUM(E23:E26)</f>
        <v>46619.852702565688</v>
      </c>
      <c r="F28" s="150">
        <f t="shared" ca="1" si="6"/>
        <v>45153.772324657948</v>
      </c>
      <c r="G28" s="150">
        <f t="shared" ca="1" si="6"/>
        <v>43529.129785072451</v>
      </c>
      <c r="H28" s="150">
        <f t="shared" ca="1" si="6"/>
        <v>42023.793839677273</v>
      </c>
      <c r="I28" s="150">
        <f t="shared" ca="1" si="6"/>
        <v>40367.669191514775</v>
      </c>
      <c r="J28" s="150">
        <f t="shared" ca="1" si="6"/>
        <v>38674.72382583889</v>
      </c>
      <c r="K28" s="150">
        <f t="shared" ca="1" si="6"/>
        <v>37858.929619570314</v>
      </c>
      <c r="L28" s="150">
        <f t="shared" ca="1" si="6"/>
        <v>38035.572992238973</v>
      </c>
      <c r="M28" s="150">
        <f t="shared" ca="1" si="6"/>
        <v>38083.617598147684</v>
      </c>
      <c r="N28" s="150">
        <f t="shared" ca="1" si="6"/>
        <v>38890.085113810674</v>
      </c>
      <c r="O28" s="150">
        <f t="shared" ca="1" si="6"/>
        <v>39071.966330316638</v>
      </c>
      <c r="P28" s="150">
        <f t="shared" ca="1" si="6"/>
        <v>38748.8212687673</v>
      </c>
      <c r="Q28" s="150">
        <f t="shared" ca="1" si="6"/>
        <v>38086.302752548043</v>
      </c>
      <c r="R28" s="150">
        <f t="shared" ca="1" si="6"/>
        <v>37987.730933417588</v>
      </c>
      <c r="S28" s="150">
        <f t="shared" ca="1" si="6"/>
        <v>38115.977558098457</v>
      </c>
      <c r="T28" s="150">
        <f t="shared" ca="1" si="6"/>
        <v>37725.065142588734</v>
      </c>
      <c r="U28" s="150">
        <f t="shared" ca="1" si="6"/>
        <v>36700.363969608006</v>
      </c>
      <c r="V28" s="150">
        <f t="shared" ca="1" si="6"/>
        <v>36450.543966658028</v>
      </c>
      <c r="W28" s="150">
        <f t="shared" ca="1" si="6"/>
        <v>36313.601911237347</v>
      </c>
      <c r="X28" s="150">
        <f t="shared" ca="1" si="6"/>
        <v>36419.742197862783</v>
      </c>
      <c r="Y28" s="150"/>
      <c r="AA28" s="150">
        <f ca="1">SUM(E28:Y28)</f>
        <v>784857.26302419754</v>
      </c>
    </row>
    <row r="29" spans="1:27">
      <c r="E29" s="150"/>
      <c r="F29" s="150"/>
      <c r="G29" s="150"/>
      <c r="H29" s="150"/>
      <c r="I29" s="150"/>
      <c r="J29" s="150"/>
      <c r="K29" s="150"/>
      <c r="L29" s="150"/>
      <c r="M29" s="150"/>
      <c r="N29" s="150"/>
      <c r="O29" s="150"/>
      <c r="P29" s="150"/>
      <c r="Q29" s="150"/>
      <c r="R29" s="150"/>
      <c r="S29" s="150"/>
      <c r="T29" s="150"/>
      <c r="U29" s="150"/>
      <c r="V29" s="150"/>
      <c r="W29" s="150"/>
      <c r="X29" s="150"/>
      <c r="Y29" s="150"/>
    </row>
    <row r="31" spans="1:27" ht="15.75" thickBot="1">
      <c r="A31" s="147" t="str">
        <f>CONCATENATE("# UNITS ACHIEVABLE BY YEAR FOR MEASURE - ",C32)</f>
        <v># UNITS ACHIEVABLE BY YEAR FOR MEASURE - WasteWater Heat Recovery - New</v>
      </c>
      <c r="D31" s="151" t="s">
        <v>223</v>
      </c>
      <c r="E31" s="143">
        <v>3</v>
      </c>
      <c r="F31" s="143">
        <v>4</v>
      </c>
      <c r="G31" s="143">
        <v>5</v>
      </c>
      <c r="H31" s="143">
        <v>6</v>
      </c>
      <c r="I31" s="143">
        <v>7</v>
      </c>
      <c r="J31" s="143">
        <v>8</v>
      </c>
      <c r="K31" s="143">
        <v>9</v>
      </c>
      <c r="L31" s="143">
        <v>10</v>
      </c>
      <c r="M31" s="143">
        <v>11</v>
      </c>
      <c r="N31" s="143">
        <v>12</v>
      </c>
      <c r="O31" s="143">
        <v>13</v>
      </c>
      <c r="P31" s="143">
        <v>14</v>
      </c>
      <c r="Q31" s="143">
        <v>15</v>
      </c>
      <c r="R31" s="143">
        <v>16</v>
      </c>
      <c r="S31" s="143">
        <v>17</v>
      </c>
      <c r="T31" s="143">
        <v>18</v>
      </c>
      <c r="U31" s="143">
        <v>19</v>
      </c>
      <c r="V31" s="143">
        <v>20</v>
      </c>
      <c r="W31" s="143">
        <v>21</v>
      </c>
      <c r="X31" s="143">
        <v>22</v>
      </c>
    </row>
    <row r="32" spans="1:27" ht="15.75" thickBot="1">
      <c r="C32" s="151" t="str">
        <f>CONCATENATE(C8," - ",C7)</f>
        <v>WasteWater Heat Recovery - New</v>
      </c>
      <c r="D32" s="151"/>
      <c r="E32" s="153">
        <f>VLOOKUP($C$32,[2]ACHIEV!$B$9:$X$100,MATCH(E$11,$E$11:$Y$11,0)+2,FALSE)</f>
        <v>2.5643970768378654E-3</v>
      </c>
      <c r="F32" s="153">
        <f>VLOOKUP($C$32,[2]ACHIEV!$B$9:$X$100,MATCH(F$11,$E$11:$Y$11,0)+2,FALSE)</f>
        <v>7.6904586297764643E-3</v>
      </c>
      <c r="G32" s="153">
        <f>VLOOKUP($C$32,[2]ACHIEV!$B$9:$X$100,MATCH(G$11,$E$11:$Y$11,0)+2,FALSE)</f>
        <v>1.6792013047419844E-2</v>
      </c>
      <c r="H32" s="153">
        <f>VLOOKUP($C$32,[2]ACHIEV!$B$9:$X$100,MATCH(H$11,$E$11:$Y$11,0)+2,FALSE)</f>
        <v>3.15969387774655E-2</v>
      </c>
      <c r="I32" s="153">
        <f>VLOOKUP($C$32,[2]ACHIEV!$B$9:$X$100,MATCH(I$11,$E$11:$Y$11,0)+2,FALSE)</f>
        <v>5.406874819795171E-2</v>
      </c>
      <c r="J32" s="153">
        <f>VLOOKUP($C$32,[2]ACHIEV!$B$9:$X$100,MATCH(J$11,$E$11:$Y$11,0)+2,FALSE)</f>
        <v>8.6253181011834101E-2</v>
      </c>
      <c r="K32" s="153">
        <f>VLOOKUP($C$32,[2]ACHIEV!$B$9:$X$100,MATCH(K$11,$E$11:$Y$11,0)+2,FALSE)</f>
        <v>0.1300328481838382</v>
      </c>
      <c r="L32" s="153">
        <f>VLOOKUP($C$32,[2]ACHIEV!$B$9:$X$100,MATCH(L$11,$E$11:$Y$11,0)+2,FALSE)</f>
        <v>0.18678710893858319</v>
      </c>
      <c r="M32" s="153">
        <f>VLOOKUP($C$32,[2]ACHIEV!$B$9:$X$100,MATCH(M$11,$E$11:$Y$11,0)+2,FALSE)</f>
        <v>0.2569823480072907</v>
      </c>
      <c r="N32" s="153">
        <f>VLOOKUP($C$32,[2]ACHIEV!$B$9:$X$100,MATCH(N$11,$E$11:$Y$11,0)+2,FALSE)</f>
        <v>0.33975920985004748</v>
      </c>
      <c r="O32" s="153">
        <f>VLOOKUP($C$32,[2]ACHIEV!$B$9:$X$100,MATCH(O$11,$E$11:$Y$11,0)+2,FALSE)</f>
        <v>0.43262946935754232</v>
      </c>
      <c r="P32" s="153">
        <f>VLOOKUP($C$32,[2]ACHIEV!$B$9:$X$100,MATCH(P$11,$E$11:$Y$11,0)+2,FALSE)</f>
        <v>0.53142594003645804</v>
      </c>
      <c r="Q32" s="153">
        <f>VLOOKUP($C$32,[2]ACHIEV!$B$9:$X$100,MATCH(Q$11,$E$11:$Y$11,0)+2,FALSE)</f>
        <v>0.63063487292644704</v>
      </c>
      <c r="R32" s="153">
        <f>VLOOKUP($C$32,[2]ACHIEV!$B$9:$X$100,MATCH(R$11,$E$11:$Y$11,0)+2,FALSE)</f>
        <v>0.7241560234206913</v>
      </c>
      <c r="S32" s="153">
        <f>VLOOKUP($C$32,[2]ACHIEV!$B$9:$X$100,MATCH(S$11,$E$11:$Y$11,0)+2,FALSE)</f>
        <v>0.80638203131755359</v>
      </c>
      <c r="T32" s="153">
        <f>VLOOKUP($C$32,[2]ACHIEV!$B$9:$X$100,MATCH(T$11,$E$11:$Y$11,0)+2,FALSE)</f>
        <v>0.87331559734491926</v>
      </c>
      <c r="U32" s="153">
        <f>VLOOKUP($C$32,[2]ACHIEV!$B$9:$X$100,MATCH(U$11,$E$11:$Y$11,0)+2,FALSE)</f>
        <v>0.92334516248836807</v>
      </c>
      <c r="V32" s="153">
        <f>VLOOKUP($C$32,[2]ACHIEV!$B$9:$X$100,MATCH(V$11,$E$11:$Y$11,0)+2,FALSE)</f>
        <v>0.95737002770730018</v>
      </c>
      <c r="W32" s="153">
        <f>VLOOKUP($C$32,[2]ACHIEV!$B$9:$X$100,MATCH(W$11,$E$11:$Y$11,0)+2,FALSE)</f>
        <v>0.97821608704807483</v>
      </c>
      <c r="X32" s="153">
        <f>VLOOKUP($C$32,[2]ACHIEV!$B$9:$X$100,MATCH(X$11,$E$11:$Y$11,0)+2,FALSE)</f>
        <v>0.98821608704807484</v>
      </c>
      <c r="Y32" s="153"/>
      <c r="AA32" s="228">
        <v>0.85</v>
      </c>
    </row>
    <row r="33" spans="1:80">
      <c r="C33" s="143" t="str">
        <f>C23</f>
        <v>Single Family</v>
      </c>
      <c r="E33" s="150">
        <f ca="1">E23*E$32*$AA$32</f>
        <v>67.882007082241259</v>
      </c>
      <c r="F33" s="150">
        <f t="shared" ref="F33:X33" ca="1" si="7">F23*F$32*$AA$32</f>
        <v>194.72749498146888</v>
      </c>
      <c r="G33" s="150">
        <f t="shared" ca="1" si="7"/>
        <v>403.00607287128474</v>
      </c>
      <c r="H33" s="150">
        <f t="shared" ca="1" si="7"/>
        <v>733.6539757043173</v>
      </c>
      <c r="I33" s="150">
        <f t="shared" ca="1" si="7"/>
        <v>1221.6907254096532</v>
      </c>
      <c r="J33" s="150">
        <f t="shared" ca="1" si="7"/>
        <v>1856.918864432208</v>
      </c>
      <c r="K33" s="150">
        <f t="shared" ca="1" si="7"/>
        <v>2721.444682498407</v>
      </c>
      <c r="L33" s="150">
        <f t="shared" ca="1" si="7"/>
        <v>3890.5433889306064</v>
      </c>
      <c r="M33" s="150">
        <f t="shared" ca="1" si="7"/>
        <v>5297.4144255644169</v>
      </c>
      <c r="N33" s="150">
        <f t="shared" ca="1" si="7"/>
        <v>7128.2310065347792</v>
      </c>
      <c r="O33" s="150">
        <f t="shared" ca="1" si="7"/>
        <v>9140.0443678205665</v>
      </c>
      <c r="P33" s="150">
        <f t="shared" ca="1" si="7"/>
        <v>11083.134858503725</v>
      </c>
      <c r="Q33" s="150">
        <f t="shared" ca="1" si="7"/>
        <v>12803.745915082225</v>
      </c>
      <c r="R33" s="150">
        <f t="shared" ca="1" si="7"/>
        <v>14717.700425109724</v>
      </c>
      <c r="S33" s="150">
        <f t="shared" ca="1" si="7"/>
        <v>16580.064069070155</v>
      </c>
      <c r="T33" s="150">
        <f t="shared" ca="1" si="7"/>
        <v>17879.690479008194</v>
      </c>
      <c r="U33" s="150">
        <f t="shared" ca="1" si="7"/>
        <v>18278.600431421746</v>
      </c>
      <c r="V33" s="150">
        <f t="shared" ca="1" si="7"/>
        <v>18919.726448072073</v>
      </c>
      <c r="W33" s="150">
        <f t="shared" ca="1" si="7"/>
        <v>19380.784465653214</v>
      </c>
      <c r="X33" s="150">
        <f t="shared" ca="1" si="7"/>
        <v>19711.827021141336</v>
      </c>
      <c r="Y33" s="150"/>
      <c r="AA33" s="150">
        <f t="shared" ref="AA33:AA36" ca="1" si="8">SUM(E33:Y33)</f>
        <v>182010.83112489231</v>
      </c>
    </row>
    <row r="34" spans="1:80">
      <c r="C34" s="143" t="str">
        <f>C24</f>
        <v>Multifamily - Low Rise</v>
      </c>
      <c r="E34" s="150">
        <f t="shared" ref="E34:X34" ca="1" si="9">E24*E$32*$AA$32</f>
        <v>24.027779255114204</v>
      </c>
      <c r="F34" s="150">
        <f t="shared" ca="1" si="9"/>
        <v>71.24391157523236</v>
      </c>
      <c r="G34" s="150">
        <f t="shared" ca="1" si="9"/>
        <v>154.16918696110216</v>
      </c>
      <c r="H34" s="150">
        <f t="shared" ca="1" si="9"/>
        <v>280.86611124394051</v>
      </c>
      <c r="I34" s="150">
        <f t="shared" ca="1" si="9"/>
        <v>453.02396876228391</v>
      </c>
      <c r="J34" s="150">
        <f t="shared" ca="1" si="9"/>
        <v>696.73470985624465</v>
      </c>
      <c r="K34" s="150">
        <f t="shared" ca="1" si="9"/>
        <v>1040.8290650221136</v>
      </c>
      <c r="L34" s="150">
        <f t="shared" ca="1" si="9"/>
        <v>1522.9072028569365</v>
      </c>
      <c r="M34" s="150">
        <f t="shared" ca="1" si="9"/>
        <v>2146.1892030820054</v>
      </c>
      <c r="N34" s="150">
        <f t="shared" ca="1" si="9"/>
        <v>2914.6198592453525</v>
      </c>
      <c r="O34" s="150">
        <f t="shared" ca="1" si="9"/>
        <v>3726.7946859803715</v>
      </c>
      <c r="P34" s="150">
        <f t="shared" ca="1" si="9"/>
        <v>4579.1074053338079</v>
      </c>
      <c r="Q34" s="150">
        <f t="shared" ca="1" si="9"/>
        <v>5442.6410632991019</v>
      </c>
      <c r="R34" s="150">
        <f t="shared" ca="1" si="9"/>
        <v>6181.7149283307117</v>
      </c>
      <c r="S34" s="150">
        <f t="shared" ca="1" si="9"/>
        <v>6800.6492972570959</v>
      </c>
      <c r="T34" s="150">
        <f t="shared" ca="1" si="9"/>
        <v>7214.4396768653041</v>
      </c>
      <c r="U34" s="150">
        <f t="shared" ca="1" si="9"/>
        <v>7497.6888625517067</v>
      </c>
      <c r="V34" s="150">
        <f t="shared" ca="1" si="9"/>
        <v>7675.4182623058023</v>
      </c>
      <c r="W34" s="150">
        <f t="shared" ca="1" si="9"/>
        <v>7691.5465089904401</v>
      </c>
      <c r="X34" s="150">
        <f t="shared" ca="1" si="9"/>
        <v>7740.7796329004004</v>
      </c>
      <c r="Y34" s="150"/>
      <c r="AA34" s="150">
        <f t="shared" ca="1" si="8"/>
        <v>73855.391321675081</v>
      </c>
    </row>
    <row r="35" spans="1:80">
      <c r="C35" s="143" t="s">
        <v>218</v>
      </c>
      <c r="E35" s="150">
        <f t="shared" ref="E35:X35" ca="1" si="10">E25*E$32*$AA$32</f>
        <v>9.7092555567551404</v>
      </c>
      <c r="F35" s="150">
        <f t="shared" ca="1" si="10"/>
        <v>29.193828778257032</v>
      </c>
      <c r="G35" s="150">
        <f t="shared" ca="1" si="10"/>
        <v>64.125198167316256</v>
      </c>
      <c r="H35" s="150">
        <f t="shared" ca="1" si="10"/>
        <v>114.12966802848959</v>
      </c>
      <c r="I35" s="150">
        <f t="shared" ca="1" si="10"/>
        <v>180.5202455541542</v>
      </c>
      <c r="J35" s="150">
        <f t="shared" ca="1" si="10"/>
        <v>281.79168723440557</v>
      </c>
      <c r="K35" s="150">
        <f t="shared" ca="1" si="10"/>
        <v>422.19503296005109</v>
      </c>
      <c r="L35" s="150">
        <f t="shared" ca="1" si="10"/>
        <v>625.42091684881416</v>
      </c>
      <c r="M35" s="150">
        <f t="shared" ca="1" si="10"/>
        <v>875.19122168978038</v>
      </c>
      <c r="N35" s="150">
        <f t="shared" ca="1" si="10"/>
        <v>1188.4240350988641</v>
      </c>
      <c r="O35" s="150">
        <f t="shared" ca="1" si="10"/>
        <v>1501.2923974036116</v>
      </c>
      <c r="P35" s="150">
        <f t="shared" ca="1" si="10"/>
        <v>1841.0671890129267</v>
      </c>
      <c r="Q35" s="150">
        <f t="shared" ca="1" si="10"/>
        <v>2169.3811137212997</v>
      </c>
      <c r="R35" s="150">
        <f t="shared" ca="1" si="10"/>
        <v>2483.2721923505983</v>
      </c>
      <c r="S35" s="150">
        <f t="shared" ca="1" si="10"/>
        <v>2744.920131283413</v>
      </c>
      <c r="T35" s="150">
        <f t="shared" ca="1" si="10"/>
        <v>2909.8744740209941</v>
      </c>
      <c r="U35" s="150">
        <f t="shared" ca="1" si="10"/>
        <v>3027.7487089915089</v>
      </c>
      <c r="V35" s="150">
        <f t="shared" ca="1" si="10"/>
        <v>3067.0148338318468</v>
      </c>
      <c r="W35" s="150">
        <f t="shared" ca="1" si="10"/>
        <v>3121.8361583536225</v>
      </c>
      <c r="X35" s="150">
        <f t="shared" ca="1" si="10"/>
        <v>3139.3822031191376</v>
      </c>
      <c r="Y35" s="150"/>
      <c r="AA35" s="150">
        <f t="shared" ca="1" si="8"/>
        <v>29796.490492005847</v>
      </c>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row>
    <row r="36" spans="1:80">
      <c r="C36" s="143" t="str">
        <f>C26</f>
        <v>Manufactured</v>
      </c>
      <c r="E36" s="150">
        <f t="shared" ref="E36:X36" ca="1" si="11">E26*E$32*$AA$32</f>
        <v>0</v>
      </c>
      <c r="F36" s="150">
        <f t="shared" ca="1" si="11"/>
        <v>0</v>
      </c>
      <c r="G36" s="150">
        <f t="shared" ca="1" si="11"/>
        <v>0</v>
      </c>
      <c r="H36" s="150">
        <f t="shared" ca="1" si="11"/>
        <v>0</v>
      </c>
      <c r="I36" s="150">
        <f t="shared" ca="1" si="11"/>
        <v>0</v>
      </c>
      <c r="J36" s="150">
        <f t="shared" ca="1" si="11"/>
        <v>0</v>
      </c>
      <c r="K36" s="150">
        <f t="shared" ca="1" si="11"/>
        <v>0</v>
      </c>
      <c r="L36" s="150">
        <f t="shared" ca="1" si="11"/>
        <v>0</v>
      </c>
      <c r="M36" s="150">
        <f t="shared" ca="1" si="11"/>
        <v>0</v>
      </c>
      <c r="N36" s="150">
        <f t="shared" ca="1" si="11"/>
        <v>0</v>
      </c>
      <c r="O36" s="150">
        <f t="shared" ca="1" si="11"/>
        <v>0</v>
      </c>
      <c r="P36" s="150">
        <f t="shared" ca="1" si="11"/>
        <v>0</v>
      </c>
      <c r="Q36" s="150">
        <f t="shared" ca="1" si="11"/>
        <v>0</v>
      </c>
      <c r="R36" s="150">
        <f t="shared" ca="1" si="11"/>
        <v>0</v>
      </c>
      <c r="S36" s="150">
        <f t="shared" ca="1" si="11"/>
        <v>0</v>
      </c>
      <c r="T36" s="150">
        <f t="shared" ca="1" si="11"/>
        <v>0</v>
      </c>
      <c r="U36" s="150">
        <f t="shared" ca="1" si="11"/>
        <v>0</v>
      </c>
      <c r="V36" s="150">
        <f t="shared" ca="1" si="11"/>
        <v>0</v>
      </c>
      <c r="W36" s="150">
        <f t="shared" ca="1" si="11"/>
        <v>0</v>
      </c>
      <c r="X36" s="150">
        <f t="shared" ca="1" si="11"/>
        <v>0</v>
      </c>
      <c r="Y36" s="150"/>
      <c r="AA36" s="150">
        <f t="shared" ca="1" si="8"/>
        <v>0</v>
      </c>
    </row>
    <row r="37" spans="1:80">
      <c r="E37" s="150"/>
      <c r="F37" s="150"/>
      <c r="G37" s="150"/>
      <c r="H37" s="150"/>
      <c r="I37" s="150"/>
      <c r="J37" s="150"/>
      <c r="K37" s="150"/>
      <c r="L37" s="150"/>
      <c r="M37" s="150"/>
      <c r="N37" s="150"/>
      <c r="O37" s="150"/>
      <c r="P37" s="150"/>
      <c r="Q37" s="150"/>
      <c r="R37" s="150"/>
      <c r="S37" s="150"/>
      <c r="T37" s="150"/>
      <c r="U37" s="150"/>
      <c r="V37" s="150"/>
      <c r="W37" s="150"/>
      <c r="X37" s="150"/>
      <c r="Y37" s="150"/>
    </row>
    <row r="38" spans="1:80">
      <c r="E38" s="150">
        <f t="shared" ref="E38:X38" ca="1" si="12">SUM(E33:E36)</f>
        <v>101.61904189411059</v>
      </c>
      <c r="F38" s="150">
        <f t="shared" ca="1" si="12"/>
        <v>295.16523533495831</v>
      </c>
      <c r="G38" s="150">
        <f t="shared" ca="1" si="12"/>
        <v>621.30045799970321</v>
      </c>
      <c r="H38" s="150">
        <f t="shared" ca="1" si="12"/>
        <v>1128.6497549767473</v>
      </c>
      <c r="I38" s="150">
        <f t="shared" ca="1" si="12"/>
        <v>1855.2349397260912</v>
      </c>
      <c r="J38" s="150">
        <f t="shared" ca="1" si="12"/>
        <v>2835.4452615228583</v>
      </c>
      <c r="K38" s="150">
        <f t="shared" ca="1" si="12"/>
        <v>4184.4687804805717</v>
      </c>
      <c r="L38" s="150">
        <f t="shared" ca="1" si="12"/>
        <v>6038.8715086363572</v>
      </c>
      <c r="M38" s="150">
        <f t="shared" ca="1" si="12"/>
        <v>8318.7948503362022</v>
      </c>
      <c r="N38" s="150">
        <f t="shared" ca="1" si="12"/>
        <v>11231.274900878996</v>
      </c>
      <c r="O38" s="150">
        <f t="shared" ca="1" si="12"/>
        <v>14368.131451204548</v>
      </c>
      <c r="P38" s="150">
        <f t="shared" ca="1" si="12"/>
        <v>17503.309452850459</v>
      </c>
      <c r="Q38" s="150">
        <f t="shared" ca="1" si="12"/>
        <v>20415.768092102626</v>
      </c>
      <c r="R38" s="150">
        <f t="shared" ca="1" si="12"/>
        <v>23382.687545791036</v>
      </c>
      <c r="S38" s="150">
        <f t="shared" ca="1" si="12"/>
        <v>26125.633497610663</v>
      </c>
      <c r="T38" s="150">
        <f t="shared" ca="1" si="12"/>
        <v>28004.004629894494</v>
      </c>
      <c r="U38" s="150">
        <f t="shared" ca="1" si="12"/>
        <v>28804.03800296496</v>
      </c>
      <c r="V38" s="150">
        <f t="shared" ca="1" si="12"/>
        <v>29662.159544209724</v>
      </c>
      <c r="W38" s="150">
        <f t="shared" ca="1" si="12"/>
        <v>30194.167132997274</v>
      </c>
      <c r="X38" s="150">
        <f t="shared" ca="1" si="12"/>
        <v>30591.988857160875</v>
      </c>
      <c r="Y38" s="150"/>
      <c r="AA38" s="150">
        <f ca="1">SUM(E38:Y38)</f>
        <v>285662.71293857321</v>
      </c>
    </row>
    <row r="40" spans="1:80">
      <c r="AA40" s="146"/>
      <c r="AB40" s="146"/>
      <c r="AC40" s="146"/>
      <c r="AD40" s="146"/>
    </row>
    <row r="41" spans="1:80" ht="15">
      <c r="A41" s="147" t="s">
        <v>224</v>
      </c>
      <c r="C41" s="151" t="str">
        <f>C8</f>
        <v>WasteWater Heat Recovery</v>
      </c>
      <c r="D41" s="151"/>
      <c r="E41" s="143" t="s">
        <v>631</v>
      </c>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c r="CA41" s="146"/>
      <c r="CB41" s="146"/>
    </row>
    <row r="42" spans="1:80" ht="15">
      <c r="A42" s="151" t="s">
        <v>225</v>
      </c>
      <c r="B42" s="151" t="s">
        <v>311</v>
      </c>
      <c r="C42" s="151">
        <v>1</v>
      </c>
      <c r="D42" s="151"/>
      <c r="E42" s="195">
        <v>2016</v>
      </c>
      <c r="F42" s="195">
        <v>2017</v>
      </c>
      <c r="G42" s="195">
        <v>2018</v>
      </c>
      <c r="H42" s="195">
        <v>2019</v>
      </c>
      <c r="I42" s="195">
        <v>2020</v>
      </c>
      <c r="J42" s="195">
        <v>2021</v>
      </c>
      <c r="K42" s="195">
        <v>2022</v>
      </c>
      <c r="L42" s="195">
        <v>2023</v>
      </c>
      <c r="M42" s="195">
        <v>2024</v>
      </c>
      <c r="N42" s="195">
        <v>2025</v>
      </c>
      <c r="O42" s="195">
        <v>2026</v>
      </c>
      <c r="P42" s="195">
        <v>2027</v>
      </c>
      <c r="Q42" s="195">
        <v>2028</v>
      </c>
      <c r="R42" s="195">
        <v>2029</v>
      </c>
      <c r="S42" s="195">
        <v>2030</v>
      </c>
      <c r="T42" s="195">
        <v>2031</v>
      </c>
      <c r="U42" s="195">
        <v>2032</v>
      </c>
      <c r="V42" s="195">
        <v>2033</v>
      </c>
      <c r="W42" s="195">
        <v>2034</v>
      </c>
      <c r="X42" s="195">
        <v>2035</v>
      </c>
      <c r="Y42" s="148" t="s">
        <v>844</v>
      </c>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c r="CA42" s="146"/>
      <c r="CB42" s="146"/>
    </row>
    <row r="43" spans="1:80" ht="15">
      <c r="A43" s="151" t="s">
        <v>303</v>
      </c>
      <c r="B43" s="151" t="s">
        <v>226</v>
      </c>
      <c r="C43" s="151" t="s">
        <v>227</v>
      </c>
      <c r="D43" s="151" t="s">
        <v>228</v>
      </c>
      <c r="E43" s="196" t="str">
        <f>CONCATENATE("aMW_",E42)</f>
        <v>aMW_2016</v>
      </c>
      <c r="F43" s="196" t="str">
        <f t="shared" ref="F43:X43" si="13">CONCATENATE("aMW_",F42)</f>
        <v>aMW_2017</v>
      </c>
      <c r="G43" s="196" t="str">
        <f t="shared" si="13"/>
        <v>aMW_2018</v>
      </c>
      <c r="H43" s="196" t="str">
        <f t="shared" si="13"/>
        <v>aMW_2019</v>
      </c>
      <c r="I43" s="196" t="str">
        <f t="shared" si="13"/>
        <v>aMW_2020</v>
      </c>
      <c r="J43" s="196" t="str">
        <f t="shared" si="13"/>
        <v>aMW_2021</v>
      </c>
      <c r="K43" s="196" t="str">
        <f t="shared" si="13"/>
        <v>aMW_2022</v>
      </c>
      <c r="L43" s="196" t="str">
        <f t="shared" si="13"/>
        <v>aMW_2023</v>
      </c>
      <c r="M43" s="196" t="str">
        <f t="shared" si="13"/>
        <v>aMW_2024</v>
      </c>
      <c r="N43" s="196" t="str">
        <f t="shared" si="13"/>
        <v>aMW_2025</v>
      </c>
      <c r="O43" s="196" t="str">
        <f t="shared" si="13"/>
        <v>aMW_2026</v>
      </c>
      <c r="P43" s="196" t="str">
        <f t="shared" si="13"/>
        <v>aMW_2027</v>
      </c>
      <c r="Q43" s="196" t="str">
        <f t="shared" si="13"/>
        <v>aMW_2028</v>
      </c>
      <c r="R43" s="196" t="str">
        <f t="shared" si="13"/>
        <v>aMW_2029</v>
      </c>
      <c r="S43" s="196" t="str">
        <f t="shared" si="13"/>
        <v>aMW_2030</v>
      </c>
      <c r="T43" s="196" t="str">
        <f t="shared" si="13"/>
        <v>aMW_2031</v>
      </c>
      <c r="U43" s="196" t="str">
        <f t="shared" si="13"/>
        <v>aMW_2032</v>
      </c>
      <c r="V43" s="196" t="str">
        <f t="shared" si="13"/>
        <v>aMW_2033</v>
      </c>
      <c r="W43" s="196" t="str">
        <f t="shared" si="13"/>
        <v>aMW_2034</v>
      </c>
      <c r="X43" s="196" t="str">
        <f t="shared" si="13"/>
        <v>aMW_2035</v>
      </c>
      <c r="Y43" s="149" t="s">
        <v>844</v>
      </c>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c r="CA43" s="146"/>
      <c r="CB43" s="146"/>
    </row>
    <row r="44" spans="1:80">
      <c r="A44" s="154">
        <f>VLOOKUP($D44,MeasureOutput,3,FALSE)</f>
        <v>256.71911903766988</v>
      </c>
      <c r="B44" s="154">
        <f t="shared" ref="B44:B55" si="14">VLOOKUP($D44,MeasureOutput,11,FALSE)</f>
        <v>199.0155219887227</v>
      </c>
      <c r="C44" s="143" t="str">
        <f>C13</f>
        <v>Single Family</v>
      </c>
      <c r="D44" s="143" t="s">
        <v>330</v>
      </c>
      <c r="E44" s="155">
        <f ca="1">VLOOKUP($C44,$C$33:$Y$36,E$31,FALSE)*$C$42*$A44/8760/1000*VLOOKUP('SC-New'!$C44,Weighting!$A$5:$C$8,MATCH(RIGHT($D44,(LEN($D44)-FIND(",",$D44)-1)),Weighting!$A$5:$C$5,0),FALSE)*Weighting!$B$12</f>
        <v>9.3447000195058202E-4</v>
      </c>
      <c r="F44" s="155">
        <f ca="1">VLOOKUP($C44,$C$33:$Y$36,F$31,FALSE)*$C$42*$A44/8760/1000*VLOOKUP('SC-New'!$C44,Weighting!$A$5:$C$8,MATCH(RIGHT($D44,(LEN($D44)-FIND(",",$D44)-1)),Weighting!$A$5:$C$5,0),FALSE)*Weighting!$B$12</f>
        <v>2.6806367465638755E-3</v>
      </c>
      <c r="G44" s="155">
        <f ca="1">VLOOKUP($C44,$C$33:$Y$36,G$31,FALSE)*$C$42*$A44/8760/1000*VLOOKUP('SC-New'!$C44,Weighting!$A$5:$C$8,MATCH(RIGHT($D44,(LEN($D44)-FIND(",",$D44)-1)),Weighting!$A$5:$C$5,0),FALSE)*Weighting!$B$12</f>
        <v>5.5478189565883957E-3</v>
      </c>
      <c r="H44" s="155">
        <f ca="1">VLOOKUP($C44,$C$33:$Y$36,H$31,FALSE)*$C$42*$A44/8760/1000*VLOOKUP('SC-New'!$C44,Weighting!$A$5:$C$8,MATCH(RIGHT($D44,(LEN($D44)-FIND(",",$D44)-1)),Weighting!$A$5:$C$5,0),FALSE)*Weighting!$B$12</f>
        <v>1.0099548637047016E-2</v>
      </c>
      <c r="I44" s="155">
        <f ca="1">VLOOKUP($C44,$C$33:$Y$36,I$31,FALSE)*$C$42*$A44/8760/1000*VLOOKUP('SC-New'!$C44,Weighting!$A$5:$C$8,MATCH(RIGHT($D44,(LEN($D44)-FIND(",",$D44)-1)),Weighting!$A$5:$C$5,0),FALSE)*Weighting!$B$12</f>
        <v>1.6817907773019152E-2</v>
      </c>
      <c r="J44" s="155">
        <f ca="1">VLOOKUP($C44,$C$33:$Y$36,J$31,FALSE)*$C$42*$A44/8760/1000*VLOOKUP('SC-New'!$C44,Weighting!$A$5:$C$8,MATCH(RIGHT($D44,(LEN($D44)-FIND(",",$D44)-1)),Weighting!$A$5:$C$5,0),FALSE)*Weighting!$B$12</f>
        <v>2.5562517218528088E-2</v>
      </c>
      <c r="K44" s="155">
        <f ca="1">VLOOKUP($C44,$C$33:$Y$36,K$31,FALSE)*$C$42*$A44/8760/1000*VLOOKUP('SC-New'!$C44,Weighting!$A$5:$C$8,MATCH(RIGHT($D44,(LEN($D44)-FIND(",",$D44)-1)),Weighting!$A$5:$C$5,0),FALSE)*Weighting!$B$12</f>
        <v>3.7463659768952155E-2</v>
      </c>
      <c r="L44" s="155">
        <f ca="1">VLOOKUP($C44,$C$33:$Y$36,L$31,FALSE)*$C$42*$A44/8760/1000*VLOOKUP('SC-New'!$C44,Weighting!$A$5:$C$8,MATCH(RIGHT($D44,(LEN($D44)-FIND(",",$D44)-1)),Weighting!$A$5:$C$5,0),FALSE)*Weighting!$B$12</f>
        <v>5.3557580933606824E-2</v>
      </c>
      <c r="M44" s="155">
        <f ca="1">VLOOKUP($C44,$C$33:$Y$36,M$31,FALSE)*$C$42*$A44/8760/1000*VLOOKUP('SC-New'!$C44,Weighting!$A$5:$C$8,MATCH(RIGHT($D44,(LEN($D44)-FIND(",",$D44)-1)),Weighting!$A$5:$C$5,0),FALSE)*Weighting!$B$12</f>
        <v>7.2924698036591698E-2</v>
      </c>
      <c r="N44" s="155">
        <f ca="1">VLOOKUP($C44,$C$33:$Y$36,N$31,FALSE)*$C$42*$A44/8760/1000*VLOOKUP('SC-New'!$C44,Weighting!$A$5:$C$8,MATCH(RIGHT($D44,(LEN($D44)-FIND(",",$D44)-1)),Weighting!$A$5:$C$5,0),FALSE)*Weighting!$B$12</f>
        <v>9.8127888801381388E-2</v>
      </c>
      <c r="O44" s="155">
        <f ca="1">VLOOKUP($C44,$C$33:$Y$36,O$31,FALSE)*$C$42*$A44/8760/1000*VLOOKUP('SC-New'!$C44,Weighting!$A$5:$C$8,MATCH(RIGHT($D44,(LEN($D44)-FIND(",",$D44)-1)),Weighting!$A$5:$C$5,0),FALSE)*Weighting!$B$12</f>
        <v>0.12582269802184654</v>
      </c>
      <c r="P44" s="155">
        <f ca="1">VLOOKUP($C44,$C$33:$Y$36,P$31,FALSE)*$C$42*$A44/8760/1000*VLOOKUP('SC-New'!$C44,Weighting!$A$5:$C$8,MATCH(RIGHT($D44,(LEN($D44)-FIND(",",$D44)-1)),Weighting!$A$5:$C$5,0),FALSE)*Weighting!$B$12</f>
        <v>0.15257146183519396</v>
      </c>
      <c r="Q44" s="155">
        <f ca="1">VLOOKUP($C44,$C$33:$Y$36,Q$31,FALSE)*$C$42*$A44/8760/1000*VLOOKUP('SC-New'!$C44,Weighting!$A$5:$C$8,MATCH(RIGHT($D44,(LEN($D44)-FIND(",",$D44)-1)),Weighting!$A$5:$C$5,0),FALSE)*Weighting!$B$12</f>
        <v>0.17625755313548697</v>
      </c>
      <c r="R44" s="155">
        <f ca="1">VLOOKUP($C44,$C$33:$Y$36,R$31,FALSE)*$C$42*$A44/8760/1000*VLOOKUP('SC-New'!$C44,Weighting!$A$5:$C$8,MATCH(RIGHT($D44,(LEN($D44)-FIND(",",$D44)-1)),Weighting!$A$5:$C$5,0),FALSE)*Weighting!$B$12</f>
        <v>0.20260522833831146</v>
      </c>
      <c r="S44" s="155">
        <f ca="1">VLOOKUP($C44,$C$33:$Y$36,S$31,FALSE)*$C$42*$A44/8760/1000*VLOOKUP('SC-New'!$C44,Weighting!$A$5:$C$8,MATCH(RIGHT($D44,(LEN($D44)-FIND(",",$D44)-1)),Weighting!$A$5:$C$5,0),FALSE)*Weighting!$B$12</f>
        <v>0.22824269889653964</v>
      </c>
      <c r="T44" s="155">
        <f ca="1">VLOOKUP($C44,$C$33:$Y$36,T$31,FALSE)*$C$42*$A44/8760/1000*VLOOKUP('SC-New'!$C44,Weighting!$A$5:$C$8,MATCH(RIGHT($D44,(LEN($D44)-FIND(",",$D44)-1)),Weighting!$A$5:$C$5,0),FALSE)*Weighting!$B$12</f>
        <v>0.24613347652717846</v>
      </c>
      <c r="U44" s="155">
        <f ca="1">VLOOKUP($C44,$C$33:$Y$36,U$31,FALSE)*$C$42*$A44/8760/1000*VLOOKUP('SC-New'!$C44,Weighting!$A$5:$C$8,MATCH(RIGHT($D44,(LEN($D44)-FIND(",",$D44)-1)),Weighting!$A$5:$C$5,0),FALSE)*Weighting!$B$12</f>
        <v>0.25162490790984771</v>
      </c>
      <c r="V44" s="155">
        <f ca="1">VLOOKUP($C44,$C$33:$Y$36,V$31,FALSE)*$C$42*$A44/8760/1000*VLOOKUP('SC-New'!$C44,Weighting!$A$5:$C$8,MATCH(RIGHT($D44,(LEN($D44)-FIND(",",$D44)-1)),Weighting!$A$5:$C$5,0),FALSE)*Weighting!$B$12</f>
        <v>0.26045070808549597</v>
      </c>
      <c r="W44" s="155">
        <f ca="1">VLOOKUP($C44,$C$33:$Y$36,W$31,FALSE)*$C$42*$A44/8760/1000*VLOOKUP('SC-New'!$C44,Weighting!$A$5:$C$8,MATCH(RIGHT($D44,(LEN($D44)-FIND(",",$D44)-1)),Weighting!$A$5:$C$5,0),FALSE)*Weighting!$B$12</f>
        <v>0.26679767549419969</v>
      </c>
      <c r="X44" s="155">
        <f ca="1">VLOOKUP($C44,$C$33:$Y$36,X$31,FALSE)*$C$42*$A44/8760/1000*VLOOKUP('SC-New'!$C44,Weighting!$A$5:$C$8,MATCH(RIGHT($D44,(LEN($D44)-FIND(",",$D44)-1)),Weighting!$A$5:$C$5,0),FALSE)*Weighting!$B$12</f>
        <v>0.2713548379996914</v>
      </c>
      <c r="Y44" s="155">
        <f ca="1">SUM(E44:X44)</f>
        <v>2.505577973118021</v>
      </c>
      <c r="AA44" s="155">
        <f ca="1">SUM(E44:X44)</f>
        <v>2.505577973118021</v>
      </c>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c r="CA44" s="146"/>
      <c r="CB44" s="146"/>
    </row>
    <row r="45" spans="1:80">
      <c r="A45" s="154">
        <f t="shared" ref="A45:A55" si="15">VLOOKUP($D45,MeasureOutput,3,FALSE)</f>
        <v>256.71911903766988</v>
      </c>
      <c r="B45" s="154">
        <f t="shared" si="14"/>
        <v>171.21013342853448</v>
      </c>
      <c r="C45" s="143" t="str">
        <f>C14</f>
        <v>Multifamily - Low Rise</v>
      </c>
      <c r="D45" s="143" t="s">
        <v>334</v>
      </c>
      <c r="E45" s="155">
        <f ca="1">VLOOKUP($C45,$C$33:$Y$36,E$31,FALSE)*$C$42*$A45/8760/1000*VLOOKUP('SC-New'!$C45,Weighting!$A$5:$C$8,MATCH(RIGHT($D45,(LEN($D45)-FIND(",",$D45)-1)),Weighting!$A$5:$C$5,0),FALSE)*Weighting!$B$12</f>
        <v>3.3246162888090432E-4</v>
      </c>
      <c r="F45" s="155">
        <f ca="1">VLOOKUP($C45,$C$33:$Y$36,F$31,FALSE)*$C$42*$A45/8760/1000*VLOOKUP('SC-New'!$C45,Weighting!$A$5:$C$8,MATCH(RIGHT($D45,(LEN($D45)-FIND(",",$D45)-1)),Weighting!$A$5:$C$5,0),FALSE)*Weighting!$B$12</f>
        <v>9.8577012210179327E-4</v>
      </c>
      <c r="G45" s="155">
        <f ca="1">VLOOKUP($C45,$C$33:$Y$36,G$31,FALSE)*$C$42*$A45/8760/1000*VLOOKUP('SC-New'!$C45,Weighting!$A$5:$C$8,MATCH(RIGHT($D45,(LEN($D45)-FIND(",",$D45)-1)),Weighting!$A$5:$C$5,0),FALSE)*Weighting!$B$12</f>
        <v>2.1331700477239578E-3</v>
      </c>
      <c r="H45" s="155">
        <f ca="1">VLOOKUP($C45,$C$33:$Y$36,H$31,FALSE)*$C$42*$A45/8760/1000*VLOOKUP('SC-New'!$C45,Weighting!$A$5:$C$8,MATCH(RIGHT($D45,(LEN($D45)-FIND(",",$D45)-1)),Weighting!$A$5:$C$5,0),FALSE)*Weighting!$B$12</f>
        <v>3.8862186908817558E-3</v>
      </c>
      <c r="I45" s="155">
        <f ca="1">VLOOKUP($C45,$C$33:$Y$36,I$31,FALSE)*$C$42*$A45/8760/1000*VLOOKUP('SC-New'!$C45,Weighting!$A$5:$C$8,MATCH(RIGHT($D45,(LEN($D45)-FIND(",",$D45)-1)),Weighting!$A$5:$C$5,0),FALSE)*Weighting!$B$12</f>
        <v>6.2682899229958384E-3</v>
      </c>
      <c r="J45" s="155">
        <f ca="1">VLOOKUP($C45,$C$33:$Y$36,J$31,FALSE)*$C$42*$A45/8760/1000*VLOOKUP('SC-New'!$C45,Weighting!$A$5:$C$8,MATCH(RIGHT($D45,(LEN($D45)-FIND(",",$D45)-1)),Weighting!$A$5:$C$5,0),FALSE)*Weighting!$B$12</f>
        <v>9.6404063845129742E-3</v>
      </c>
      <c r="K45" s="155">
        <f ca="1">VLOOKUP($C45,$C$33:$Y$36,K$31,FALSE)*$C$42*$A45/8760/1000*VLOOKUP('SC-New'!$C45,Weighting!$A$5:$C$8,MATCH(RIGHT($D45,(LEN($D45)-FIND(",",$D45)-1)),Weighting!$A$5:$C$5,0),FALSE)*Weighting!$B$12</f>
        <v>1.4401485991269392E-2</v>
      </c>
      <c r="L45" s="155">
        <f ca="1">VLOOKUP($C45,$C$33:$Y$36,L$31,FALSE)*$C$42*$A45/8760/1000*VLOOKUP('SC-New'!$C45,Weighting!$A$5:$C$8,MATCH(RIGHT($D45,(LEN($D45)-FIND(",",$D45)-1)),Weighting!$A$5:$C$5,0),FALSE)*Weighting!$B$12</f>
        <v>2.1071785449690007E-2</v>
      </c>
      <c r="M45" s="155">
        <f ca="1">VLOOKUP($C45,$C$33:$Y$36,M$31,FALSE)*$C$42*$A45/8760/1000*VLOOKUP('SC-New'!$C45,Weighting!$A$5:$C$8,MATCH(RIGHT($D45,(LEN($D45)-FIND(",",$D45)-1)),Weighting!$A$5:$C$5,0),FALSE)*Weighting!$B$12</f>
        <v>2.9695859561860369E-2</v>
      </c>
      <c r="N45" s="155">
        <f ca="1">VLOOKUP($C45,$C$33:$Y$36,N$31,FALSE)*$C$42*$A45/8760/1000*VLOOKUP('SC-New'!$C45,Weighting!$A$5:$C$8,MATCH(RIGHT($D45,(LEN($D45)-FIND(",",$D45)-1)),Weighting!$A$5:$C$5,0),FALSE)*Weighting!$B$12</f>
        <v>4.0328290670769949E-2</v>
      </c>
      <c r="O45" s="155">
        <f ca="1">VLOOKUP($C45,$C$33:$Y$36,O$31,FALSE)*$C$42*$A45/8760/1000*VLOOKUP('SC-New'!$C45,Weighting!$A$5:$C$8,MATCH(RIGHT($D45,(LEN($D45)-FIND(",",$D45)-1)),Weighting!$A$5:$C$5,0),FALSE)*Weighting!$B$12</f>
        <v>5.1565990291924851E-2</v>
      </c>
      <c r="P45" s="155">
        <f ca="1">VLOOKUP($C45,$C$33:$Y$36,P$31,FALSE)*$C$42*$A45/8760/1000*VLOOKUP('SC-New'!$C45,Weighting!$A$5:$C$8,MATCH(RIGHT($D45,(LEN($D45)-FIND(",",$D45)-1)),Weighting!$A$5:$C$5,0),FALSE)*Weighting!$B$12</f>
        <v>6.3359059971131448E-2</v>
      </c>
      <c r="Q45" s="155">
        <f ca="1">VLOOKUP($C45,$C$33:$Y$36,Q$31,FALSE)*$C$42*$A45/8760/1000*VLOOKUP('SC-New'!$C45,Weighting!$A$5:$C$8,MATCH(RIGHT($D45,(LEN($D45)-FIND(",",$D45)-1)),Weighting!$A$5:$C$5,0),FALSE)*Weighting!$B$12</f>
        <v>7.5307388756427784E-2</v>
      </c>
      <c r="R45" s="155">
        <f ca="1">VLOOKUP($C45,$C$33:$Y$36,R$31,FALSE)*$C$42*$A45/8760/1000*VLOOKUP('SC-New'!$C45,Weighting!$A$5:$C$8,MATCH(RIGHT($D45,(LEN($D45)-FIND(",",$D45)-1)),Weighting!$A$5:$C$5,0),FALSE)*Weighting!$B$12</f>
        <v>8.5533623083905858E-2</v>
      </c>
      <c r="S45" s="155">
        <f ca="1">VLOOKUP($C45,$C$33:$Y$36,S$31,FALSE)*$C$42*$A45/8760/1000*VLOOKUP('SC-New'!$C45,Weighting!$A$5:$C$8,MATCH(RIGHT($D45,(LEN($D45)-FIND(",",$D45)-1)),Weighting!$A$5:$C$5,0),FALSE)*Weighting!$B$12</f>
        <v>9.4097540967404927E-2</v>
      </c>
      <c r="T45" s="155">
        <f ca="1">VLOOKUP($C45,$C$33:$Y$36,T$31,FALSE)*$C$42*$A45/8760/1000*VLOOKUP('SC-New'!$C45,Weighting!$A$5:$C$8,MATCH(RIGHT($D45,(LEN($D45)-FIND(",",$D45)-1)),Weighting!$A$5:$C$5,0),FALSE)*Weighting!$B$12</f>
        <v>9.9822973274700313E-2</v>
      </c>
      <c r="U45" s="155">
        <f ca="1">VLOOKUP($C45,$C$33:$Y$36,U$31,FALSE)*$C$42*$A45/8760/1000*VLOOKUP('SC-New'!$C45,Weighting!$A$5:$C$8,MATCH(RIGHT($D45,(LEN($D45)-FIND(",",$D45)-1)),Weighting!$A$5:$C$5,0),FALSE)*Weighting!$B$12</f>
        <v>0.10374216550019269</v>
      </c>
      <c r="V45" s="155">
        <f ca="1">VLOOKUP($C45,$C$33:$Y$36,V$31,FALSE)*$C$42*$A45/8760/1000*VLOOKUP('SC-New'!$C45,Weighting!$A$5:$C$8,MATCH(RIGHT($D45,(LEN($D45)-FIND(",",$D45)-1)),Weighting!$A$5:$C$5,0),FALSE)*Weighting!$B$12</f>
        <v>0.10620132766890188</v>
      </c>
      <c r="W45" s="155">
        <f ca="1">VLOOKUP($C45,$C$33:$Y$36,W$31,FALSE)*$C$42*$A45/8760/1000*VLOOKUP('SC-New'!$C45,Weighting!$A$5:$C$8,MATCH(RIGHT($D45,(LEN($D45)-FIND(",",$D45)-1)),Weighting!$A$5:$C$5,0),FALSE)*Weighting!$B$12</f>
        <v>0.10642448700072513</v>
      </c>
      <c r="X45" s="155">
        <f ca="1">VLOOKUP($C45,$C$33:$Y$36,X$31,FALSE)*$C$42*$A45/8760/1000*VLOOKUP('SC-New'!$C45,Weighting!$A$5:$C$8,MATCH(RIGHT($D45,(LEN($D45)-FIND(",",$D45)-1)),Weighting!$A$5:$C$5,0),FALSE)*Weighting!$B$12</f>
        <v>0.10710570370395071</v>
      </c>
      <c r="Y45" s="155">
        <f t="shared" ref="Y45:Y55" ca="1" si="16">SUM(E45:X45)</f>
        <v>1.0219039986899525</v>
      </c>
      <c r="AA45" s="155">
        <f ca="1">SUM(E45:X45)</f>
        <v>1.0219039986899525</v>
      </c>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c r="CA45" s="146"/>
      <c r="CB45" s="146"/>
    </row>
    <row r="46" spans="1:80">
      <c r="A46" s="154">
        <f t="shared" si="15"/>
        <v>123.26393620193372</v>
      </c>
      <c r="B46" s="154">
        <f t="shared" si="14"/>
        <v>367.48174569205361</v>
      </c>
      <c r="C46" s="143" t="str">
        <f t="shared" ref="C46" si="17">C15</f>
        <v>Multifamily - High Rise</v>
      </c>
      <c r="D46" s="143" t="s">
        <v>335</v>
      </c>
      <c r="E46" s="155">
        <f ca="1">VLOOKUP($C46,$C$33:$Y$36,E$31,FALSE)*$C$42*$A46/8760/1000*VLOOKUP('SC-New'!$C46,Weighting!$A$5:$C$8,MATCH(RIGHT($D46,(LEN($D46)-FIND(",",$D46)-1)),Weighting!$A$5:$C$5,0),FALSE)*Weighting!$B$12</f>
        <v>3.8058202058345366E-6</v>
      </c>
      <c r="F46" s="155">
        <f ca="1">VLOOKUP($C46,$C$33:$Y$36,F$31,FALSE)*$C$42*$A46/8760/1000*VLOOKUP('SC-New'!$C46,Weighting!$A$5:$C$8,MATCH(RIGHT($D46,(LEN($D46)-FIND(",",$D46)-1)),Weighting!$A$5:$C$5,0),FALSE)*Weighting!$B$12</f>
        <v>1.1443355548784884E-5</v>
      </c>
      <c r="G46" s="155">
        <f ca="1">VLOOKUP($C46,$C$33:$Y$36,G$31,FALSE)*$C$42*$A46/8760/1000*VLOOKUP('SC-New'!$C46,Weighting!$A$5:$C$8,MATCH(RIGHT($D46,(LEN($D46)-FIND(",",$D46)-1)),Weighting!$A$5:$C$5,0),FALSE)*Weighting!$B$12</f>
        <v>2.5135704118790121E-5</v>
      </c>
      <c r="H46" s="155">
        <f ca="1">VLOOKUP($C46,$C$33:$Y$36,H$31,FALSE)*$C$42*$A46/8760/1000*VLOOKUP('SC-New'!$C46,Weighting!$A$5:$C$8,MATCH(RIGHT($D46,(LEN($D46)-FIND(",",$D46)-1)),Weighting!$A$5:$C$5,0),FALSE)*Weighting!$B$12</f>
        <v>4.4736385207804429E-5</v>
      </c>
      <c r="I46" s="155">
        <f ca="1">VLOOKUP($C46,$C$33:$Y$36,I$31,FALSE)*$C$42*$A46/8760/1000*VLOOKUP('SC-New'!$C46,Weighting!$A$5:$C$8,MATCH(RIGHT($D46,(LEN($D46)-FIND(",",$D46)-1)),Weighting!$A$5:$C$5,0),FALSE)*Weighting!$B$12</f>
        <v>7.0760069510604053E-5</v>
      </c>
      <c r="J46" s="155">
        <f ca="1">VLOOKUP($C46,$C$33:$Y$36,J$31,FALSE)*$C$42*$A46/8760/1000*VLOOKUP('SC-New'!$C46,Weighting!$A$5:$C$8,MATCH(RIGHT($D46,(LEN($D46)-FIND(",",$D46)-1)),Weighting!$A$5:$C$5,0),FALSE)*Weighting!$B$12</f>
        <v>1.1045630541331865E-4</v>
      </c>
      <c r="K46" s="155">
        <f ca="1">VLOOKUP($C46,$C$33:$Y$36,K$31,FALSE)*$C$42*$A46/8760/1000*VLOOKUP('SC-New'!$C46,Weighting!$A$5:$C$8,MATCH(RIGHT($D46,(LEN($D46)-FIND(",",$D46)-1)),Weighting!$A$5:$C$5,0),FALSE)*Weighting!$B$12</f>
        <v>1.6549140949580042E-4</v>
      </c>
      <c r="L46" s="155">
        <f ca="1">VLOOKUP($C46,$C$33:$Y$36,L$31,FALSE)*$C$42*$A46/8760/1000*VLOOKUP('SC-New'!$C46,Weighting!$A$5:$C$8,MATCH(RIGHT($D46,(LEN($D46)-FIND(",",$D46)-1)),Weighting!$A$5:$C$5,0),FALSE)*Weighting!$B$12</f>
        <v>2.4515160287842512E-4</v>
      </c>
      <c r="M46" s="155">
        <f ca="1">VLOOKUP($C46,$C$33:$Y$36,M$31,FALSE)*$C$42*$A46/8760/1000*VLOOKUP('SC-New'!$C46,Weighting!$A$5:$C$8,MATCH(RIGHT($D46,(LEN($D46)-FIND(",",$D46)-1)),Weighting!$A$5:$C$5,0),FALSE)*Weighting!$B$12</f>
        <v>3.4305621229205232E-4</v>
      </c>
      <c r="N46" s="155">
        <f ca="1">VLOOKUP($C46,$C$33:$Y$36,N$31,FALSE)*$C$42*$A46/8760/1000*VLOOKUP('SC-New'!$C46,Weighting!$A$5:$C$8,MATCH(RIGHT($D46,(LEN($D46)-FIND(",",$D46)-1)),Weighting!$A$5:$C$5,0),FALSE)*Weighting!$B$12</f>
        <v>4.6583676569640582E-4</v>
      </c>
      <c r="O46" s="155">
        <f ca="1">VLOOKUP($C46,$C$33:$Y$36,O$31,FALSE)*$C$42*$A46/8760/1000*VLOOKUP('SC-New'!$C46,Weighting!$A$5:$C$8,MATCH(RIGHT($D46,(LEN($D46)-FIND(",",$D46)-1)),Weighting!$A$5:$C$5,0),FALSE)*Weighting!$B$12</f>
        <v>5.884744620744081E-4</v>
      </c>
      <c r="P46" s="155">
        <f ca="1">VLOOKUP($C46,$C$33:$Y$36,P$31,FALSE)*$C$42*$A46/8760/1000*VLOOKUP('SC-New'!$C46,Weighting!$A$5:$C$8,MATCH(RIGHT($D46,(LEN($D46)-FIND(",",$D46)-1)),Weighting!$A$5:$C$5,0),FALSE)*Weighting!$B$12</f>
        <v>7.2165890240364337E-4</v>
      </c>
      <c r="Q46" s="155">
        <f ca="1">VLOOKUP($C46,$C$33:$Y$36,Q$31,FALSE)*$C$42*$A46/8760/1000*VLOOKUP('SC-New'!$C46,Weighting!$A$5:$C$8,MATCH(RIGHT($D46,(LEN($D46)-FIND(",",$D46)-1)),Weighting!$A$5:$C$5,0),FALSE)*Weighting!$B$12</f>
        <v>8.5035092839966654E-4</v>
      </c>
      <c r="R46" s="155">
        <f ca="1">VLOOKUP($C46,$C$33:$Y$36,R$31,FALSE)*$C$42*$A46/8760/1000*VLOOKUP('SC-New'!$C46,Weighting!$A$5:$C$8,MATCH(RIGHT($D46,(LEN($D46)-FIND(",",$D46)-1)),Weighting!$A$5:$C$5,0),FALSE)*Weighting!$B$12</f>
        <v>9.7338950767029227E-4</v>
      </c>
      <c r="S46" s="155">
        <f ca="1">VLOOKUP($C46,$C$33:$Y$36,S$31,FALSE)*$C$42*$A46/8760/1000*VLOOKUP('SC-New'!$C46,Weighting!$A$5:$C$8,MATCH(RIGHT($D46,(LEN($D46)-FIND(",",$D46)-1)),Weighting!$A$5:$C$5,0),FALSE)*Weighting!$B$12</f>
        <v>1.0759498952288068E-3</v>
      </c>
      <c r="T46" s="155">
        <f ca="1">VLOOKUP($C46,$C$33:$Y$36,T$31,FALSE)*$C$42*$A46/8760/1000*VLOOKUP('SC-New'!$C46,Weighting!$A$5:$C$8,MATCH(RIGHT($D46,(LEN($D46)-FIND(",",$D46)-1)),Weighting!$A$5:$C$5,0),FALSE)*Weighting!$B$12</f>
        <v>1.140608464257208E-3</v>
      </c>
      <c r="U46" s="155">
        <f ca="1">VLOOKUP($C46,$C$33:$Y$36,U$31,FALSE)*$C$42*$A46/8760/1000*VLOOKUP('SC-New'!$C46,Weighting!$A$5:$C$8,MATCH(RIGHT($D46,(LEN($D46)-FIND(",",$D46)-1)),Weighting!$A$5:$C$5,0),FALSE)*Weighting!$B$12</f>
        <v>1.1868126394976011E-3</v>
      </c>
      <c r="V46" s="155">
        <f ca="1">VLOOKUP($C46,$C$33:$Y$36,V$31,FALSE)*$C$42*$A46/8760/1000*VLOOKUP('SC-New'!$C46,Weighting!$A$5:$C$8,MATCH(RIGHT($D46,(LEN($D46)-FIND(",",$D46)-1)),Weighting!$A$5:$C$5,0),FALSE)*Weighting!$B$12</f>
        <v>1.2022041193539747E-3</v>
      </c>
      <c r="W46" s="155">
        <f ca="1">VLOOKUP($C46,$C$33:$Y$36,W$31,FALSE)*$C$42*$A46/8760/1000*VLOOKUP('SC-New'!$C46,Weighting!$A$5:$C$8,MATCH(RIGHT($D46,(LEN($D46)-FIND(",",$D46)-1)),Weighting!$A$5:$C$5,0),FALSE)*Weighting!$B$12</f>
        <v>1.2236929042928391E-3</v>
      </c>
      <c r="X46" s="155">
        <f ca="1">VLOOKUP($C46,$C$33:$Y$36,X$31,FALSE)*$C$42*$A46/8760/1000*VLOOKUP('SC-New'!$C46,Weighting!$A$5:$C$8,MATCH(RIGHT($D46,(LEN($D46)-FIND(",",$D46)-1)),Weighting!$A$5:$C$5,0),FALSE)*Weighting!$B$12</f>
        <v>1.2305705780043539E-3</v>
      </c>
      <c r="Y46" s="155">
        <f t="shared" ca="1" si="16"/>
        <v>1.1679586031550612E-2</v>
      </c>
      <c r="AA46" s="155">
        <f t="shared" ref="AA46:AA55" ca="1" si="18">SUM(E46:X46)</f>
        <v>1.1679586031550612E-2</v>
      </c>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c r="CA46" s="146"/>
      <c r="CB46" s="146"/>
    </row>
    <row r="47" spans="1:80">
      <c r="A47" s="154">
        <f t="shared" si="15"/>
        <v>123.26393620193372</v>
      </c>
      <c r="B47" s="154">
        <f t="shared" si="14"/>
        <v>425.39142370183015</v>
      </c>
      <c r="C47" s="143" t="str">
        <f>C44</f>
        <v>Single Family</v>
      </c>
      <c r="D47" s="143" t="s">
        <v>331</v>
      </c>
      <c r="E47" s="155">
        <f ca="1">VLOOKUP($C47,$C$33:$Y$36,E$31,FALSE)*$C$42*$A47/8760/1000*VLOOKUP('SC-New'!$C47,Weighting!$A$5:$C$8,MATCH(RIGHT($D47,(LEN($D47)-FIND(",",$D47)-1)),Weighting!$A$5:$C$5,0),FALSE)*Weighting!$B$12</f>
        <v>2.8904831905884115E-5</v>
      </c>
      <c r="F47" s="155">
        <f ca="1">VLOOKUP($C47,$C$33:$Y$36,F$31,FALSE)*$C$42*$A47/8760/1000*VLOOKUP('SC-New'!$C47,Weighting!$A$5:$C$8,MATCH(RIGHT($D47,(LEN($D47)-FIND(",",$D47)-1)),Weighting!$A$5:$C$5,0),FALSE)*Weighting!$B$12</f>
        <v>8.2916898775165285E-5</v>
      </c>
      <c r="G47" s="155">
        <f ca="1">VLOOKUP($C47,$C$33:$Y$36,G$31,FALSE)*$C$42*$A47/8760/1000*VLOOKUP('SC-New'!$C47,Weighting!$A$5:$C$8,MATCH(RIGHT($D47,(LEN($D47)-FIND(",",$D47)-1)),Weighting!$A$5:$C$5,0),FALSE)*Weighting!$B$12</f>
        <v>1.7160398305963529E-4</v>
      </c>
      <c r="H47" s="155">
        <f ca="1">VLOOKUP($C47,$C$33:$Y$36,H$31,FALSE)*$C$42*$A47/8760/1000*VLOOKUP('SC-New'!$C47,Weighting!$A$5:$C$8,MATCH(RIGHT($D47,(LEN($D47)-FIND(",",$D47)-1)),Weighting!$A$5:$C$5,0),FALSE)*Weighting!$B$12</f>
        <v>3.1239713962972468E-4</v>
      </c>
      <c r="I47" s="155">
        <f ca="1">VLOOKUP($C47,$C$33:$Y$36,I$31,FALSE)*$C$42*$A47/8760/1000*VLOOKUP('SC-New'!$C47,Weighting!$A$5:$C$8,MATCH(RIGHT($D47,(LEN($D47)-FIND(",",$D47)-1)),Weighting!$A$5:$C$5,0),FALSE)*Weighting!$B$12</f>
        <v>5.2020802826529709E-4</v>
      </c>
      <c r="J47" s="155">
        <f ca="1">VLOOKUP($C47,$C$33:$Y$36,J$31,FALSE)*$C$42*$A47/8760/1000*VLOOKUP('SC-New'!$C47,Weighting!$A$5:$C$8,MATCH(RIGHT($D47,(LEN($D47)-FIND(",",$D47)-1)),Weighting!$A$5:$C$5,0),FALSE)*Weighting!$B$12</f>
        <v>7.9069447039552731E-4</v>
      </c>
      <c r="K47" s="155">
        <f ca="1">VLOOKUP($C47,$C$33:$Y$36,K$31,FALSE)*$C$42*$A47/8760/1000*VLOOKUP('SC-New'!$C47,Weighting!$A$5:$C$8,MATCH(RIGHT($D47,(LEN($D47)-FIND(",",$D47)-1)),Weighting!$A$5:$C$5,0),FALSE)*Weighting!$B$12</f>
        <v>1.1588181385602809E-3</v>
      </c>
      <c r="L47" s="155">
        <f ca="1">VLOOKUP($C47,$C$33:$Y$36,L$31,FALSE)*$C$42*$A47/8760/1000*VLOOKUP('SC-New'!$C47,Weighting!$A$5:$C$8,MATCH(RIGHT($D47,(LEN($D47)-FIND(",",$D47)-1)),Weighting!$A$5:$C$5,0),FALSE)*Weighting!$B$12</f>
        <v>1.6566319635090401E-3</v>
      </c>
      <c r="M47" s="155">
        <f ca="1">VLOOKUP($C47,$C$33:$Y$36,M$31,FALSE)*$C$42*$A47/8760/1000*VLOOKUP('SC-New'!$C47,Weighting!$A$5:$C$8,MATCH(RIGHT($D47,(LEN($D47)-FIND(",",$D47)-1)),Weighting!$A$5:$C$5,0),FALSE)*Weighting!$B$12</f>
        <v>2.2556916050115346E-3</v>
      </c>
      <c r="N47" s="155">
        <f ca="1">VLOOKUP($C47,$C$33:$Y$36,N$31,FALSE)*$C$42*$A47/8760/1000*VLOOKUP('SC-New'!$C47,Weighting!$A$5:$C$8,MATCH(RIGHT($D47,(LEN($D47)-FIND(",",$D47)-1)),Weighting!$A$5:$C$5,0),FALSE)*Weighting!$B$12</f>
        <v>3.0352714642125178E-3</v>
      </c>
      <c r="O47" s="155">
        <f ca="1">VLOOKUP($C47,$C$33:$Y$36,O$31,FALSE)*$C$42*$A47/8760/1000*VLOOKUP('SC-New'!$C47,Weighting!$A$5:$C$8,MATCH(RIGHT($D47,(LEN($D47)-FIND(",",$D47)-1)),Weighting!$A$5:$C$5,0),FALSE)*Weighting!$B$12</f>
        <v>3.8919215476952498E-3</v>
      </c>
      <c r="P47" s="155">
        <f ca="1">VLOOKUP($C47,$C$33:$Y$36,P$31,FALSE)*$C$42*$A47/8760/1000*VLOOKUP('SC-New'!$C47,Weighting!$A$5:$C$8,MATCH(RIGHT($D47,(LEN($D47)-FIND(",",$D47)-1)),Weighting!$A$5:$C$5,0),FALSE)*Weighting!$B$12</f>
        <v>4.7193087512449813E-3</v>
      </c>
      <c r="Q47" s="155">
        <f ca="1">VLOOKUP($C47,$C$33:$Y$36,Q$31,FALSE)*$C$42*$A47/8760/1000*VLOOKUP('SC-New'!$C47,Weighting!$A$5:$C$8,MATCH(RIGHT($D47,(LEN($D47)-FIND(",",$D47)-1)),Weighting!$A$5:$C$5,0),FALSE)*Weighting!$B$12</f>
        <v>5.4519620050822292E-3</v>
      </c>
      <c r="R47" s="155">
        <f ca="1">VLOOKUP($C47,$C$33:$Y$36,R$31,FALSE)*$C$42*$A47/8760/1000*VLOOKUP('SC-New'!$C47,Weighting!$A$5:$C$8,MATCH(RIGHT($D47,(LEN($D47)-FIND(",",$D47)-1)),Weighting!$A$5:$C$5,0),FALSE)*Weighting!$B$12</f>
        <v>6.2669428190824487E-3</v>
      </c>
      <c r="S47" s="155">
        <f ca="1">VLOOKUP($C47,$C$33:$Y$36,S$31,FALSE)*$C$42*$A47/8760/1000*VLOOKUP('SC-New'!$C47,Weighting!$A$5:$C$8,MATCH(RIGHT($D47,(LEN($D47)-FIND(",",$D47)-1)),Weighting!$A$5:$C$5,0),FALSE)*Weighting!$B$12</f>
        <v>7.0599557306053468E-3</v>
      </c>
      <c r="T47" s="155">
        <f ca="1">VLOOKUP($C47,$C$33:$Y$36,T$31,FALSE)*$C$42*$A47/8760/1000*VLOOKUP('SC-New'!$C47,Weighting!$A$5:$C$8,MATCH(RIGHT($D47,(LEN($D47)-FIND(",",$D47)-1)),Weighting!$A$5:$C$5,0),FALSE)*Weighting!$B$12</f>
        <v>7.6133495463508779E-3</v>
      </c>
      <c r="U47" s="155">
        <f ca="1">VLOOKUP($C47,$C$33:$Y$36,U$31,FALSE)*$C$42*$A47/8760/1000*VLOOKUP('SC-New'!$C47,Weighting!$A$5:$C$8,MATCH(RIGHT($D47,(LEN($D47)-FIND(",",$D47)-1)),Weighting!$A$5:$C$5,0),FALSE)*Weighting!$B$12</f>
        <v>7.7832093606920848E-3</v>
      </c>
      <c r="V47" s="155">
        <f ca="1">VLOOKUP($C47,$C$33:$Y$36,V$31,FALSE)*$C$42*$A47/8760/1000*VLOOKUP('SC-New'!$C47,Weighting!$A$5:$C$8,MATCH(RIGHT($D47,(LEN($D47)-FIND(",",$D47)-1)),Weighting!$A$5:$C$5,0),FALSE)*Weighting!$B$12</f>
        <v>8.0562071776145439E-3</v>
      </c>
      <c r="W47" s="155">
        <f ca="1">VLOOKUP($C47,$C$33:$Y$36,W$31,FALSE)*$C$42*$A47/8760/1000*VLOOKUP('SC-New'!$C47,Weighting!$A$5:$C$8,MATCH(RIGHT($D47,(LEN($D47)-FIND(",",$D47)-1)),Weighting!$A$5:$C$5,0),FALSE)*Weighting!$B$12</f>
        <v>8.2525302545220537E-3</v>
      </c>
      <c r="X47" s="155">
        <f ca="1">VLOOKUP($C47,$C$33:$Y$36,X$31,FALSE)*$C$42*$A47/8760/1000*VLOOKUP('SC-New'!$C47,Weighting!$A$5:$C$8,MATCH(RIGHT($D47,(LEN($D47)-FIND(",",$D47)-1)),Weighting!$A$5:$C$5,0),FALSE)*Weighting!$B$12</f>
        <v>8.3934914581070569E-3</v>
      </c>
      <c r="Y47" s="155">
        <f t="shared" ca="1" si="16"/>
        <v>7.750201717432148E-2</v>
      </c>
      <c r="AA47" s="155">
        <f t="shared" ca="1" si="18"/>
        <v>7.750201717432148E-2</v>
      </c>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c r="CA47" s="146"/>
      <c r="CB47" s="146"/>
    </row>
    <row r="48" spans="1:80">
      <c r="A48" s="154">
        <f t="shared" si="15"/>
        <v>123.26393620193372</v>
      </c>
      <c r="B48" s="154">
        <f t="shared" si="14"/>
        <v>367.48174569205361</v>
      </c>
      <c r="C48" s="143" t="str">
        <f>C45</f>
        <v>Multifamily - Low Rise</v>
      </c>
      <c r="D48" s="143" t="s">
        <v>335</v>
      </c>
      <c r="E48" s="155">
        <f ca="1">VLOOKUP($C48,$C$33:$Y$36,E$31,FALSE)*$C$42*$A48/8760/1000*VLOOKUP('SC-New'!$C48,Weighting!$A$5:$C$8,MATCH(RIGHT($D48,(LEN($D48)-FIND(",",$D48)-1)),Weighting!$A$5:$C$5,0),FALSE)*Weighting!$B$12</f>
        <v>9.4183747925785222E-6</v>
      </c>
      <c r="F48" s="155">
        <f ca="1">VLOOKUP($C48,$C$33:$Y$36,F$31,FALSE)*$C$42*$A48/8760/1000*VLOOKUP('SC-New'!$C48,Weighting!$A$5:$C$8,MATCH(RIGHT($D48,(LEN($D48)-FIND(",",$D48)-1)),Weighting!$A$5:$C$5,0),FALSE)*Weighting!$B$12</f>
        <v>2.7926087291735133E-5</v>
      </c>
      <c r="G48" s="155">
        <f ca="1">VLOOKUP($C48,$C$33:$Y$36,G$31,FALSE)*$C$42*$A48/8760/1000*VLOOKUP('SC-New'!$C48,Weighting!$A$5:$C$8,MATCH(RIGHT($D48,(LEN($D48)-FIND(",",$D48)-1)),Weighting!$A$5:$C$5,0),FALSE)*Weighting!$B$12</f>
        <v>6.0431018982235466E-5</v>
      </c>
      <c r="H48" s="155">
        <f ca="1">VLOOKUP($C48,$C$33:$Y$36,H$31,FALSE)*$C$42*$A48/8760/1000*VLOOKUP('SC-New'!$C48,Weighting!$A$5:$C$8,MATCH(RIGHT($D48,(LEN($D48)-FIND(",",$D48)-1)),Weighting!$A$5:$C$5,0),FALSE)*Weighting!$B$12</f>
        <v>1.1009349945090925E-4</v>
      </c>
      <c r="I48" s="155">
        <f ca="1">VLOOKUP($C48,$C$33:$Y$36,I$31,FALSE)*$C$42*$A48/8760/1000*VLOOKUP('SC-New'!$C48,Weighting!$A$5:$C$8,MATCH(RIGHT($D48,(LEN($D48)-FIND(",",$D48)-1)),Weighting!$A$5:$C$5,0),FALSE)*Weighting!$B$12</f>
        <v>1.7757569197396453E-4</v>
      </c>
      <c r="J48" s="155">
        <f ca="1">VLOOKUP($C48,$C$33:$Y$36,J$31,FALSE)*$C$42*$A48/8760/1000*VLOOKUP('SC-New'!$C48,Weighting!$A$5:$C$8,MATCH(RIGHT($D48,(LEN($D48)-FIND(",",$D48)-1)),Weighting!$A$5:$C$5,0),FALSE)*Weighting!$B$12</f>
        <v>2.7310508219472053E-4</v>
      </c>
      <c r="K48" s="155">
        <f ca="1">VLOOKUP($C48,$C$33:$Y$36,K$31,FALSE)*$C$42*$A48/8760/1000*VLOOKUP('SC-New'!$C48,Weighting!$A$5:$C$8,MATCH(RIGHT($D48,(LEN($D48)-FIND(",",$D48)-1)),Weighting!$A$5:$C$5,0),FALSE)*Weighting!$B$12</f>
        <v>4.0798269891300249E-4</v>
      </c>
      <c r="L48" s="155">
        <f ca="1">VLOOKUP($C48,$C$33:$Y$36,L$31,FALSE)*$C$42*$A48/8760/1000*VLOOKUP('SC-New'!$C48,Weighting!$A$5:$C$8,MATCH(RIGHT($D48,(LEN($D48)-FIND(",",$D48)-1)),Weighting!$A$5:$C$5,0),FALSE)*Weighting!$B$12</f>
        <v>5.9694700282262366E-4</v>
      </c>
      <c r="M48" s="155">
        <f ca="1">VLOOKUP($C48,$C$33:$Y$36,M$31,FALSE)*$C$42*$A48/8760/1000*VLOOKUP('SC-New'!$C48,Weighting!$A$5:$C$8,MATCH(RIGHT($D48,(LEN($D48)-FIND(",",$D48)-1)),Weighting!$A$5:$C$5,0),FALSE)*Weighting!$B$12</f>
        <v>8.4126019620016986E-4</v>
      </c>
      <c r="N48" s="155">
        <f ca="1">VLOOKUP($C48,$C$33:$Y$36,N$31,FALSE)*$C$42*$A48/8760/1000*VLOOKUP('SC-New'!$C48,Weighting!$A$5:$C$8,MATCH(RIGHT($D48,(LEN($D48)-FIND(",",$D48)-1)),Weighting!$A$5:$C$5,0),FALSE)*Weighting!$B$12</f>
        <v>1.1424685536189272E-3</v>
      </c>
      <c r="O48" s="155">
        <f ca="1">VLOOKUP($C48,$C$33:$Y$36,O$31,FALSE)*$C$42*$A48/8760/1000*VLOOKUP('SC-New'!$C48,Weighting!$A$5:$C$8,MATCH(RIGHT($D48,(LEN($D48)-FIND(",",$D48)-1)),Weighting!$A$5:$C$5,0),FALSE)*Weighting!$B$12</f>
        <v>1.4608236889009278E-3</v>
      </c>
      <c r="P48" s="155">
        <f ca="1">VLOOKUP($C48,$C$33:$Y$36,P$31,FALSE)*$C$42*$A48/8760/1000*VLOOKUP('SC-New'!$C48,Weighting!$A$5:$C$8,MATCH(RIGHT($D48,(LEN($D48)-FIND(",",$D48)-1)),Weighting!$A$5:$C$5,0),FALSE)*Weighting!$B$12</f>
        <v>1.7949120183350291E-3</v>
      </c>
      <c r="Q48" s="155">
        <f ca="1">VLOOKUP($C48,$C$33:$Y$36,Q$31,FALSE)*$C$42*$A48/8760/1000*VLOOKUP('SC-New'!$C48,Weighting!$A$5:$C$8,MATCH(RIGHT($D48,(LEN($D48)-FIND(",",$D48)-1)),Weighting!$A$5:$C$5,0),FALSE)*Weighting!$B$12</f>
        <v>2.133398715352289E-3</v>
      </c>
      <c r="R48" s="155">
        <f ca="1">VLOOKUP($C48,$C$33:$Y$36,R$31,FALSE)*$C$42*$A48/8760/1000*VLOOKUP('SC-New'!$C48,Weighting!$A$5:$C$8,MATCH(RIGHT($D48,(LEN($D48)-FIND(",",$D48)-1)),Weighting!$A$5:$C$5,0),FALSE)*Weighting!$B$12</f>
        <v>2.4230998394703536E-3</v>
      </c>
      <c r="S48" s="155">
        <f ca="1">VLOOKUP($C48,$C$33:$Y$36,S$31,FALSE)*$C$42*$A48/8760/1000*VLOOKUP('SC-New'!$C48,Weighting!$A$5:$C$8,MATCH(RIGHT($D48,(LEN($D48)-FIND(",",$D48)-1)),Weighting!$A$5:$C$5,0),FALSE)*Weighting!$B$12</f>
        <v>2.6657088545051499E-3</v>
      </c>
      <c r="T48" s="155">
        <f ca="1">VLOOKUP($C48,$C$33:$Y$36,T$31,FALSE)*$C$42*$A48/8760/1000*VLOOKUP('SC-New'!$C48,Weighting!$A$5:$C$8,MATCH(RIGHT($D48,(LEN($D48)-FIND(",",$D48)-1)),Weighting!$A$5:$C$5,0),FALSE)*Weighting!$B$12</f>
        <v>2.8279058199148404E-3</v>
      </c>
      <c r="U48" s="155">
        <f ca="1">VLOOKUP($C48,$C$33:$Y$36,U$31,FALSE)*$C$42*$A48/8760/1000*VLOOKUP('SC-New'!$C48,Weighting!$A$5:$C$8,MATCH(RIGHT($D48,(LEN($D48)-FIND(",",$D48)-1)),Weighting!$A$5:$C$5,0),FALSE)*Weighting!$B$12</f>
        <v>2.9389334335017006E-3</v>
      </c>
      <c r="V48" s="155">
        <f ca="1">VLOOKUP($C48,$C$33:$Y$36,V$31,FALSE)*$C$42*$A48/8760/1000*VLOOKUP('SC-New'!$C48,Weighting!$A$5:$C$8,MATCH(RIGHT($D48,(LEN($D48)-FIND(",",$D48)-1)),Weighting!$A$5:$C$5,0),FALSE)*Weighting!$B$12</f>
        <v>3.0085995512386448E-3</v>
      </c>
      <c r="W48" s="155">
        <f ca="1">VLOOKUP($C48,$C$33:$Y$36,W$31,FALSE)*$C$42*$A48/8760/1000*VLOOKUP('SC-New'!$C48,Weighting!$A$5:$C$8,MATCH(RIGHT($D48,(LEN($D48)-FIND(",",$D48)-1)),Weighting!$A$5:$C$5,0),FALSE)*Weighting!$B$12</f>
        <v>3.0149214784717139E-3</v>
      </c>
      <c r="X48" s="155">
        <f ca="1">VLOOKUP($C48,$C$33:$Y$36,X$31,FALSE)*$C$42*$A48/8760/1000*VLOOKUP('SC-New'!$C48,Weighting!$A$5:$C$8,MATCH(RIGHT($D48,(LEN($D48)-FIND(",",$D48)-1)),Weighting!$A$5:$C$5,0),FALSE)*Weighting!$B$12</f>
        <v>3.0342198084700954E-3</v>
      </c>
      <c r="Y48" s="155">
        <f t="shared" ca="1" si="16"/>
        <v>2.894973141440161E-2</v>
      </c>
      <c r="AA48" s="155">
        <f t="shared" ca="1" si="18"/>
        <v>2.894973141440161E-2</v>
      </c>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c r="CA48" s="146"/>
      <c r="CB48" s="146"/>
    </row>
    <row r="49" spans="1:80">
      <c r="A49" s="154">
        <f t="shared" si="15"/>
        <v>123.26393620193372</v>
      </c>
      <c r="B49" s="154">
        <f t="shared" si="14"/>
        <v>367.48174569205361</v>
      </c>
      <c r="C49" s="143" t="str">
        <f>C46</f>
        <v>Multifamily - High Rise</v>
      </c>
      <c r="D49" s="143" t="s">
        <v>335</v>
      </c>
      <c r="E49" s="155">
        <f ca="1">VLOOKUP($C49,$C$33:$Y$36,E$31,FALSE)*$C$42*$A49/8760/1000*VLOOKUP('SC-New'!$C49,Weighting!$A$5:$C$8,MATCH(RIGHT($D49,(LEN($D49)-FIND(",",$D49)-1)),Weighting!$A$5:$C$5,0),FALSE)*Weighting!$B$12</f>
        <v>3.8058202058345366E-6</v>
      </c>
      <c r="F49" s="155">
        <f ca="1">VLOOKUP($C49,$C$33:$Y$36,F$31,FALSE)*$C$42*$A49/8760/1000*VLOOKUP('SC-New'!$C49,Weighting!$A$5:$C$8,MATCH(RIGHT($D49,(LEN($D49)-FIND(",",$D49)-1)),Weighting!$A$5:$C$5,0),FALSE)*Weighting!$B$12</f>
        <v>1.1443355548784884E-5</v>
      </c>
      <c r="G49" s="155">
        <f ca="1">VLOOKUP($C49,$C$33:$Y$36,G$31,FALSE)*$C$42*$A49/8760/1000*VLOOKUP('SC-New'!$C49,Weighting!$A$5:$C$8,MATCH(RIGHT($D49,(LEN($D49)-FIND(",",$D49)-1)),Weighting!$A$5:$C$5,0),FALSE)*Weighting!$B$12</f>
        <v>2.5135704118790121E-5</v>
      </c>
      <c r="H49" s="155">
        <f ca="1">VLOOKUP($C49,$C$33:$Y$36,H$31,FALSE)*$C$42*$A49/8760/1000*VLOOKUP('SC-New'!$C49,Weighting!$A$5:$C$8,MATCH(RIGHT($D49,(LEN($D49)-FIND(",",$D49)-1)),Weighting!$A$5:$C$5,0),FALSE)*Weighting!$B$12</f>
        <v>4.4736385207804429E-5</v>
      </c>
      <c r="I49" s="155">
        <f ca="1">VLOOKUP($C49,$C$33:$Y$36,I$31,FALSE)*$C$42*$A49/8760/1000*VLOOKUP('SC-New'!$C49,Weighting!$A$5:$C$8,MATCH(RIGHT($D49,(LEN($D49)-FIND(",",$D49)-1)),Weighting!$A$5:$C$5,0),FALSE)*Weighting!$B$12</f>
        <v>7.0760069510604053E-5</v>
      </c>
      <c r="J49" s="155">
        <f ca="1">VLOOKUP($C49,$C$33:$Y$36,J$31,FALSE)*$C$42*$A49/8760/1000*VLOOKUP('SC-New'!$C49,Weighting!$A$5:$C$8,MATCH(RIGHT($D49,(LEN($D49)-FIND(",",$D49)-1)),Weighting!$A$5:$C$5,0),FALSE)*Weighting!$B$12</f>
        <v>1.1045630541331865E-4</v>
      </c>
      <c r="K49" s="155">
        <f ca="1">VLOOKUP($C49,$C$33:$Y$36,K$31,FALSE)*$C$42*$A49/8760/1000*VLOOKUP('SC-New'!$C49,Weighting!$A$5:$C$8,MATCH(RIGHT($D49,(LEN($D49)-FIND(",",$D49)-1)),Weighting!$A$5:$C$5,0),FALSE)*Weighting!$B$12</f>
        <v>1.6549140949580042E-4</v>
      </c>
      <c r="L49" s="155">
        <f ca="1">VLOOKUP($C49,$C$33:$Y$36,L$31,FALSE)*$C$42*$A49/8760/1000*VLOOKUP('SC-New'!$C49,Weighting!$A$5:$C$8,MATCH(RIGHT($D49,(LEN($D49)-FIND(",",$D49)-1)),Weighting!$A$5:$C$5,0),FALSE)*Weighting!$B$12</f>
        <v>2.4515160287842512E-4</v>
      </c>
      <c r="M49" s="155">
        <f ca="1">VLOOKUP($C49,$C$33:$Y$36,M$31,FALSE)*$C$42*$A49/8760/1000*VLOOKUP('SC-New'!$C49,Weighting!$A$5:$C$8,MATCH(RIGHT($D49,(LEN($D49)-FIND(",",$D49)-1)),Weighting!$A$5:$C$5,0),FALSE)*Weighting!$B$12</f>
        <v>3.4305621229205232E-4</v>
      </c>
      <c r="N49" s="155">
        <f ca="1">VLOOKUP($C49,$C$33:$Y$36,N$31,FALSE)*$C$42*$A49/8760/1000*VLOOKUP('SC-New'!$C49,Weighting!$A$5:$C$8,MATCH(RIGHT($D49,(LEN($D49)-FIND(",",$D49)-1)),Weighting!$A$5:$C$5,0),FALSE)*Weighting!$B$12</f>
        <v>4.6583676569640582E-4</v>
      </c>
      <c r="O49" s="155">
        <f ca="1">VLOOKUP($C49,$C$33:$Y$36,O$31,FALSE)*$C$42*$A49/8760/1000*VLOOKUP('SC-New'!$C49,Weighting!$A$5:$C$8,MATCH(RIGHT($D49,(LEN($D49)-FIND(",",$D49)-1)),Weighting!$A$5:$C$5,0),FALSE)*Weighting!$B$12</f>
        <v>5.884744620744081E-4</v>
      </c>
      <c r="P49" s="155">
        <f ca="1">VLOOKUP($C49,$C$33:$Y$36,P$31,FALSE)*$C$42*$A49/8760/1000*VLOOKUP('SC-New'!$C49,Weighting!$A$5:$C$8,MATCH(RIGHT($D49,(LEN($D49)-FIND(",",$D49)-1)),Weighting!$A$5:$C$5,0),FALSE)*Weighting!$B$12</f>
        <v>7.2165890240364337E-4</v>
      </c>
      <c r="Q49" s="155">
        <f ca="1">VLOOKUP($C49,$C$33:$Y$36,Q$31,FALSE)*$C$42*$A49/8760/1000*VLOOKUP('SC-New'!$C49,Weighting!$A$5:$C$8,MATCH(RIGHT($D49,(LEN($D49)-FIND(",",$D49)-1)),Weighting!$A$5:$C$5,0),FALSE)*Weighting!$B$12</f>
        <v>8.5035092839966654E-4</v>
      </c>
      <c r="R49" s="155">
        <f ca="1">VLOOKUP($C49,$C$33:$Y$36,R$31,FALSE)*$C$42*$A49/8760/1000*VLOOKUP('SC-New'!$C49,Weighting!$A$5:$C$8,MATCH(RIGHT($D49,(LEN($D49)-FIND(",",$D49)-1)),Weighting!$A$5:$C$5,0),FALSE)*Weighting!$B$12</f>
        <v>9.7338950767029227E-4</v>
      </c>
      <c r="S49" s="155">
        <f ca="1">VLOOKUP($C49,$C$33:$Y$36,S$31,FALSE)*$C$42*$A49/8760/1000*VLOOKUP('SC-New'!$C49,Weighting!$A$5:$C$8,MATCH(RIGHT($D49,(LEN($D49)-FIND(",",$D49)-1)),Weighting!$A$5:$C$5,0),FALSE)*Weighting!$B$12</f>
        <v>1.0759498952288068E-3</v>
      </c>
      <c r="T49" s="155">
        <f ca="1">VLOOKUP($C49,$C$33:$Y$36,T$31,FALSE)*$C$42*$A49/8760/1000*VLOOKUP('SC-New'!$C49,Weighting!$A$5:$C$8,MATCH(RIGHT($D49,(LEN($D49)-FIND(",",$D49)-1)),Weighting!$A$5:$C$5,0),FALSE)*Weighting!$B$12</f>
        <v>1.140608464257208E-3</v>
      </c>
      <c r="U49" s="155">
        <f ca="1">VLOOKUP($C49,$C$33:$Y$36,U$31,FALSE)*$C$42*$A49/8760/1000*VLOOKUP('SC-New'!$C49,Weighting!$A$5:$C$8,MATCH(RIGHT($D49,(LEN($D49)-FIND(",",$D49)-1)),Weighting!$A$5:$C$5,0),FALSE)*Weighting!$B$12</f>
        <v>1.1868126394976011E-3</v>
      </c>
      <c r="V49" s="155">
        <f ca="1">VLOOKUP($C49,$C$33:$Y$36,V$31,FALSE)*$C$42*$A49/8760/1000*VLOOKUP('SC-New'!$C49,Weighting!$A$5:$C$8,MATCH(RIGHT($D49,(LEN($D49)-FIND(",",$D49)-1)),Weighting!$A$5:$C$5,0),FALSE)*Weighting!$B$12</f>
        <v>1.2022041193539747E-3</v>
      </c>
      <c r="W49" s="155">
        <f ca="1">VLOOKUP($C49,$C$33:$Y$36,W$31,FALSE)*$C$42*$A49/8760/1000*VLOOKUP('SC-New'!$C49,Weighting!$A$5:$C$8,MATCH(RIGHT($D49,(LEN($D49)-FIND(",",$D49)-1)),Weighting!$A$5:$C$5,0),FALSE)*Weighting!$B$12</f>
        <v>1.2236929042928391E-3</v>
      </c>
      <c r="X49" s="155">
        <f ca="1">VLOOKUP($C49,$C$33:$Y$36,X$31,FALSE)*$C$42*$A49/8760/1000*VLOOKUP('SC-New'!$C49,Weighting!$A$5:$C$8,MATCH(RIGHT($D49,(LEN($D49)-FIND(",",$D49)-1)),Weighting!$A$5:$C$5,0),FALSE)*Weighting!$B$12</f>
        <v>1.2305705780043539E-3</v>
      </c>
      <c r="Y49" s="155">
        <f t="shared" ca="1" si="16"/>
        <v>1.1679586031550612E-2</v>
      </c>
      <c r="AA49" s="155">
        <f t="shared" ca="1" si="18"/>
        <v>1.1679586031550612E-2</v>
      </c>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c r="CA49" s="146"/>
      <c r="CB49" s="146"/>
    </row>
    <row r="50" spans="1:80">
      <c r="A50" s="154">
        <f t="shared" si="15"/>
        <v>256.71911903766988</v>
      </c>
      <c r="B50" s="154">
        <f t="shared" si="14"/>
        <v>191.49472963945871</v>
      </c>
      <c r="C50" s="143" t="str">
        <f>C44</f>
        <v>Single Family</v>
      </c>
      <c r="D50" s="143" t="s">
        <v>332</v>
      </c>
      <c r="E50" s="155">
        <f ca="1">VLOOKUP($C50,$C$33:$Y$36,E$31,FALSE)*$C$42*$A50/8760/1000*VLOOKUP('SC-New'!$C50,Weighting!$A$5:$C$8,MATCH(RIGHT($D50,(LEN($D50)-FIND(",",$D50)-1)),Weighting!$A$5:$C$5,0),FALSE)*Weighting!$C$12</f>
        <v>9.3447000195058202E-4</v>
      </c>
      <c r="F50" s="155">
        <f ca="1">VLOOKUP($C50,$C$33:$Y$36,F$31,FALSE)*$C$42*$A50/8760/1000*VLOOKUP('SC-New'!$C50,Weighting!$A$5:$C$8,MATCH(RIGHT($D50,(LEN($D50)-FIND(",",$D50)-1)),Weighting!$A$5:$C$5,0),FALSE)*Weighting!$C$12</f>
        <v>2.6806367465638755E-3</v>
      </c>
      <c r="G50" s="155">
        <f ca="1">VLOOKUP($C50,$C$33:$Y$36,G$31,FALSE)*$C$42*$A50/8760/1000*VLOOKUP('SC-New'!$C50,Weighting!$A$5:$C$8,MATCH(RIGHT($D50,(LEN($D50)-FIND(",",$D50)-1)),Weighting!$A$5:$C$5,0),FALSE)*Weighting!$C$12</f>
        <v>5.5478189565883957E-3</v>
      </c>
      <c r="H50" s="155">
        <f ca="1">VLOOKUP($C50,$C$33:$Y$36,H$31,FALSE)*$C$42*$A50/8760/1000*VLOOKUP('SC-New'!$C50,Weighting!$A$5:$C$8,MATCH(RIGHT($D50,(LEN($D50)-FIND(",",$D50)-1)),Weighting!$A$5:$C$5,0),FALSE)*Weighting!$C$12</f>
        <v>1.0099548637047016E-2</v>
      </c>
      <c r="I50" s="155">
        <f ca="1">VLOOKUP($C50,$C$33:$Y$36,I$31,FALSE)*$C$42*$A50/8760/1000*VLOOKUP('SC-New'!$C50,Weighting!$A$5:$C$8,MATCH(RIGHT($D50,(LEN($D50)-FIND(",",$D50)-1)),Weighting!$A$5:$C$5,0),FALSE)*Weighting!$C$12</f>
        <v>1.6817907773019152E-2</v>
      </c>
      <c r="J50" s="155">
        <f ca="1">VLOOKUP($C50,$C$33:$Y$36,J$31,FALSE)*$C$42*$A50/8760/1000*VLOOKUP('SC-New'!$C50,Weighting!$A$5:$C$8,MATCH(RIGHT($D50,(LEN($D50)-FIND(",",$D50)-1)),Weighting!$A$5:$C$5,0),FALSE)*Weighting!$C$12</f>
        <v>2.5562517218528088E-2</v>
      </c>
      <c r="K50" s="155">
        <f ca="1">VLOOKUP($C50,$C$33:$Y$36,K$31,FALSE)*$C$42*$A50/8760/1000*VLOOKUP('SC-New'!$C50,Weighting!$A$5:$C$8,MATCH(RIGHT($D50,(LEN($D50)-FIND(",",$D50)-1)),Weighting!$A$5:$C$5,0),FALSE)*Weighting!$C$12</f>
        <v>3.7463659768952155E-2</v>
      </c>
      <c r="L50" s="155">
        <f ca="1">VLOOKUP($C50,$C$33:$Y$36,L$31,FALSE)*$C$42*$A50/8760/1000*VLOOKUP('SC-New'!$C50,Weighting!$A$5:$C$8,MATCH(RIGHT($D50,(LEN($D50)-FIND(",",$D50)-1)),Weighting!$A$5:$C$5,0),FALSE)*Weighting!$C$12</f>
        <v>5.3557580933606824E-2</v>
      </c>
      <c r="M50" s="155">
        <f ca="1">VLOOKUP($C50,$C$33:$Y$36,M$31,FALSE)*$C$42*$A50/8760/1000*VLOOKUP('SC-New'!$C50,Weighting!$A$5:$C$8,MATCH(RIGHT($D50,(LEN($D50)-FIND(",",$D50)-1)),Weighting!$A$5:$C$5,0),FALSE)*Weighting!$C$12</f>
        <v>7.2924698036591698E-2</v>
      </c>
      <c r="N50" s="155">
        <f ca="1">VLOOKUP($C50,$C$33:$Y$36,N$31,FALSE)*$C$42*$A50/8760/1000*VLOOKUP('SC-New'!$C50,Weighting!$A$5:$C$8,MATCH(RIGHT($D50,(LEN($D50)-FIND(",",$D50)-1)),Weighting!$A$5:$C$5,0),FALSE)*Weighting!$C$12</f>
        <v>9.8127888801381388E-2</v>
      </c>
      <c r="O50" s="155">
        <f ca="1">VLOOKUP($C50,$C$33:$Y$36,O$31,FALSE)*$C$42*$A50/8760/1000*VLOOKUP('SC-New'!$C50,Weighting!$A$5:$C$8,MATCH(RIGHT($D50,(LEN($D50)-FIND(",",$D50)-1)),Weighting!$A$5:$C$5,0),FALSE)*Weighting!$C$12</f>
        <v>0.12582269802184654</v>
      </c>
      <c r="P50" s="155">
        <f ca="1">VLOOKUP($C50,$C$33:$Y$36,P$31,FALSE)*$C$42*$A50/8760/1000*VLOOKUP('SC-New'!$C50,Weighting!$A$5:$C$8,MATCH(RIGHT($D50,(LEN($D50)-FIND(",",$D50)-1)),Weighting!$A$5:$C$5,0),FALSE)*Weighting!$C$12</f>
        <v>0.15257146183519396</v>
      </c>
      <c r="Q50" s="155">
        <f ca="1">VLOOKUP($C50,$C$33:$Y$36,Q$31,FALSE)*$C$42*$A50/8760/1000*VLOOKUP('SC-New'!$C50,Weighting!$A$5:$C$8,MATCH(RIGHT($D50,(LEN($D50)-FIND(",",$D50)-1)),Weighting!$A$5:$C$5,0),FALSE)*Weighting!$C$12</f>
        <v>0.17625755313548697</v>
      </c>
      <c r="R50" s="155">
        <f ca="1">VLOOKUP($C50,$C$33:$Y$36,R$31,FALSE)*$C$42*$A50/8760/1000*VLOOKUP('SC-New'!$C50,Weighting!$A$5:$C$8,MATCH(RIGHT($D50,(LEN($D50)-FIND(",",$D50)-1)),Weighting!$A$5:$C$5,0),FALSE)*Weighting!$C$12</f>
        <v>0.20260522833831146</v>
      </c>
      <c r="S50" s="155">
        <f ca="1">VLOOKUP($C50,$C$33:$Y$36,S$31,FALSE)*$C$42*$A50/8760/1000*VLOOKUP('SC-New'!$C50,Weighting!$A$5:$C$8,MATCH(RIGHT($D50,(LEN($D50)-FIND(",",$D50)-1)),Weighting!$A$5:$C$5,0),FALSE)*Weighting!$C$12</f>
        <v>0.22824269889653964</v>
      </c>
      <c r="T50" s="155">
        <f ca="1">VLOOKUP($C50,$C$33:$Y$36,T$31,FALSE)*$C$42*$A50/8760/1000*VLOOKUP('SC-New'!$C50,Weighting!$A$5:$C$8,MATCH(RIGHT($D50,(LEN($D50)-FIND(",",$D50)-1)),Weighting!$A$5:$C$5,0),FALSE)*Weighting!$C$12</f>
        <v>0.24613347652717846</v>
      </c>
      <c r="U50" s="155">
        <f ca="1">VLOOKUP($C50,$C$33:$Y$36,U$31,FALSE)*$C$42*$A50/8760/1000*VLOOKUP('SC-New'!$C50,Weighting!$A$5:$C$8,MATCH(RIGHT($D50,(LEN($D50)-FIND(",",$D50)-1)),Weighting!$A$5:$C$5,0),FALSE)*Weighting!$C$12</f>
        <v>0.25162490790984771</v>
      </c>
      <c r="V50" s="155">
        <f ca="1">VLOOKUP($C50,$C$33:$Y$36,V$31,FALSE)*$C$42*$A50/8760/1000*VLOOKUP('SC-New'!$C50,Weighting!$A$5:$C$8,MATCH(RIGHT($D50,(LEN($D50)-FIND(",",$D50)-1)),Weighting!$A$5:$C$5,0),FALSE)*Weighting!$C$12</f>
        <v>0.26045070808549597</v>
      </c>
      <c r="W50" s="155">
        <f ca="1">VLOOKUP($C50,$C$33:$Y$36,W$31,FALSE)*$C$42*$A50/8760/1000*VLOOKUP('SC-New'!$C50,Weighting!$A$5:$C$8,MATCH(RIGHT($D50,(LEN($D50)-FIND(",",$D50)-1)),Weighting!$A$5:$C$5,0),FALSE)*Weighting!$C$12</f>
        <v>0.26679767549419969</v>
      </c>
      <c r="X50" s="155">
        <f ca="1">VLOOKUP($C50,$C$33:$Y$36,X$31,FALSE)*$C$42*$A50/8760/1000*VLOOKUP('SC-New'!$C50,Weighting!$A$5:$C$8,MATCH(RIGHT($D50,(LEN($D50)-FIND(",",$D50)-1)),Weighting!$A$5:$C$5,0),FALSE)*Weighting!$C$12</f>
        <v>0.2713548379996914</v>
      </c>
      <c r="Y50" s="155">
        <f t="shared" ca="1" si="16"/>
        <v>2.505577973118021</v>
      </c>
      <c r="AA50" s="155">
        <f t="shared" ca="1" si="18"/>
        <v>2.505577973118021</v>
      </c>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c r="CA50" s="146"/>
      <c r="CB50" s="146"/>
    </row>
    <row r="51" spans="1:80">
      <c r="A51" s="154">
        <f t="shared" si="15"/>
        <v>256.71911903766988</v>
      </c>
      <c r="B51" s="154">
        <f t="shared" si="14"/>
        <v>153.66426901335223</v>
      </c>
      <c r="C51" s="143" t="str">
        <f>C45</f>
        <v>Multifamily - Low Rise</v>
      </c>
      <c r="D51" s="143" t="s">
        <v>336</v>
      </c>
      <c r="E51" s="155">
        <f ca="1">VLOOKUP($C51,$C$33:$Y$36,E$31,FALSE)*$C$42*$A51/8760/1000*VLOOKUP('SC-New'!$C51,Weighting!$A$5:$C$8,MATCH(RIGHT($D51,(LEN($D51)-FIND(",",$D51)-1)),Weighting!$A$5:$C$5,0),FALSE)*Weighting!$C$12</f>
        <v>3.3246162888090432E-4</v>
      </c>
      <c r="F51" s="155">
        <f ca="1">VLOOKUP($C51,$C$33:$Y$36,F$31,FALSE)*$C$42*$A51/8760/1000*VLOOKUP('SC-New'!$C51,Weighting!$A$5:$C$8,MATCH(RIGHT($D51,(LEN($D51)-FIND(",",$D51)-1)),Weighting!$A$5:$C$5,0),FALSE)*Weighting!$C$12</f>
        <v>9.8577012210179327E-4</v>
      </c>
      <c r="G51" s="155">
        <f ca="1">VLOOKUP($C51,$C$33:$Y$36,G$31,FALSE)*$C$42*$A51/8760/1000*VLOOKUP('SC-New'!$C51,Weighting!$A$5:$C$8,MATCH(RIGHT($D51,(LEN($D51)-FIND(",",$D51)-1)),Weighting!$A$5:$C$5,0),FALSE)*Weighting!$C$12</f>
        <v>2.1331700477239578E-3</v>
      </c>
      <c r="H51" s="155">
        <f ca="1">VLOOKUP($C51,$C$33:$Y$36,H$31,FALSE)*$C$42*$A51/8760/1000*VLOOKUP('SC-New'!$C51,Weighting!$A$5:$C$8,MATCH(RIGHT($D51,(LEN($D51)-FIND(",",$D51)-1)),Weighting!$A$5:$C$5,0),FALSE)*Weighting!$C$12</f>
        <v>3.8862186908817558E-3</v>
      </c>
      <c r="I51" s="155">
        <f ca="1">VLOOKUP($C51,$C$33:$Y$36,I$31,FALSE)*$C$42*$A51/8760/1000*VLOOKUP('SC-New'!$C51,Weighting!$A$5:$C$8,MATCH(RIGHT($D51,(LEN($D51)-FIND(",",$D51)-1)),Weighting!$A$5:$C$5,0),FALSE)*Weighting!$C$12</f>
        <v>6.2682899229958384E-3</v>
      </c>
      <c r="J51" s="155">
        <f ca="1">VLOOKUP($C51,$C$33:$Y$36,J$31,FALSE)*$C$42*$A51/8760/1000*VLOOKUP('SC-New'!$C51,Weighting!$A$5:$C$8,MATCH(RIGHT($D51,(LEN($D51)-FIND(",",$D51)-1)),Weighting!$A$5:$C$5,0),FALSE)*Weighting!$C$12</f>
        <v>9.6404063845129742E-3</v>
      </c>
      <c r="K51" s="155">
        <f ca="1">VLOOKUP($C51,$C$33:$Y$36,K$31,FALSE)*$C$42*$A51/8760/1000*VLOOKUP('SC-New'!$C51,Weighting!$A$5:$C$8,MATCH(RIGHT($D51,(LEN($D51)-FIND(",",$D51)-1)),Weighting!$A$5:$C$5,0),FALSE)*Weighting!$C$12</f>
        <v>1.4401485991269392E-2</v>
      </c>
      <c r="L51" s="155">
        <f ca="1">VLOOKUP($C51,$C$33:$Y$36,L$31,FALSE)*$C$42*$A51/8760/1000*VLOOKUP('SC-New'!$C51,Weighting!$A$5:$C$8,MATCH(RIGHT($D51,(LEN($D51)-FIND(",",$D51)-1)),Weighting!$A$5:$C$5,0),FALSE)*Weighting!$C$12</f>
        <v>2.1071785449690007E-2</v>
      </c>
      <c r="M51" s="155">
        <f ca="1">VLOOKUP($C51,$C$33:$Y$36,M$31,FALSE)*$C$42*$A51/8760/1000*VLOOKUP('SC-New'!$C51,Weighting!$A$5:$C$8,MATCH(RIGHT($D51,(LEN($D51)-FIND(",",$D51)-1)),Weighting!$A$5:$C$5,0),FALSE)*Weighting!$C$12</f>
        <v>2.9695859561860369E-2</v>
      </c>
      <c r="N51" s="155">
        <f ca="1">VLOOKUP($C51,$C$33:$Y$36,N$31,FALSE)*$C$42*$A51/8760/1000*VLOOKUP('SC-New'!$C51,Weighting!$A$5:$C$8,MATCH(RIGHT($D51,(LEN($D51)-FIND(",",$D51)-1)),Weighting!$A$5:$C$5,0),FALSE)*Weighting!$C$12</f>
        <v>4.0328290670769949E-2</v>
      </c>
      <c r="O51" s="155">
        <f ca="1">VLOOKUP($C51,$C$33:$Y$36,O$31,FALSE)*$C$42*$A51/8760/1000*VLOOKUP('SC-New'!$C51,Weighting!$A$5:$C$8,MATCH(RIGHT($D51,(LEN($D51)-FIND(",",$D51)-1)),Weighting!$A$5:$C$5,0),FALSE)*Weighting!$C$12</f>
        <v>5.1565990291924851E-2</v>
      </c>
      <c r="P51" s="155">
        <f ca="1">VLOOKUP($C51,$C$33:$Y$36,P$31,FALSE)*$C$42*$A51/8760/1000*VLOOKUP('SC-New'!$C51,Weighting!$A$5:$C$8,MATCH(RIGHT($D51,(LEN($D51)-FIND(",",$D51)-1)),Weighting!$A$5:$C$5,0),FALSE)*Weighting!$C$12</f>
        <v>6.3359059971131448E-2</v>
      </c>
      <c r="Q51" s="155">
        <f ca="1">VLOOKUP($C51,$C$33:$Y$36,Q$31,FALSE)*$C$42*$A51/8760/1000*VLOOKUP('SC-New'!$C51,Weighting!$A$5:$C$8,MATCH(RIGHT($D51,(LEN($D51)-FIND(",",$D51)-1)),Weighting!$A$5:$C$5,0),FALSE)*Weighting!$C$12</f>
        <v>7.5307388756427784E-2</v>
      </c>
      <c r="R51" s="155">
        <f ca="1">VLOOKUP($C51,$C$33:$Y$36,R$31,FALSE)*$C$42*$A51/8760/1000*VLOOKUP('SC-New'!$C51,Weighting!$A$5:$C$8,MATCH(RIGHT($D51,(LEN($D51)-FIND(",",$D51)-1)),Weighting!$A$5:$C$5,0),FALSE)*Weighting!$C$12</f>
        <v>8.5533623083905858E-2</v>
      </c>
      <c r="S51" s="155">
        <f ca="1">VLOOKUP($C51,$C$33:$Y$36,S$31,FALSE)*$C$42*$A51/8760/1000*VLOOKUP('SC-New'!$C51,Weighting!$A$5:$C$8,MATCH(RIGHT($D51,(LEN($D51)-FIND(",",$D51)-1)),Weighting!$A$5:$C$5,0),FALSE)*Weighting!$C$12</f>
        <v>9.4097540967404927E-2</v>
      </c>
      <c r="T51" s="155">
        <f ca="1">VLOOKUP($C51,$C$33:$Y$36,T$31,FALSE)*$C$42*$A51/8760/1000*VLOOKUP('SC-New'!$C51,Weighting!$A$5:$C$8,MATCH(RIGHT($D51,(LEN($D51)-FIND(",",$D51)-1)),Weighting!$A$5:$C$5,0),FALSE)*Weighting!$C$12</f>
        <v>9.9822973274700313E-2</v>
      </c>
      <c r="U51" s="155">
        <f ca="1">VLOOKUP($C51,$C$33:$Y$36,U$31,FALSE)*$C$42*$A51/8760/1000*VLOOKUP('SC-New'!$C51,Weighting!$A$5:$C$8,MATCH(RIGHT($D51,(LEN($D51)-FIND(",",$D51)-1)),Weighting!$A$5:$C$5,0),FALSE)*Weighting!$C$12</f>
        <v>0.10374216550019269</v>
      </c>
      <c r="V51" s="155">
        <f ca="1">VLOOKUP($C51,$C$33:$Y$36,V$31,FALSE)*$C$42*$A51/8760/1000*VLOOKUP('SC-New'!$C51,Weighting!$A$5:$C$8,MATCH(RIGHT($D51,(LEN($D51)-FIND(",",$D51)-1)),Weighting!$A$5:$C$5,0),FALSE)*Weighting!$C$12</f>
        <v>0.10620132766890188</v>
      </c>
      <c r="W51" s="155">
        <f ca="1">VLOOKUP($C51,$C$33:$Y$36,W$31,FALSE)*$C$42*$A51/8760/1000*VLOOKUP('SC-New'!$C51,Weighting!$A$5:$C$8,MATCH(RIGHT($D51,(LEN($D51)-FIND(",",$D51)-1)),Weighting!$A$5:$C$5,0),FALSE)*Weighting!$C$12</f>
        <v>0.10642448700072513</v>
      </c>
      <c r="X51" s="155">
        <f ca="1">VLOOKUP($C51,$C$33:$Y$36,X$31,FALSE)*$C$42*$A51/8760/1000*VLOOKUP('SC-New'!$C51,Weighting!$A$5:$C$8,MATCH(RIGHT($D51,(LEN($D51)-FIND(",",$D51)-1)),Weighting!$A$5:$C$5,0),FALSE)*Weighting!$C$12</f>
        <v>0.10710570370395071</v>
      </c>
      <c r="Y51" s="155">
        <f t="shared" ca="1" si="16"/>
        <v>1.0219039986899525</v>
      </c>
      <c r="AA51" s="155">
        <f t="shared" ca="1" si="18"/>
        <v>1.0219039986899525</v>
      </c>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c r="CA51" s="146"/>
      <c r="CB51" s="146"/>
    </row>
    <row r="52" spans="1:80">
      <c r="A52" s="154">
        <f t="shared" si="15"/>
        <v>256.71911903766988</v>
      </c>
      <c r="B52" s="154">
        <f t="shared" si="14"/>
        <v>153.66426901335223</v>
      </c>
      <c r="C52" s="143" t="str">
        <f>C46</f>
        <v>Multifamily - High Rise</v>
      </c>
      <c r="D52" s="143" t="s">
        <v>336</v>
      </c>
      <c r="E52" s="155">
        <f ca="1">VLOOKUP($C52,$C$33:$Y$36,E$31,FALSE)*$C$42*$A52/8760/1000*VLOOKUP('SC-New'!$C52,Weighting!$A$5:$C$8,MATCH(RIGHT($D52,(LEN($D52)-FIND(",",$D52)-1)),Weighting!$A$5:$C$5,0),FALSE)*Weighting!$C$12</f>
        <v>1.3434262414961756E-4</v>
      </c>
      <c r="F52" s="155">
        <f ca="1">VLOOKUP($C52,$C$33:$Y$36,F$31,FALSE)*$C$42*$A52/8760/1000*VLOOKUP('SC-New'!$C52,Weighting!$A$5:$C$8,MATCH(RIGHT($D52,(LEN($D52)-FIND(",",$D52)-1)),Weighting!$A$5:$C$5,0),FALSE)*Weighting!$C$12</f>
        <v>4.0394194427367688E-4</v>
      </c>
      <c r="G52" s="155">
        <f ca="1">VLOOKUP($C52,$C$33:$Y$36,G$31,FALSE)*$C$42*$A52/8760/1000*VLOOKUP('SC-New'!$C52,Weighting!$A$5:$C$8,MATCH(RIGHT($D52,(LEN($D52)-FIND(",",$D52)-1)),Weighting!$A$5:$C$5,0),FALSE)*Weighting!$C$12</f>
        <v>8.8727167037207775E-4</v>
      </c>
      <c r="H52" s="155">
        <f ca="1">VLOOKUP($C52,$C$33:$Y$36,H$31,FALSE)*$C$42*$A52/8760/1000*VLOOKUP('SC-New'!$C52,Weighting!$A$5:$C$8,MATCH(RIGHT($D52,(LEN($D52)-FIND(",",$D52)-1)),Weighting!$A$5:$C$5,0),FALSE)*Weighting!$C$12</f>
        <v>1.5791611423395426E-3</v>
      </c>
      <c r="I52" s="155">
        <f ca="1">VLOOKUP($C52,$C$33:$Y$36,I$31,FALSE)*$C$42*$A52/8760/1000*VLOOKUP('SC-New'!$C52,Weighting!$A$5:$C$8,MATCH(RIGHT($D52,(LEN($D52)-FIND(",",$D52)-1)),Weighting!$A$5:$C$5,0),FALSE)*Weighting!$C$12</f>
        <v>2.4977778531131123E-3</v>
      </c>
      <c r="J52" s="155">
        <f ca="1">VLOOKUP($C52,$C$33:$Y$36,J$31,FALSE)*$C$42*$A52/8760/1000*VLOOKUP('SC-New'!$C52,Weighting!$A$5:$C$8,MATCH(RIGHT($D52,(LEN($D52)-FIND(",",$D52)-1)),Weighting!$A$5:$C$5,0),FALSE)*Weighting!$C$12</f>
        <v>3.8990254716572853E-3</v>
      </c>
      <c r="K52" s="155">
        <f ca="1">VLOOKUP($C52,$C$33:$Y$36,K$31,FALSE)*$C$42*$A52/8760/1000*VLOOKUP('SC-New'!$C52,Weighting!$A$5:$C$8,MATCH(RIGHT($D52,(LEN($D52)-FIND(",",$D52)-1)),Weighting!$A$5:$C$5,0),FALSE)*Weighting!$C$12</f>
        <v>5.8417237345581938E-3</v>
      </c>
      <c r="L52" s="155">
        <f ca="1">VLOOKUP($C52,$C$33:$Y$36,L$31,FALSE)*$C$42*$A52/8760/1000*VLOOKUP('SC-New'!$C52,Weighting!$A$5:$C$8,MATCH(RIGHT($D52,(LEN($D52)-FIND(",",$D52)-1)),Weighting!$A$5:$C$5,0),FALSE)*Weighting!$C$12</f>
        <v>8.653669344306494E-3</v>
      </c>
      <c r="M52" s="155">
        <f ca="1">VLOOKUP($C52,$C$33:$Y$36,M$31,FALSE)*$C$42*$A52/8760/1000*VLOOKUP('SC-New'!$C52,Weighting!$A$5:$C$8,MATCH(RIGHT($D52,(LEN($D52)-FIND(",",$D52)-1)),Weighting!$A$5:$C$5,0),FALSE)*Weighting!$C$12</f>
        <v>1.2109629277675418E-2</v>
      </c>
      <c r="N52" s="155">
        <f ca="1">VLOOKUP($C52,$C$33:$Y$36,N$31,FALSE)*$C$42*$A52/8760/1000*VLOOKUP('SC-New'!$C52,Weighting!$A$5:$C$8,MATCH(RIGHT($D52,(LEN($D52)-FIND(",",$D52)-1)),Weighting!$A$5:$C$5,0),FALSE)*Weighting!$C$12</f>
        <v>1.6443691541992544E-2</v>
      </c>
      <c r="O52" s="155">
        <f ca="1">VLOOKUP($C52,$C$33:$Y$36,O$31,FALSE)*$C$42*$A52/8760/1000*VLOOKUP('SC-New'!$C52,Weighting!$A$5:$C$8,MATCH(RIGHT($D52,(LEN($D52)-FIND(",",$D52)-1)),Weighting!$A$5:$C$5,0),FALSE)*Weighting!$C$12</f>
        <v>2.0772711059474491E-2</v>
      </c>
      <c r="P52" s="155">
        <f ca="1">VLOOKUP($C52,$C$33:$Y$36,P$31,FALSE)*$C$42*$A52/8760/1000*VLOOKUP('SC-New'!$C52,Weighting!$A$5:$C$8,MATCH(RIGHT($D52,(LEN($D52)-FIND(",",$D52)-1)),Weighting!$A$5:$C$5,0),FALSE)*Weighting!$C$12</f>
        <v>2.5474022798346877E-2</v>
      </c>
      <c r="Q52" s="155">
        <f ca="1">VLOOKUP($C52,$C$33:$Y$36,Q$31,FALSE)*$C$42*$A52/8760/1000*VLOOKUP('SC-New'!$C52,Weighting!$A$5:$C$8,MATCH(RIGHT($D52,(LEN($D52)-FIND(",",$D52)-1)),Weighting!$A$5:$C$5,0),FALSE)*Weighting!$C$12</f>
        <v>3.0016755650763761E-2</v>
      </c>
      <c r="R52" s="155">
        <f ca="1">VLOOKUP($C52,$C$33:$Y$36,R$31,FALSE)*$C$42*$A52/8760/1000*VLOOKUP('SC-New'!$C52,Weighting!$A$5:$C$8,MATCH(RIGHT($D52,(LEN($D52)-FIND(",",$D52)-1)),Weighting!$A$5:$C$5,0),FALSE)*Weighting!$C$12</f>
        <v>3.4359926036352711E-2</v>
      </c>
      <c r="S52" s="155">
        <f ca="1">VLOOKUP($C52,$C$33:$Y$36,S$31,FALSE)*$C$42*$A52/8760/1000*VLOOKUP('SC-New'!$C52,Weighting!$A$5:$C$8,MATCH(RIGHT($D52,(LEN($D52)-FIND(",",$D52)-1)),Weighting!$A$5:$C$5,0),FALSE)*Weighting!$C$12</f>
        <v>3.7980231477290204E-2</v>
      </c>
      <c r="T52" s="155">
        <f ca="1">VLOOKUP($C52,$C$33:$Y$36,T$31,FALSE)*$C$42*$A52/8760/1000*VLOOKUP('SC-New'!$C52,Weighting!$A$5:$C$8,MATCH(RIGHT($D52,(LEN($D52)-FIND(",",$D52)-1)),Weighting!$A$5:$C$5,0),FALSE)*Weighting!$C$12</f>
        <v>4.0262630899027964E-2</v>
      </c>
      <c r="U52" s="155">
        <f ca="1">VLOOKUP($C52,$C$33:$Y$36,U$31,FALSE)*$C$42*$A52/8760/1000*VLOOKUP('SC-New'!$C52,Weighting!$A$5:$C$8,MATCH(RIGHT($D52,(LEN($D52)-FIND(",",$D52)-1)),Weighting!$A$5:$C$5,0),FALSE)*Weighting!$C$12</f>
        <v>4.1893603938413057E-2</v>
      </c>
      <c r="V52" s="155">
        <f ca="1">VLOOKUP($C52,$C$33:$Y$36,V$31,FALSE)*$C$42*$A52/8760/1000*VLOOKUP('SC-New'!$C52,Weighting!$A$5:$C$8,MATCH(RIGHT($D52,(LEN($D52)-FIND(",",$D52)-1)),Weighting!$A$5:$C$5,0),FALSE)*Weighting!$C$12</f>
        <v>4.2436911735844282E-2</v>
      </c>
      <c r="W52" s="155">
        <f ca="1">VLOOKUP($C52,$C$33:$Y$36,W$31,FALSE)*$C$42*$A52/8760/1000*VLOOKUP('SC-New'!$C52,Weighting!$A$5:$C$8,MATCH(RIGHT($D52,(LEN($D52)-FIND(",",$D52)-1)),Weighting!$A$5:$C$5,0),FALSE)*Weighting!$C$12</f>
        <v>4.3195449870159747E-2</v>
      </c>
      <c r="X52" s="155">
        <f ca="1">VLOOKUP($C52,$C$33:$Y$36,X$31,FALSE)*$C$42*$A52/8760/1000*VLOOKUP('SC-New'!$C52,Weighting!$A$5:$C$8,MATCH(RIGHT($D52,(LEN($D52)-FIND(",",$D52)-1)),Weighting!$A$5:$C$5,0),FALSE)*Weighting!$C$12</f>
        <v>4.3438226639549236E-2</v>
      </c>
      <c r="Y52" s="155">
        <f t="shared" ca="1" si="16"/>
        <v>0.41228070470966027</v>
      </c>
      <c r="AA52" s="155">
        <f t="shared" ca="1" si="18"/>
        <v>0.41228070470966027</v>
      </c>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c r="CA52" s="146"/>
      <c r="CB52" s="146"/>
    </row>
    <row r="53" spans="1:80">
      <c r="A53" s="154">
        <f t="shared" si="15"/>
        <v>123.26393620193372</v>
      </c>
      <c r="B53" s="154">
        <f t="shared" si="14"/>
        <v>409.7280330471188</v>
      </c>
      <c r="C53" s="143" t="str">
        <f>C44</f>
        <v>Single Family</v>
      </c>
      <c r="D53" s="143" t="s">
        <v>333</v>
      </c>
      <c r="E53" s="155">
        <f ca="1">VLOOKUP($C53,$C$33:$Y$36,E$31,FALSE)*$C$42*$A53/8760/1000*VLOOKUP('SC-New'!$C53,Weighting!$A$5:$C$8,MATCH(RIGHT($D53,(LEN($D53)-FIND(",",$D53)-1)),Weighting!$A$5:$C$5,0),FALSE)*Weighting!$C$12</f>
        <v>2.8904831905884115E-5</v>
      </c>
      <c r="F53" s="155">
        <f ca="1">VLOOKUP($C53,$C$33:$Y$36,F$31,FALSE)*$C$42*$A53/8760/1000*VLOOKUP('SC-New'!$C53,Weighting!$A$5:$C$8,MATCH(RIGHT($D53,(LEN($D53)-FIND(",",$D53)-1)),Weighting!$A$5:$C$5,0),FALSE)*Weighting!$C$12</f>
        <v>8.2916898775165285E-5</v>
      </c>
      <c r="G53" s="155">
        <f ca="1">VLOOKUP($C53,$C$33:$Y$36,G$31,FALSE)*$C$42*$A53/8760/1000*VLOOKUP('SC-New'!$C53,Weighting!$A$5:$C$8,MATCH(RIGHT($D53,(LEN($D53)-FIND(",",$D53)-1)),Weighting!$A$5:$C$5,0),FALSE)*Weighting!$C$12</f>
        <v>1.7160398305963529E-4</v>
      </c>
      <c r="H53" s="155">
        <f ca="1">VLOOKUP($C53,$C$33:$Y$36,H$31,FALSE)*$C$42*$A53/8760/1000*VLOOKUP('SC-New'!$C53,Weighting!$A$5:$C$8,MATCH(RIGHT($D53,(LEN($D53)-FIND(",",$D53)-1)),Weighting!$A$5:$C$5,0),FALSE)*Weighting!$C$12</f>
        <v>3.1239713962972468E-4</v>
      </c>
      <c r="I53" s="155">
        <f ca="1">VLOOKUP($C53,$C$33:$Y$36,I$31,FALSE)*$C$42*$A53/8760/1000*VLOOKUP('SC-New'!$C53,Weighting!$A$5:$C$8,MATCH(RIGHT($D53,(LEN($D53)-FIND(",",$D53)-1)),Weighting!$A$5:$C$5,0),FALSE)*Weighting!$C$12</f>
        <v>5.2020802826529709E-4</v>
      </c>
      <c r="J53" s="155">
        <f ca="1">VLOOKUP($C53,$C$33:$Y$36,J$31,FALSE)*$C$42*$A53/8760/1000*VLOOKUP('SC-New'!$C53,Weighting!$A$5:$C$8,MATCH(RIGHT($D53,(LEN($D53)-FIND(",",$D53)-1)),Weighting!$A$5:$C$5,0),FALSE)*Weighting!$C$12</f>
        <v>7.9069447039552731E-4</v>
      </c>
      <c r="K53" s="155">
        <f ca="1">VLOOKUP($C53,$C$33:$Y$36,K$31,FALSE)*$C$42*$A53/8760/1000*VLOOKUP('SC-New'!$C53,Weighting!$A$5:$C$8,MATCH(RIGHT($D53,(LEN($D53)-FIND(",",$D53)-1)),Weighting!$A$5:$C$5,0),FALSE)*Weighting!$C$12</f>
        <v>1.1588181385602809E-3</v>
      </c>
      <c r="L53" s="155">
        <f ca="1">VLOOKUP($C53,$C$33:$Y$36,L$31,FALSE)*$C$42*$A53/8760/1000*VLOOKUP('SC-New'!$C53,Weighting!$A$5:$C$8,MATCH(RIGHT($D53,(LEN($D53)-FIND(",",$D53)-1)),Weighting!$A$5:$C$5,0),FALSE)*Weighting!$C$12</f>
        <v>1.6566319635090401E-3</v>
      </c>
      <c r="M53" s="155">
        <f ca="1">VLOOKUP($C53,$C$33:$Y$36,M$31,FALSE)*$C$42*$A53/8760/1000*VLOOKUP('SC-New'!$C53,Weighting!$A$5:$C$8,MATCH(RIGHT($D53,(LEN($D53)-FIND(",",$D53)-1)),Weighting!$A$5:$C$5,0),FALSE)*Weighting!$C$12</f>
        <v>2.2556916050115346E-3</v>
      </c>
      <c r="N53" s="155">
        <f ca="1">VLOOKUP($C53,$C$33:$Y$36,N$31,FALSE)*$C$42*$A53/8760/1000*VLOOKUP('SC-New'!$C53,Weighting!$A$5:$C$8,MATCH(RIGHT($D53,(LEN($D53)-FIND(",",$D53)-1)),Weighting!$A$5:$C$5,0),FALSE)*Weighting!$C$12</f>
        <v>3.0352714642125178E-3</v>
      </c>
      <c r="O53" s="155">
        <f ca="1">VLOOKUP($C53,$C$33:$Y$36,O$31,FALSE)*$C$42*$A53/8760/1000*VLOOKUP('SC-New'!$C53,Weighting!$A$5:$C$8,MATCH(RIGHT($D53,(LEN($D53)-FIND(",",$D53)-1)),Weighting!$A$5:$C$5,0),FALSE)*Weighting!$C$12</f>
        <v>3.8919215476952498E-3</v>
      </c>
      <c r="P53" s="155">
        <f ca="1">VLOOKUP($C53,$C$33:$Y$36,P$31,FALSE)*$C$42*$A53/8760/1000*VLOOKUP('SC-New'!$C53,Weighting!$A$5:$C$8,MATCH(RIGHT($D53,(LEN($D53)-FIND(",",$D53)-1)),Weighting!$A$5:$C$5,0),FALSE)*Weighting!$C$12</f>
        <v>4.7193087512449813E-3</v>
      </c>
      <c r="Q53" s="155">
        <f ca="1">VLOOKUP($C53,$C$33:$Y$36,Q$31,FALSE)*$C$42*$A53/8760/1000*VLOOKUP('SC-New'!$C53,Weighting!$A$5:$C$8,MATCH(RIGHT($D53,(LEN($D53)-FIND(",",$D53)-1)),Weighting!$A$5:$C$5,0),FALSE)*Weighting!$C$12</f>
        <v>5.4519620050822292E-3</v>
      </c>
      <c r="R53" s="155">
        <f ca="1">VLOOKUP($C53,$C$33:$Y$36,R$31,FALSE)*$C$42*$A53/8760/1000*VLOOKUP('SC-New'!$C53,Weighting!$A$5:$C$8,MATCH(RIGHT($D53,(LEN($D53)-FIND(",",$D53)-1)),Weighting!$A$5:$C$5,0),FALSE)*Weighting!$C$12</f>
        <v>6.2669428190824487E-3</v>
      </c>
      <c r="S53" s="155">
        <f ca="1">VLOOKUP($C53,$C$33:$Y$36,S$31,FALSE)*$C$42*$A53/8760/1000*VLOOKUP('SC-New'!$C53,Weighting!$A$5:$C$8,MATCH(RIGHT($D53,(LEN($D53)-FIND(",",$D53)-1)),Weighting!$A$5:$C$5,0),FALSE)*Weighting!$C$12</f>
        <v>7.0599557306053468E-3</v>
      </c>
      <c r="T53" s="155">
        <f ca="1">VLOOKUP($C53,$C$33:$Y$36,T$31,FALSE)*$C$42*$A53/8760/1000*VLOOKUP('SC-New'!$C53,Weighting!$A$5:$C$8,MATCH(RIGHT($D53,(LEN($D53)-FIND(",",$D53)-1)),Weighting!$A$5:$C$5,0),FALSE)*Weighting!$C$12</f>
        <v>7.6133495463508779E-3</v>
      </c>
      <c r="U53" s="155">
        <f ca="1">VLOOKUP($C53,$C$33:$Y$36,U$31,FALSE)*$C$42*$A53/8760/1000*VLOOKUP('SC-New'!$C53,Weighting!$A$5:$C$8,MATCH(RIGHT($D53,(LEN($D53)-FIND(",",$D53)-1)),Weighting!$A$5:$C$5,0),FALSE)*Weighting!$C$12</f>
        <v>7.7832093606920848E-3</v>
      </c>
      <c r="V53" s="155">
        <f ca="1">VLOOKUP($C53,$C$33:$Y$36,V$31,FALSE)*$C$42*$A53/8760/1000*VLOOKUP('SC-New'!$C53,Weighting!$A$5:$C$8,MATCH(RIGHT($D53,(LEN($D53)-FIND(",",$D53)-1)),Weighting!$A$5:$C$5,0),FALSE)*Weighting!$C$12</f>
        <v>8.0562071776145439E-3</v>
      </c>
      <c r="W53" s="155">
        <f ca="1">VLOOKUP($C53,$C$33:$Y$36,W$31,FALSE)*$C$42*$A53/8760/1000*VLOOKUP('SC-New'!$C53,Weighting!$A$5:$C$8,MATCH(RIGHT($D53,(LEN($D53)-FIND(",",$D53)-1)),Weighting!$A$5:$C$5,0),FALSE)*Weighting!$C$12</f>
        <v>8.2525302545220537E-3</v>
      </c>
      <c r="X53" s="155">
        <f ca="1">VLOOKUP($C53,$C$33:$Y$36,X$31,FALSE)*$C$42*$A53/8760/1000*VLOOKUP('SC-New'!$C53,Weighting!$A$5:$C$8,MATCH(RIGHT($D53,(LEN($D53)-FIND(",",$D53)-1)),Weighting!$A$5:$C$5,0),FALSE)*Weighting!$C$12</f>
        <v>8.3934914581070569E-3</v>
      </c>
      <c r="Y53" s="155">
        <f t="shared" ca="1" si="16"/>
        <v>7.750201717432148E-2</v>
      </c>
      <c r="AA53" s="155">
        <f t="shared" ca="1" si="18"/>
        <v>7.750201717432148E-2</v>
      </c>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c r="CA53" s="146"/>
      <c r="CB53" s="146"/>
    </row>
    <row r="54" spans="1:80">
      <c r="A54" s="154">
        <f t="shared" si="15"/>
        <v>123.26393620193372</v>
      </c>
      <c r="B54" s="154">
        <f t="shared" si="14"/>
        <v>330.93935548279683</v>
      </c>
      <c r="C54" s="143" t="str">
        <f>C45</f>
        <v>Multifamily - Low Rise</v>
      </c>
      <c r="D54" s="143" t="s">
        <v>337</v>
      </c>
      <c r="E54" s="155">
        <f ca="1">VLOOKUP($C54,$C$33:$Y$36,E$31,FALSE)*$C$42*$A54/8760/1000*VLOOKUP('SC-New'!$C54,Weighting!$A$5:$C$8,MATCH(RIGHT($D54,(LEN($D54)-FIND(",",$D54)-1)),Weighting!$A$5:$C$5,0),FALSE)*Weighting!$C$12</f>
        <v>9.4183747925785222E-6</v>
      </c>
      <c r="F54" s="155">
        <f ca="1">VLOOKUP($C54,$C$33:$Y$36,F$31,FALSE)*$C$42*$A54/8760/1000*VLOOKUP('SC-New'!$C54,Weighting!$A$5:$C$8,MATCH(RIGHT($D54,(LEN($D54)-FIND(",",$D54)-1)),Weighting!$A$5:$C$5,0),FALSE)*Weighting!$C$12</f>
        <v>2.7926087291735133E-5</v>
      </c>
      <c r="G54" s="155">
        <f ca="1">VLOOKUP($C54,$C$33:$Y$36,G$31,FALSE)*$C$42*$A54/8760/1000*VLOOKUP('SC-New'!$C54,Weighting!$A$5:$C$8,MATCH(RIGHT($D54,(LEN($D54)-FIND(",",$D54)-1)),Weighting!$A$5:$C$5,0),FALSE)*Weighting!$C$12</f>
        <v>6.0431018982235466E-5</v>
      </c>
      <c r="H54" s="155">
        <f ca="1">VLOOKUP($C54,$C$33:$Y$36,H$31,FALSE)*$C$42*$A54/8760/1000*VLOOKUP('SC-New'!$C54,Weighting!$A$5:$C$8,MATCH(RIGHT($D54,(LEN($D54)-FIND(",",$D54)-1)),Weighting!$A$5:$C$5,0),FALSE)*Weighting!$C$12</f>
        <v>1.1009349945090925E-4</v>
      </c>
      <c r="I54" s="155">
        <f ca="1">VLOOKUP($C54,$C$33:$Y$36,I$31,FALSE)*$C$42*$A54/8760/1000*VLOOKUP('SC-New'!$C54,Weighting!$A$5:$C$8,MATCH(RIGHT($D54,(LEN($D54)-FIND(",",$D54)-1)),Weighting!$A$5:$C$5,0),FALSE)*Weighting!$C$12</f>
        <v>1.7757569197396453E-4</v>
      </c>
      <c r="J54" s="155">
        <f ca="1">VLOOKUP($C54,$C$33:$Y$36,J$31,FALSE)*$C$42*$A54/8760/1000*VLOOKUP('SC-New'!$C54,Weighting!$A$5:$C$8,MATCH(RIGHT($D54,(LEN($D54)-FIND(",",$D54)-1)),Weighting!$A$5:$C$5,0),FALSE)*Weighting!$C$12</f>
        <v>2.7310508219472053E-4</v>
      </c>
      <c r="K54" s="155">
        <f ca="1">VLOOKUP($C54,$C$33:$Y$36,K$31,FALSE)*$C$42*$A54/8760/1000*VLOOKUP('SC-New'!$C54,Weighting!$A$5:$C$8,MATCH(RIGHT($D54,(LEN($D54)-FIND(",",$D54)-1)),Weighting!$A$5:$C$5,0),FALSE)*Weighting!$C$12</f>
        <v>4.0798269891300249E-4</v>
      </c>
      <c r="L54" s="155">
        <f ca="1">VLOOKUP($C54,$C$33:$Y$36,L$31,FALSE)*$C$42*$A54/8760/1000*VLOOKUP('SC-New'!$C54,Weighting!$A$5:$C$8,MATCH(RIGHT($D54,(LEN($D54)-FIND(",",$D54)-1)),Weighting!$A$5:$C$5,0),FALSE)*Weighting!$C$12</f>
        <v>5.9694700282262366E-4</v>
      </c>
      <c r="M54" s="155">
        <f ca="1">VLOOKUP($C54,$C$33:$Y$36,M$31,FALSE)*$C$42*$A54/8760/1000*VLOOKUP('SC-New'!$C54,Weighting!$A$5:$C$8,MATCH(RIGHT($D54,(LEN($D54)-FIND(",",$D54)-1)),Weighting!$A$5:$C$5,0),FALSE)*Weighting!$C$12</f>
        <v>8.4126019620016986E-4</v>
      </c>
      <c r="N54" s="155">
        <f ca="1">VLOOKUP($C54,$C$33:$Y$36,N$31,FALSE)*$C$42*$A54/8760/1000*VLOOKUP('SC-New'!$C54,Weighting!$A$5:$C$8,MATCH(RIGHT($D54,(LEN($D54)-FIND(",",$D54)-1)),Weighting!$A$5:$C$5,0),FALSE)*Weighting!$C$12</f>
        <v>1.1424685536189272E-3</v>
      </c>
      <c r="O54" s="155">
        <f ca="1">VLOOKUP($C54,$C$33:$Y$36,O$31,FALSE)*$C$42*$A54/8760/1000*VLOOKUP('SC-New'!$C54,Weighting!$A$5:$C$8,MATCH(RIGHT($D54,(LEN($D54)-FIND(",",$D54)-1)),Weighting!$A$5:$C$5,0),FALSE)*Weighting!$C$12</f>
        <v>1.4608236889009278E-3</v>
      </c>
      <c r="P54" s="155">
        <f ca="1">VLOOKUP($C54,$C$33:$Y$36,P$31,FALSE)*$C$42*$A54/8760/1000*VLOOKUP('SC-New'!$C54,Weighting!$A$5:$C$8,MATCH(RIGHT($D54,(LEN($D54)-FIND(",",$D54)-1)),Weighting!$A$5:$C$5,0),FALSE)*Weighting!$C$12</f>
        <v>1.7949120183350291E-3</v>
      </c>
      <c r="Q54" s="155">
        <f ca="1">VLOOKUP($C54,$C$33:$Y$36,Q$31,FALSE)*$C$42*$A54/8760/1000*VLOOKUP('SC-New'!$C54,Weighting!$A$5:$C$8,MATCH(RIGHT($D54,(LEN($D54)-FIND(",",$D54)-1)),Weighting!$A$5:$C$5,0),FALSE)*Weighting!$C$12</f>
        <v>2.133398715352289E-3</v>
      </c>
      <c r="R54" s="155">
        <f ca="1">VLOOKUP($C54,$C$33:$Y$36,R$31,FALSE)*$C$42*$A54/8760/1000*VLOOKUP('SC-New'!$C54,Weighting!$A$5:$C$8,MATCH(RIGHT($D54,(LEN($D54)-FIND(",",$D54)-1)),Weighting!$A$5:$C$5,0),FALSE)*Weighting!$C$12</f>
        <v>2.4230998394703536E-3</v>
      </c>
      <c r="S54" s="155">
        <f ca="1">VLOOKUP($C54,$C$33:$Y$36,S$31,FALSE)*$C$42*$A54/8760/1000*VLOOKUP('SC-New'!$C54,Weighting!$A$5:$C$8,MATCH(RIGHT($D54,(LEN($D54)-FIND(",",$D54)-1)),Weighting!$A$5:$C$5,0),FALSE)*Weighting!$C$12</f>
        <v>2.6657088545051499E-3</v>
      </c>
      <c r="T54" s="155">
        <f ca="1">VLOOKUP($C54,$C$33:$Y$36,T$31,FALSE)*$C$42*$A54/8760/1000*VLOOKUP('SC-New'!$C54,Weighting!$A$5:$C$8,MATCH(RIGHT($D54,(LEN($D54)-FIND(",",$D54)-1)),Weighting!$A$5:$C$5,0),FALSE)*Weighting!$C$12</f>
        <v>2.8279058199148404E-3</v>
      </c>
      <c r="U54" s="155">
        <f ca="1">VLOOKUP($C54,$C$33:$Y$36,U$31,FALSE)*$C$42*$A54/8760/1000*VLOOKUP('SC-New'!$C54,Weighting!$A$5:$C$8,MATCH(RIGHT($D54,(LEN($D54)-FIND(",",$D54)-1)),Weighting!$A$5:$C$5,0),FALSE)*Weighting!$C$12</f>
        <v>2.9389334335017006E-3</v>
      </c>
      <c r="V54" s="155">
        <f ca="1">VLOOKUP($C54,$C$33:$Y$36,V$31,FALSE)*$C$42*$A54/8760/1000*VLOOKUP('SC-New'!$C54,Weighting!$A$5:$C$8,MATCH(RIGHT($D54,(LEN($D54)-FIND(",",$D54)-1)),Weighting!$A$5:$C$5,0),FALSE)*Weighting!$C$12</f>
        <v>3.0085995512386448E-3</v>
      </c>
      <c r="W54" s="155">
        <f ca="1">VLOOKUP($C54,$C$33:$Y$36,W$31,FALSE)*$C$42*$A54/8760/1000*VLOOKUP('SC-New'!$C54,Weighting!$A$5:$C$8,MATCH(RIGHT($D54,(LEN($D54)-FIND(",",$D54)-1)),Weighting!$A$5:$C$5,0),FALSE)*Weighting!$C$12</f>
        <v>3.0149214784717139E-3</v>
      </c>
      <c r="X54" s="155">
        <f ca="1">VLOOKUP($C54,$C$33:$Y$36,X$31,FALSE)*$C$42*$A54/8760/1000*VLOOKUP('SC-New'!$C54,Weighting!$A$5:$C$8,MATCH(RIGHT($D54,(LEN($D54)-FIND(",",$D54)-1)),Weighting!$A$5:$C$5,0),FALSE)*Weighting!$C$12</f>
        <v>3.0342198084700954E-3</v>
      </c>
      <c r="Y54" s="155">
        <f t="shared" ca="1" si="16"/>
        <v>2.894973141440161E-2</v>
      </c>
      <c r="AA54" s="155">
        <f t="shared" ca="1" si="18"/>
        <v>2.894973141440161E-2</v>
      </c>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c r="CA54" s="146"/>
      <c r="CB54" s="146"/>
    </row>
    <row r="55" spans="1:80">
      <c r="A55" s="154">
        <f t="shared" si="15"/>
        <v>123.26393620193372</v>
      </c>
      <c r="B55" s="154">
        <f t="shared" si="14"/>
        <v>330.93935548279683</v>
      </c>
      <c r="C55" s="143" t="str">
        <f>C46</f>
        <v>Multifamily - High Rise</v>
      </c>
      <c r="D55" s="143" t="s">
        <v>337</v>
      </c>
      <c r="E55" s="155">
        <f ca="1">VLOOKUP($C55,$C$33:$Y$36,E$31,FALSE)*$C$42*$A55/8760/1000*VLOOKUP('SC-New'!$C55,Weighting!$A$5:$C$8,MATCH(RIGHT($D55,(LEN($D55)-FIND(",",$D55)-1)),Weighting!$A$5:$C$5,0),FALSE)*Weighting!$C$12</f>
        <v>3.8058202058345366E-6</v>
      </c>
      <c r="F55" s="155">
        <f ca="1">VLOOKUP($C55,$C$33:$Y$36,F$31,FALSE)*$C$42*$A55/8760/1000*VLOOKUP('SC-New'!$C55,Weighting!$A$5:$C$8,MATCH(RIGHT($D55,(LEN($D55)-FIND(",",$D55)-1)),Weighting!$A$5:$C$5,0),FALSE)*Weighting!$C$12</f>
        <v>1.1443355548784884E-5</v>
      </c>
      <c r="G55" s="155">
        <f ca="1">VLOOKUP($C55,$C$33:$Y$36,G$31,FALSE)*$C$42*$A55/8760/1000*VLOOKUP('SC-New'!$C55,Weighting!$A$5:$C$8,MATCH(RIGHT($D55,(LEN($D55)-FIND(",",$D55)-1)),Weighting!$A$5:$C$5,0),FALSE)*Weighting!$C$12</f>
        <v>2.5135704118790121E-5</v>
      </c>
      <c r="H55" s="155">
        <f ca="1">VLOOKUP($C55,$C$33:$Y$36,H$31,FALSE)*$C$42*$A55/8760/1000*VLOOKUP('SC-New'!$C55,Weighting!$A$5:$C$8,MATCH(RIGHT($D55,(LEN($D55)-FIND(",",$D55)-1)),Weighting!$A$5:$C$5,0),FALSE)*Weighting!$C$12</f>
        <v>4.4736385207804429E-5</v>
      </c>
      <c r="I55" s="155">
        <f ca="1">VLOOKUP($C55,$C$33:$Y$36,I$31,FALSE)*$C$42*$A55/8760/1000*VLOOKUP('SC-New'!$C55,Weighting!$A$5:$C$8,MATCH(RIGHT($D55,(LEN($D55)-FIND(",",$D55)-1)),Weighting!$A$5:$C$5,0),FALSE)*Weighting!$C$12</f>
        <v>7.0760069510604053E-5</v>
      </c>
      <c r="J55" s="155">
        <f ca="1">VLOOKUP($C55,$C$33:$Y$36,J$31,FALSE)*$C$42*$A55/8760/1000*VLOOKUP('SC-New'!$C55,Weighting!$A$5:$C$8,MATCH(RIGHT($D55,(LEN($D55)-FIND(",",$D55)-1)),Weighting!$A$5:$C$5,0),FALSE)*Weighting!$C$12</f>
        <v>1.1045630541331865E-4</v>
      </c>
      <c r="K55" s="155">
        <f ca="1">VLOOKUP($C55,$C$33:$Y$36,K$31,FALSE)*$C$42*$A55/8760/1000*VLOOKUP('SC-New'!$C55,Weighting!$A$5:$C$8,MATCH(RIGHT($D55,(LEN($D55)-FIND(",",$D55)-1)),Weighting!$A$5:$C$5,0),FALSE)*Weighting!$C$12</f>
        <v>1.6549140949580042E-4</v>
      </c>
      <c r="L55" s="155">
        <f ca="1">VLOOKUP($C55,$C$33:$Y$36,L$31,FALSE)*$C$42*$A55/8760/1000*VLOOKUP('SC-New'!$C55,Weighting!$A$5:$C$8,MATCH(RIGHT($D55,(LEN($D55)-FIND(",",$D55)-1)),Weighting!$A$5:$C$5,0),FALSE)*Weighting!$C$12</f>
        <v>2.4515160287842512E-4</v>
      </c>
      <c r="M55" s="155">
        <f ca="1">VLOOKUP($C55,$C$33:$Y$36,M$31,FALSE)*$C$42*$A55/8760/1000*VLOOKUP('SC-New'!$C55,Weighting!$A$5:$C$8,MATCH(RIGHT($D55,(LEN($D55)-FIND(",",$D55)-1)),Weighting!$A$5:$C$5,0),FALSE)*Weighting!$C$12</f>
        <v>3.4305621229205232E-4</v>
      </c>
      <c r="N55" s="155">
        <f ca="1">VLOOKUP($C55,$C$33:$Y$36,N$31,FALSE)*$C$42*$A55/8760/1000*VLOOKUP('SC-New'!$C55,Weighting!$A$5:$C$8,MATCH(RIGHT($D55,(LEN($D55)-FIND(",",$D55)-1)),Weighting!$A$5:$C$5,0),FALSE)*Weighting!$C$12</f>
        <v>4.6583676569640582E-4</v>
      </c>
      <c r="O55" s="155">
        <f ca="1">VLOOKUP($C55,$C$33:$Y$36,O$31,FALSE)*$C$42*$A55/8760/1000*VLOOKUP('SC-New'!$C55,Weighting!$A$5:$C$8,MATCH(RIGHT($D55,(LEN($D55)-FIND(",",$D55)-1)),Weighting!$A$5:$C$5,0),FALSE)*Weighting!$C$12</f>
        <v>5.884744620744081E-4</v>
      </c>
      <c r="P55" s="155">
        <f ca="1">VLOOKUP($C55,$C$33:$Y$36,P$31,FALSE)*$C$42*$A55/8760/1000*VLOOKUP('SC-New'!$C55,Weighting!$A$5:$C$8,MATCH(RIGHT($D55,(LEN($D55)-FIND(",",$D55)-1)),Weighting!$A$5:$C$5,0),FALSE)*Weighting!$C$12</f>
        <v>7.2165890240364337E-4</v>
      </c>
      <c r="Q55" s="155">
        <f ca="1">VLOOKUP($C55,$C$33:$Y$36,Q$31,FALSE)*$C$42*$A55/8760/1000*VLOOKUP('SC-New'!$C55,Weighting!$A$5:$C$8,MATCH(RIGHT($D55,(LEN($D55)-FIND(",",$D55)-1)),Weighting!$A$5:$C$5,0),FALSE)*Weighting!$C$12</f>
        <v>8.5035092839966654E-4</v>
      </c>
      <c r="R55" s="155">
        <f ca="1">VLOOKUP($C55,$C$33:$Y$36,R$31,FALSE)*$C$42*$A55/8760/1000*VLOOKUP('SC-New'!$C55,Weighting!$A$5:$C$8,MATCH(RIGHT($D55,(LEN($D55)-FIND(",",$D55)-1)),Weighting!$A$5:$C$5,0),FALSE)*Weighting!$C$12</f>
        <v>9.7338950767029227E-4</v>
      </c>
      <c r="S55" s="155">
        <f ca="1">VLOOKUP($C55,$C$33:$Y$36,S$31,FALSE)*$C$42*$A55/8760/1000*VLOOKUP('SC-New'!$C55,Weighting!$A$5:$C$8,MATCH(RIGHT($D55,(LEN($D55)-FIND(",",$D55)-1)),Weighting!$A$5:$C$5,0),FALSE)*Weighting!$C$12</f>
        <v>1.0759498952288068E-3</v>
      </c>
      <c r="T55" s="155">
        <f ca="1">VLOOKUP($C55,$C$33:$Y$36,T$31,FALSE)*$C$42*$A55/8760/1000*VLOOKUP('SC-New'!$C55,Weighting!$A$5:$C$8,MATCH(RIGHT($D55,(LEN($D55)-FIND(",",$D55)-1)),Weighting!$A$5:$C$5,0),FALSE)*Weighting!$C$12</f>
        <v>1.140608464257208E-3</v>
      </c>
      <c r="U55" s="155">
        <f ca="1">VLOOKUP($C55,$C$33:$Y$36,U$31,FALSE)*$C$42*$A55/8760/1000*VLOOKUP('SC-New'!$C55,Weighting!$A$5:$C$8,MATCH(RIGHT($D55,(LEN($D55)-FIND(",",$D55)-1)),Weighting!$A$5:$C$5,0),FALSE)*Weighting!$C$12</f>
        <v>1.1868126394976011E-3</v>
      </c>
      <c r="V55" s="155">
        <f ca="1">VLOOKUP($C55,$C$33:$Y$36,V$31,FALSE)*$C$42*$A55/8760/1000*VLOOKUP('SC-New'!$C55,Weighting!$A$5:$C$8,MATCH(RIGHT($D55,(LEN($D55)-FIND(",",$D55)-1)),Weighting!$A$5:$C$5,0),FALSE)*Weighting!$C$12</f>
        <v>1.2022041193539747E-3</v>
      </c>
      <c r="W55" s="155">
        <f ca="1">VLOOKUP($C55,$C$33:$Y$36,W$31,FALSE)*$C$42*$A55/8760/1000*VLOOKUP('SC-New'!$C55,Weighting!$A$5:$C$8,MATCH(RIGHT($D55,(LEN($D55)-FIND(",",$D55)-1)),Weighting!$A$5:$C$5,0),FALSE)*Weighting!$C$12</f>
        <v>1.2236929042928391E-3</v>
      </c>
      <c r="X55" s="155">
        <f ca="1">VLOOKUP($C55,$C$33:$Y$36,X$31,FALSE)*$C$42*$A55/8760/1000*VLOOKUP('SC-New'!$C55,Weighting!$A$5:$C$8,MATCH(RIGHT($D55,(LEN($D55)-FIND(",",$D55)-1)),Weighting!$A$5:$C$5,0),FALSE)*Weighting!$C$12</f>
        <v>1.2305705780043539E-3</v>
      </c>
      <c r="Y55" s="155">
        <f t="shared" ca="1" si="16"/>
        <v>1.1679586031550612E-2</v>
      </c>
      <c r="AA55" s="155">
        <f t="shared" ca="1" si="18"/>
        <v>1.1679586031550612E-2</v>
      </c>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c r="CA55" s="146"/>
      <c r="CB55" s="146"/>
    </row>
    <row r="56" spans="1:80">
      <c r="AA56" s="150"/>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c r="CA56" s="146"/>
      <c r="CB56" s="146"/>
    </row>
    <row r="57" spans="1:80">
      <c r="B57" s="156">
        <f ca="1">SUMPRODUCT(B44:B55,AA44:AA55)/SUM(AA44:AA55)</f>
        <v>190.68740873784779</v>
      </c>
      <c r="E57" s="155">
        <f ca="1">SUM(E44:E55)</f>
        <v>2.7562697598270194E-3</v>
      </c>
      <c r="F57" s="155">
        <f t="shared" ref="F57:Y57" ca="1" si="19">SUM(F44:F55)</f>
        <v>7.9927717203851709E-3</v>
      </c>
      <c r="G57" s="155">
        <f t="shared" ca="1" si="19"/>
        <v>1.6788726795436897E-2</v>
      </c>
      <c r="H57" s="155">
        <f t="shared" ca="1" si="19"/>
        <v>3.0529886231981763E-2</v>
      </c>
      <c r="I57" s="155">
        <f t="shared" ca="1" si="19"/>
        <v>5.0278020894153425E-2</v>
      </c>
      <c r="J57" s="155">
        <f t="shared" ca="1" si="19"/>
        <v>7.6763840699159841E-2</v>
      </c>
      <c r="K57" s="155">
        <f t="shared" ca="1" si="19"/>
        <v>0.11320209115843526</v>
      </c>
      <c r="L57" s="155">
        <f t="shared" ca="1" si="19"/>
        <v>0.16315501485219874</v>
      </c>
      <c r="M57" s="155">
        <f t="shared" ca="1" si="19"/>
        <v>0.22457381671387916</v>
      </c>
      <c r="N57" s="155">
        <f t="shared" ca="1" si="19"/>
        <v>0.30310904081904727</v>
      </c>
      <c r="O57" s="155">
        <f t="shared" ca="1" si="19"/>
        <v>0.38802100154643288</v>
      </c>
      <c r="P57" s="155">
        <f t="shared" ca="1" si="19"/>
        <v>0.47252848465736869</v>
      </c>
      <c r="Q57" s="155">
        <f t="shared" ca="1" si="19"/>
        <v>0.55086841366066142</v>
      </c>
      <c r="R57" s="155">
        <f t="shared" ca="1" si="19"/>
        <v>0.6309378827209039</v>
      </c>
      <c r="S57" s="155">
        <f t="shared" ca="1" si="19"/>
        <v>0.70533989006108688</v>
      </c>
      <c r="T57" s="155">
        <f t="shared" ca="1" si="19"/>
        <v>0.75647986662808864</v>
      </c>
      <c r="U57" s="155">
        <f t="shared" ca="1" si="19"/>
        <v>0.77763247426537419</v>
      </c>
      <c r="V57" s="155">
        <f t="shared" ca="1" si="19"/>
        <v>0.80147720906040842</v>
      </c>
      <c r="W57" s="155">
        <f t="shared" ca="1" si="19"/>
        <v>0.81584575703887552</v>
      </c>
      <c r="X57" s="155">
        <f t="shared" ca="1" si="19"/>
        <v>0.82690644431400084</v>
      </c>
      <c r="Y57" s="155">
        <f t="shared" ca="1" si="19"/>
        <v>7.7151869035977052</v>
      </c>
      <c r="AA57" s="155">
        <f ca="1">SUM(E57:X57)</f>
        <v>7.7151869035977061</v>
      </c>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c r="CA57" s="146"/>
      <c r="CB57" s="146"/>
    </row>
    <row r="58" spans="1:8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c r="CA58" s="146"/>
      <c r="CB58" s="146"/>
    </row>
    <row r="59" spans="1:8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c r="CA59" s="146"/>
      <c r="CB59" s="146"/>
    </row>
    <row r="60" spans="1:80" ht="15">
      <c r="A60" s="147" t="s">
        <v>229</v>
      </c>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c r="CA60" s="146"/>
      <c r="CB60" s="146"/>
    </row>
    <row r="61" spans="1:80" ht="15">
      <c r="E61" s="195">
        <v>2016</v>
      </c>
      <c r="F61" s="195">
        <v>2017</v>
      </c>
      <c r="G61" s="195">
        <v>2018</v>
      </c>
      <c r="H61" s="195">
        <v>2019</v>
      </c>
      <c r="I61" s="195">
        <v>2020</v>
      </c>
      <c r="J61" s="195">
        <v>2021</v>
      </c>
      <c r="K61" s="195">
        <v>2022</v>
      </c>
      <c r="L61" s="195">
        <v>2023</v>
      </c>
      <c r="M61" s="195">
        <v>2024</v>
      </c>
      <c r="N61" s="195">
        <v>2025</v>
      </c>
      <c r="O61" s="195">
        <v>2026</v>
      </c>
      <c r="P61" s="195">
        <v>2027</v>
      </c>
      <c r="Q61" s="195">
        <v>2028</v>
      </c>
      <c r="R61" s="195">
        <v>2029</v>
      </c>
      <c r="S61" s="195">
        <v>2030</v>
      </c>
      <c r="T61" s="195">
        <v>2031</v>
      </c>
      <c r="U61" s="195">
        <v>2032</v>
      </c>
      <c r="V61" s="195">
        <v>2033</v>
      </c>
      <c r="W61" s="195">
        <v>2034</v>
      </c>
      <c r="X61" s="195">
        <v>2035</v>
      </c>
      <c r="Y61" s="148" t="s">
        <v>844</v>
      </c>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c r="CA61" s="146"/>
      <c r="CB61" s="146"/>
    </row>
    <row r="62" spans="1:80" ht="15">
      <c r="C62" s="157" t="s">
        <v>226</v>
      </c>
      <c r="D62" s="157" t="s">
        <v>226</v>
      </c>
      <c r="E62" s="196" t="str">
        <f>CONCATENATE("aMW_",E61)</f>
        <v>aMW_2016</v>
      </c>
      <c r="F62" s="196" t="str">
        <f t="shared" ref="F62" si="20">CONCATENATE("aMW_",F61)</f>
        <v>aMW_2017</v>
      </c>
      <c r="G62" s="196" t="str">
        <f t="shared" ref="G62" si="21">CONCATENATE("aMW_",G61)</f>
        <v>aMW_2018</v>
      </c>
      <c r="H62" s="196" t="str">
        <f t="shared" ref="H62" si="22">CONCATENATE("aMW_",H61)</f>
        <v>aMW_2019</v>
      </c>
      <c r="I62" s="196" t="str">
        <f t="shared" ref="I62" si="23">CONCATENATE("aMW_",I61)</f>
        <v>aMW_2020</v>
      </c>
      <c r="J62" s="196" t="str">
        <f t="shared" ref="J62" si="24">CONCATENATE("aMW_",J61)</f>
        <v>aMW_2021</v>
      </c>
      <c r="K62" s="196" t="str">
        <f t="shared" ref="K62" si="25">CONCATENATE("aMW_",K61)</f>
        <v>aMW_2022</v>
      </c>
      <c r="L62" s="196" t="str">
        <f t="shared" ref="L62" si="26">CONCATENATE("aMW_",L61)</f>
        <v>aMW_2023</v>
      </c>
      <c r="M62" s="196" t="str">
        <f t="shared" ref="M62" si="27">CONCATENATE("aMW_",M61)</f>
        <v>aMW_2024</v>
      </c>
      <c r="N62" s="196" t="str">
        <f t="shared" ref="N62" si="28">CONCATENATE("aMW_",N61)</f>
        <v>aMW_2025</v>
      </c>
      <c r="O62" s="196" t="str">
        <f t="shared" ref="O62" si="29">CONCATENATE("aMW_",O61)</f>
        <v>aMW_2026</v>
      </c>
      <c r="P62" s="196" t="str">
        <f t="shared" ref="P62" si="30">CONCATENATE("aMW_",P61)</f>
        <v>aMW_2027</v>
      </c>
      <c r="Q62" s="196" t="str">
        <f t="shared" ref="Q62" si="31">CONCATENATE("aMW_",Q61)</f>
        <v>aMW_2028</v>
      </c>
      <c r="R62" s="196" t="str">
        <f t="shared" ref="R62" si="32">CONCATENATE("aMW_",R61)</f>
        <v>aMW_2029</v>
      </c>
      <c r="S62" s="196" t="str">
        <f t="shared" ref="S62" si="33">CONCATENATE("aMW_",S61)</f>
        <v>aMW_2030</v>
      </c>
      <c r="T62" s="196" t="str">
        <f t="shared" ref="T62" si="34">CONCATENATE("aMW_",T61)</f>
        <v>aMW_2031</v>
      </c>
      <c r="U62" s="196" t="str">
        <f t="shared" ref="U62" si="35">CONCATENATE("aMW_",U61)</f>
        <v>aMW_2032</v>
      </c>
      <c r="V62" s="196" t="str">
        <f t="shared" ref="V62" si="36">CONCATENATE("aMW_",V61)</f>
        <v>aMW_2033</v>
      </c>
      <c r="W62" s="196" t="str">
        <f t="shared" ref="W62" si="37">CONCATENATE("aMW_",W61)</f>
        <v>aMW_2034</v>
      </c>
      <c r="X62" s="196" t="str">
        <f t="shared" ref="X62" si="38">CONCATENATE("aMW_",X61)</f>
        <v>aMW_2035</v>
      </c>
      <c r="Y62" s="149" t="s">
        <v>844</v>
      </c>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c r="CA62" s="146"/>
      <c r="CB62" s="146"/>
    </row>
    <row r="63" spans="1:80">
      <c r="B63" s="143" t="s">
        <v>230</v>
      </c>
      <c r="C63" s="158" t="s">
        <v>231</v>
      </c>
      <c r="D63" s="158" t="s">
        <v>232</v>
      </c>
      <c r="E63" s="155">
        <f>DSUM($B$43:$X$46,E$43,$C$62:$D63)</f>
        <v>0</v>
      </c>
      <c r="F63" s="155">
        <f>DSUM($B$43:$X$46,F$43,$C$62:$D63)</f>
        <v>0</v>
      </c>
      <c r="G63" s="155">
        <f>DSUM($B$43:$X$46,G$43,$C$62:$D63)</f>
        <v>0</v>
      </c>
      <c r="H63" s="155">
        <f>DSUM($B$43:$X$46,H$43,$C$62:$D63)</f>
        <v>0</v>
      </c>
      <c r="I63" s="155">
        <f>DSUM($B$43:$X$46,I$43,$C$62:$D63)</f>
        <v>0</v>
      </c>
      <c r="J63" s="155">
        <f>DSUM($B$43:$X$46,J$43,$C$62:$D63)</f>
        <v>0</v>
      </c>
      <c r="K63" s="155">
        <f>DSUM($B$43:$X$46,K$43,$C$62:$D63)</f>
        <v>0</v>
      </c>
      <c r="L63" s="155">
        <f>DSUM($B$43:$X$46,L$43,$C$62:$D63)</f>
        <v>0</v>
      </c>
      <c r="M63" s="155">
        <f>DSUM($B$43:$X$46,M$43,$C$62:$D63)</f>
        <v>0</v>
      </c>
      <c r="N63" s="155">
        <f>DSUM($B$43:$X$46,N$43,$C$62:$D63)</f>
        <v>0</v>
      </c>
      <c r="O63" s="155">
        <f>DSUM($B$43:$X$46,O$43,$C$62:$D63)</f>
        <v>0</v>
      </c>
      <c r="P63" s="155">
        <f>DSUM($B$43:$X$46,P$43,$C$62:$D63)</f>
        <v>0</v>
      </c>
      <c r="Q63" s="155">
        <f>DSUM($B$43:$X$46,Q$43,$C$62:$D63)</f>
        <v>0</v>
      </c>
      <c r="R63" s="155">
        <f>DSUM($B$43:$X$46,R$43,$C$62:$D63)</f>
        <v>0</v>
      </c>
      <c r="S63" s="155">
        <f>DSUM($B$43:$X$46,S$43,$C$62:$D63)</f>
        <v>0</v>
      </c>
      <c r="T63" s="155">
        <f>DSUM($B$43:$X$46,T$43,$C$62:$D63)</f>
        <v>0</v>
      </c>
      <c r="U63" s="155">
        <f>DSUM($B$43:$X$46,U$43,$C$62:$D63)</f>
        <v>0</v>
      </c>
      <c r="V63" s="155">
        <f>DSUM($B$43:$X$46,V$43,$C$62:$D63)</f>
        <v>0</v>
      </c>
      <c r="W63" s="155">
        <f>DSUM($B$43:$X$46,W$43,$C$62:$D63)</f>
        <v>0</v>
      </c>
      <c r="X63" s="155">
        <f>DSUM($B$43:$X$46,X$43,$C$62:$D63)</f>
        <v>0</v>
      </c>
      <c r="Y63" s="155">
        <f>SUM(E63:X63)</f>
        <v>0</v>
      </c>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c r="CA63" s="146"/>
      <c r="CB63" s="146"/>
    </row>
    <row r="64" spans="1:80">
      <c r="B64" s="143" t="s">
        <v>854</v>
      </c>
      <c r="C64" s="158" t="s">
        <v>234</v>
      </c>
      <c r="D64" s="158" t="s">
        <v>235</v>
      </c>
      <c r="E64" s="155">
        <f>DSUM($B$43:$X$46,E$43,$C$62:$D64)</f>
        <v>0</v>
      </c>
      <c r="F64" s="155">
        <f>DSUM($B$43:$X$46,F$43,$C$62:$D64)</f>
        <v>0</v>
      </c>
      <c r="G64" s="155">
        <f>DSUM($B$43:$X$46,G$43,$C$62:$D64)</f>
        <v>0</v>
      </c>
      <c r="H64" s="155">
        <f>DSUM($B$43:$X$46,H$43,$C$62:$D64)</f>
        <v>0</v>
      </c>
      <c r="I64" s="155">
        <f>DSUM($B$43:$X$46,I$43,$C$62:$D64)</f>
        <v>0</v>
      </c>
      <c r="J64" s="155">
        <f>DSUM($B$43:$X$46,J$43,$C$62:$D64)</f>
        <v>0</v>
      </c>
      <c r="K64" s="155">
        <f>DSUM($B$43:$X$46,K$43,$C$62:$D64)</f>
        <v>0</v>
      </c>
      <c r="L64" s="155">
        <f>DSUM($B$43:$X$46,L$43,$C$62:$D64)</f>
        <v>0</v>
      </c>
      <c r="M64" s="155">
        <f>DSUM($B$43:$X$46,M$43,$C$62:$D64)</f>
        <v>0</v>
      </c>
      <c r="N64" s="155">
        <f>DSUM($B$43:$X$46,N$43,$C$62:$D64)</f>
        <v>0</v>
      </c>
      <c r="O64" s="155">
        <f>DSUM($B$43:$X$46,O$43,$C$62:$D64)</f>
        <v>0</v>
      </c>
      <c r="P64" s="155">
        <f>DSUM($B$43:$X$46,P$43,$C$62:$D64)</f>
        <v>0</v>
      </c>
      <c r="Q64" s="155">
        <f>DSUM($B$43:$X$46,Q$43,$C$62:$D64)</f>
        <v>0</v>
      </c>
      <c r="R64" s="155">
        <f>DSUM($B$43:$X$46,R$43,$C$62:$D64)</f>
        <v>0</v>
      </c>
      <c r="S64" s="155">
        <f>DSUM($B$43:$X$46,S$43,$C$62:$D64)</f>
        <v>0</v>
      </c>
      <c r="T64" s="155">
        <f>DSUM($B$43:$X$46,T$43,$C$62:$D64)</f>
        <v>0</v>
      </c>
      <c r="U64" s="155">
        <f>DSUM($B$43:$X$46,U$43,$C$62:$D64)</f>
        <v>0</v>
      </c>
      <c r="V64" s="155">
        <f>DSUM($B$43:$X$46,V$43,$C$62:$D64)</f>
        <v>0</v>
      </c>
      <c r="W64" s="155">
        <f>DSUM($B$43:$X$46,W$43,$C$62:$D64)</f>
        <v>0</v>
      </c>
      <c r="X64" s="155">
        <f>DSUM($B$43:$X$46,X$43,$C$62:$D64)</f>
        <v>0</v>
      </c>
      <c r="Y64" s="155">
        <f t="shared" ref="Y64:Y94" si="39">SUM(E64:X64)</f>
        <v>0</v>
      </c>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c r="CA64" s="146"/>
      <c r="CB64" s="146"/>
    </row>
    <row r="65" spans="2:80">
      <c r="B65" s="143" t="s">
        <v>236</v>
      </c>
      <c r="C65" s="158" t="s">
        <v>237</v>
      </c>
      <c r="D65" s="158" t="s">
        <v>238</v>
      </c>
      <c r="E65" s="155">
        <f>DSUM($B$43:$X$46,E$43,$C$62:$D65)</f>
        <v>0</v>
      </c>
      <c r="F65" s="155">
        <f>DSUM($B$43:$X$46,F$43,$C$62:$D65)</f>
        <v>0</v>
      </c>
      <c r="G65" s="155">
        <f>DSUM($B$43:$X$46,G$43,$C$62:$D65)</f>
        <v>0</v>
      </c>
      <c r="H65" s="155">
        <f>DSUM($B$43:$X$46,H$43,$C$62:$D65)</f>
        <v>0</v>
      </c>
      <c r="I65" s="155">
        <f>DSUM($B$43:$X$46,I$43,$C$62:$D65)</f>
        <v>0</v>
      </c>
      <c r="J65" s="155">
        <f>DSUM($B$43:$X$46,J$43,$C$62:$D65)</f>
        <v>0</v>
      </c>
      <c r="K65" s="155">
        <f>DSUM($B$43:$X$46,K$43,$C$62:$D65)</f>
        <v>0</v>
      </c>
      <c r="L65" s="155">
        <f>DSUM($B$43:$X$46,L$43,$C$62:$D65)</f>
        <v>0</v>
      </c>
      <c r="M65" s="155">
        <f>DSUM($B$43:$X$46,M$43,$C$62:$D65)</f>
        <v>0</v>
      </c>
      <c r="N65" s="155">
        <f>DSUM($B$43:$X$46,N$43,$C$62:$D65)</f>
        <v>0</v>
      </c>
      <c r="O65" s="155">
        <f>DSUM($B$43:$X$46,O$43,$C$62:$D65)</f>
        <v>0</v>
      </c>
      <c r="P65" s="155">
        <f>DSUM($B$43:$X$46,P$43,$C$62:$D65)</f>
        <v>0</v>
      </c>
      <c r="Q65" s="155">
        <f>DSUM($B$43:$X$46,Q$43,$C$62:$D65)</f>
        <v>0</v>
      </c>
      <c r="R65" s="155">
        <f>DSUM($B$43:$X$46,R$43,$C$62:$D65)</f>
        <v>0</v>
      </c>
      <c r="S65" s="155">
        <f>DSUM($B$43:$X$46,S$43,$C$62:$D65)</f>
        <v>0</v>
      </c>
      <c r="T65" s="155">
        <f>DSUM($B$43:$X$46,T$43,$C$62:$D65)</f>
        <v>0</v>
      </c>
      <c r="U65" s="155">
        <f>DSUM($B$43:$X$46,U$43,$C$62:$D65)</f>
        <v>0</v>
      </c>
      <c r="V65" s="155">
        <f>DSUM($B$43:$X$46,V$43,$C$62:$D65)</f>
        <v>0</v>
      </c>
      <c r="W65" s="155">
        <f>DSUM($B$43:$X$46,W$43,$C$62:$D65)</f>
        <v>0</v>
      </c>
      <c r="X65" s="155">
        <f>DSUM($B$43:$X$46,X$43,$C$62:$D65)</f>
        <v>0</v>
      </c>
      <c r="Y65" s="155">
        <f t="shared" si="39"/>
        <v>0</v>
      </c>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c r="CA65" s="146"/>
      <c r="CB65" s="146"/>
    </row>
    <row r="66" spans="2:80">
      <c r="B66" s="143" t="s">
        <v>239</v>
      </c>
      <c r="C66" s="158" t="s">
        <v>240</v>
      </c>
      <c r="D66" s="158" t="s">
        <v>241</v>
      </c>
      <c r="E66" s="155">
        <f>DSUM($B$43:$X$46,E$43,$C$62:$D66)</f>
        <v>0</v>
      </c>
      <c r="F66" s="155">
        <f>DSUM($B$43:$X$46,F$43,$C$62:$D66)</f>
        <v>0</v>
      </c>
      <c r="G66" s="155">
        <f>DSUM($B$43:$X$46,G$43,$C$62:$D66)</f>
        <v>0</v>
      </c>
      <c r="H66" s="155">
        <f>DSUM($B$43:$X$46,H$43,$C$62:$D66)</f>
        <v>0</v>
      </c>
      <c r="I66" s="155">
        <f>DSUM($B$43:$X$46,I$43,$C$62:$D66)</f>
        <v>0</v>
      </c>
      <c r="J66" s="155">
        <f>DSUM($B$43:$X$46,J$43,$C$62:$D66)</f>
        <v>0</v>
      </c>
      <c r="K66" s="155">
        <f>DSUM($B$43:$X$46,K$43,$C$62:$D66)</f>
        <v>0</v>
      </c>
      <c r="L66" s="155">
        <f>DSUM($B$43:$X$46,L$43,$C$62:$D66)</f>
        <v>0</v>
      </c>
      <c r="M66" s="155">
        <f>DSUM($B$43:$X$46,M$43,$C$62:$D66)</f>
        <v>0</v>
      </c>
      <c r="N66" s="155">
        <f>DSUM($B$43:$X$46,N$43,$C$62:$D66)</f>
        <v>0</v>
      </c>
      <c r="O66" s="155">
        <f>DSUM($B$43:$X$46,O$43,$C$62:$D66)</f>
        <v>0</v>
      </c>
      <c r="P66" s="155">
        <f>DSUM($B$43:$X$46,P$43,$C$62:$D66)</f>
        <v>0</v>
      </c>
      <c r="Q66" s="155">
        <f>DSUM($B$43:$X$46,Q$43,$C$62:$D66)</f>
        <v>0</v>
      </c>
      <c r="R66" s="155">
        <f>DSUM($B$43:$X$46,R$43,$C$62:$D66)</f>
        <v>0</v>
      </c>
      <c r="S66" s="155">
        <f>DSUM($B$43:$X$46,S$43,$C$62:$D66)</f>
        <v>0</v>
      </c>
      <c r="T66" s="155">
        <f>DSUM($B$43:$X$46,T$43,$C$62:$D66)</f>
        <v>0</v>
      </c>
      <c r="U66" s="155">
        <f>DSUM($B$43:$X$46,U$43,$C$62:$D66)</f>
        <v>0</v>
      </c>
      <c r="V66" s="155">
        <f>DSUM($B$43:$X$46,V$43,$C$62:$D66)</f>
        <v>0</v>
      </c>
      <c r="W66" s="155">
        <f>DSUM($B$43:$X$46,W$43,$C$62:$D66)</f>
        <v>0</v>
      </c>
      <c r="X66" s="155">
        <f>DSUM($B$43:$X$46,X$43,$C$62:$D66)</f>
        <v>0</v>
      </c>
      <c r="Y66" s="155">
        <f t="shared" si="39"/>
        <v>0</v>
      </c>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c r="CA66" s="146"/>
      <c r="CB66" s="146"/>
    </row>
    <row r="67" spans="2:80">
      <c r="B67" s="143" t="s">
        <v>242</v>
      </c>
      <c r="C67" s="158" t="s">
        <v>243</v>
      </c>
      <c r="D67" s="158" t="s">
        <v>244</v>
      </c>
      <c r="E67" s="155">
        <f>DSUM($B$43:$X$46,E$43,$C$62:$D67)</f>
        <v>0</v>
      </c>
      <c r="F67" s="155">
        <f>DSUM($B$43:$X$46,F$43,$C$62:$D67)</f>
        <v>0</v>
      </c>
      <c r="G67" s="155">
        <f>DSUM($B$43:$X$46,G$43,$C$62:$D67)</f>
        <v>0</v>
      </c>
      <c r="H67" s="155">
        <f>DSUM($B$43:$X$46,H$43,$C$62:$D67)</f>
        <v>0</v>
      </c>
      <c r="I67" s="155">
        <f>DSUM($B$43:$X$46,I$43,$C$62:$D67)</f>
        <v>0</v>
      </c>
      <c r="J67" s="155">
        <f>DSUM($B$43:$X$46,J$43,$C$62:$D67)</f>
        <v>0</v>
      </c>
      <c r="K67" s="155">
        <f>DSUM($B$43:$X$46,K$43,$C$62:$D67)</f>
        <v>0</v>
      </c>
      <c r="L67" s="155">
        <f>DSUM($B$43:$X$46,L$43,$C$62:$D67)</f>
        <v>0</v>
      </c>
      <c r="M67" s="155">
        <f>DSUM($B$43:$X$46,M$43,$C$62:$D67)</f>
        <v>0</v>
      </c>
      <c r="N67" s="155">
        <f>DSUM($B$43:$X$46,N$43,$C$62:$D67)</f>
        <v>0</v>
      </c>
      <c r="O67" s="155">
        <f>DSUM($B$43:$X$46,O$43,$C$62:$D67)</f>
        <v>0</v>
      </c>
      <c r="P67" s="155">
        <f>DSUM($B$43:$X$46,P$43,$C$62:$D67)</f>
        <v>0</v>
      </c>
      <c r="Q67" s="155">
        <f>DSUM($B$43:$X$46,Q$43,$C$62:$D67)</f>
        <v>0</v>
      </c>
      <c r="R67" s="155">
        <f>DSUM($B$43:$X$46,R$43,$C$62:$D67)</f>
        <v>0</v>
      </c>
      <c r="S67" s="155">
        <f>DSUM($B$43:$X$46,S$43,$C$62:$D67)</f>
        <v>0</v>
      </c>
      <c r="T67" s="155">
        <f>DSUM($B$43:$X$46,T$43,$C$62:$D67)</f>
        <v>0</v>
      </c>
      <c r="U67" s="155">
        <f>DSUM($B$43:$X$46,U$43,$C$62:$D67)</f>
        <v>0</v>
      </c>
      <c r="V67" s="155">
        <f>DSUM($B$43:$X$46,V$43,$C$62:$D67)</f>
        <v>0</v>
      </c>
      <c r="W67" s="155">
        <f>DSUM($B$43:$X$46,W$43,$C$62:$D67)</f>
        <v>0</v>
      </c>
      <c r="X67" s="155">
        <f>DSUM($B$43:$X$46,X$43,$C$62:$D67)</f>
        <v>0</v>
      </c>
      <c r="Y67" s="155">
        <f t="shared" si="39"/>
        <v>0</v>
      </c>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c r="CA67" s="146"/>
      <c r="CB67" s="146"/>
    </row>
    <row r="68" spans="2:80">
      <c r="B68" s="143" t="s">
        <v>245</v>
      </c>
      <c r="C68" s="158" t="s">
        <v>246</v>
      </c>
      <c r="D68" s="158" t="s">
        <v>247</v>
      </c>
      <c r="E68" s="155">
        <f>DSUM($B$43:$X$46,E$43,$C$62:$D68)</f>
        <v>0</v>
      </c>
      <c r="F68" s="155">
        <f>DSUM($B$43:$X$46,F$43,$C$62:$D68)</f>
        <v>0</v>
      </c>
      <c r="G68" s="155">
        <f>DSUM($B$43:$X$46,G$43,$C$62:$D68)</f>
        <v>0</v>
      </c>
      <c r="H68" s="155">
        <f>DSUM($B$43:$X$46,H$43,$C$62:$D68)</f>
        <v>0</v>
      </c>
      <c r="I68" s="155">
        <f>DSUM($B$43:$X$46,I$43,$C$62:$D68)</f>
        <v>0</v>
      </c>
      <c r="J68" s="155">
        <f>DSUM($B$43:$X$46,J$43,$C$62:$D68)</f>
        <v>0</v>
      </c>
      <c r="K68" s="155">
        <f>DSUM($B$43:$X$46,K$43,$C$62:$D68)</f>
        <v>0</v>
      </c>
      <c r="L68" s="155">
        <f>DSUM($B$43:$X$46,L$43,$C$62:$D68)</f>
        <v>0</v>
      </c>
      <c r="M68" s="155">
        <f>DSUM($B$43:$X$46,M$43,$C$62:$D68)</f>
        <v>0</v>
      </c>
      <c r="N68" s="155">
        <f>DSUM($B$43:$X$46,N$43,$C$62:$D68)</f>
        <v>0</v>
      </c>
      <c r="O68" s="155">
        <f>DSUM($B$43:$X$46,O$43,$C$62:$D68)</f>
        <v>0</v>
      </c>
      <c r="P68" s="155">
        <f>DSUM($B$43:$X$46,P$43,$C$62:$D68)</f>
        <v>0</v>
      </c>
      <c r="Q68" s="155">
        <f>DSUM($B$43:$X$46,Q$43,$C$62:$D68)</f>
        <v>0</v>
      </c>
      <c r="R68" s="155">
        <f>DSUM($B$43:$X$46,R$43,$C$62:$D68)</f>
        <v>0</v>
      </c>
      <c r="S68" s="155">
        <f>DSUM($B$43:$X$46,S$43,$C$62:$D68)</f>
        <v>0</v>
      </c>
      <c r="T68" s="155">
        <f>DSUM($B$43:$X$46,T$43,$C$62:$D68)</f>
        <v>0</v>
      </c>
      <c r="U68" s="155">
        <f>DSUM($B$43:$X$46,U$43,$C$62:$D68)</f>
        <v>0</v>
      </c>
      <c r="V68" s="155">
        <f>DSUM($B$43:$X$46,V$43,$C$62:$D68)</f>
        <v>0</v>
      </c>
      <c r="W68" s="155">
        <f>DSUM($B$43:$X$46,W$43,$C$62:$D68)</f>
        <v>0</v>
      </c>
      <c r="X68" s="155">
        <f>DSUM($B$43:$X$46,X$43,$C$62:$D68)</f>
        <v>0</v>
      </c>
      <c r="Y68" s="155">
        <f t="shared" si="39"/>
        <v>0</v>
      </c>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c r="CA68" s="146"/>
      <c r="CB68" s="146"/>
    </row>
    <row r="69" spans="2:80">
      <c r="B69" s="143" t="s">
        <v>248</v>
      </c>
      <c r="C69" s="158" t="s">
        <v>249</v>
      </c>
      <c r="D69" s="158" t="s">
        <v>250</v>
      </c>
      <c r="E69" s="155">
        <f>DSUM($B$43:$X$46,E$43,$C$62:$D69)</f>
        <v>0</v>
      </c>
      <c r="F69" s="155">
        <f>DSUM($B$43:$X$46,F$43,$C$62:$D69)</f>
        <v>0</v>
      </c>
      <c r="G69" s="155">
        <f>DSUM($B$43:$X$46,G$43,$C$62:$D69)</f>
        <v>0</v>
      </c>
      <c r="H69" s="155">
        <f>DSUM($B$43:$X$46,H$43,$C$62:$D69)</f>
        <v>0</v>
      </c>
      <c r="I69" s="155">
        <f>DSUM($B$43:$X$46,I$43,$C$62:$D69)</f>
        <v>0</v>
      </c>
      <c r="J69" s="155">
        <f>DSUM($B$43:$X$46,J$43,$C$62:$D69)</f>
        <v>0</v>
      </c>
      <c r="K69" s="155">
        <f>DSUM($B$43:$X$46,K$43,$C$62:$D69)</f>
        <v>0</v>
      </c>
      <c r="L69" s="155">
        <f>DSUM($B$43:$X$46,L$43,$C$62:$D69)</f>
        <v>0</v>
      </c>
      <c r="M69" s="155">
        <f>DSUM($B$43:$X$46,M$43,$C$62:$D69)</f>
        <v>0</v>
      </c>
      <c r="N69" s="155">
        <f>DSUM($B$43:$X$46,N$43,$C$62:$D69)</f>
        <v>0</v>
      </c>
      <c r="O69" s="155">
        <f>DSUM($B$43:$X$46,O$43,$C$62:$D69)</f>
        <v>0</v>
      </c>
      <c r="P69" s="155">
        <f>DSUM($B$43:$X$46,P$43,$C$62:$D69)</f>
        <v>0</v>
      </c>
      <c r="Q69" s="155">
        <f>DSUM($B$43:$X$46,Q$43,$C$62:$D69)</f>
        <v>0</v>
      </c>
      <c r="R69" s="155">
        <f>DSUM($B$43:$X$46,R$43,$C$62:$D69)</f>
        <v>0</v>
      </c>
      <c r="S69" s="155">
        <f>DSUM($B$43:$X$46,S$43,$C$62:$D69)</f>
        <v>0</v>
      </c>
      <c r="T69" s="155">
        <f>DSUM($B$43:$X$46,T$43,$C$62:$D69)</f>
        <v>0</v>
      </c>
      <c r="U69" s="155">
        <f>DSUM($B$43:$X$46,U$43,$C$62:$D69)</f>
        <v>0</v>
      </c>
      <c r="V69" s="155">
        <f>DSUM($B$43:$X$46,V$43,$C$62:$D69)</f>
        <v>0</v>
      </c>
      <c r="W69" s="155">
        <f>DSUM($B$43:$X$46,W$43,$C$62:$D69)</f>
        <v>0</v>
      </c>
      <c r="X69" s="155">
        <f>DSUM($B$43:$X$46,X$43,$C$62:$D69)</f>
        <v>0</v>
      </c>
      <c r="Y69" s="155">
        <f t="shared" si="39"/>
        <v>0</v>
      </c>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c r="CA69" s="146"/>
      <c r="CB69" s="146"/>
    </row>
    <row r="70" spans="2:80">
      <c r="B70" s="143" t="s">
        <v>251</v>
      </c>
      <c r="C70" s="158" t="s">
        <v>252</v>
      </c>
      <c r="D70" s="158" t="s">
        <v>253</v>
      </c>
      <c r="E70" s="155">
        <f>DSUM($B$43:$X$46,E$43,$C$62:$D70)</f>
        <v>0</v>
      </c>
      <c r="F70" s="155">
        <f>DSUM($B$43:$X$46,F$43,$C$62:$D70)</f>
        <v>0</v>
      </c>
      <c r="G70" s="155">
        <f>DSUM($B$43:$X$46,G$43,$C$62:$D70)</f>
        <v>0</v>
      </c>
      <c r="H70" s="155">
        <f>DSUM($B$43:$X$46,H$43,$C$62:$D70)</f>
        <v>0</v>
      </c>
      <c r="I70" s="155">
        <f>DSUM($B$43:$X$46,I$43,$C$62:$D70)</f>
        <v>0</v>
      </c>
      <c r="J70" s="155">
        <f>DSUM($B$43:$X$46,J$43,$C$62:$D70)</f>
        <v>0</v>
      </c>
      <c r="K70" s="155">
        <f>DSUM($B$43:$X$46,K$43,$C$62:$D70)</f>
        <v>0</v>
      </c>
      <c r="L70" s="155">
        <f>DSUM($B$43:$X$46,L$43,$C$62:$D70)</f>
        <v>0</v>
      </c>
      <c r="M70" s="155">
        <f>DSUM($B$43:$X$46,M$43,$C$62:$D70)</f>
        <v>0</v>
      </c>
      <c r="N70" s="155">
        <f>DSUM($B$43:$X$46,N$43,$C$62:$D70)</f>
        <v>0</v>
      </c>
      <c r="O70" s="155">
        <f>DSUM($B$43:$X$46,O$43,$C$62:$D70)</f>
        <v>0</v>
      </c>
      <c r="P70" s="155">
        <f>DSUM($B$43:$X$46,P$43,$C$62:$D70)</f>
        <v>0</v>
      </c>
      <c r="Q70" s="155">
        <f>DSUM($B$43:$X$46,Q$43,$C$62:$D70)</f>
        <v>0</v>
      </c>
      <c r="R70" s="155">
        <f>DSUM($B$43:$X$46,R$43,$C$62:$D70)</f>
        <v>0</v>
      </c>
      <c r="S70" s="155">
        <f>DSUM($B$43:$X$46,S$43,$C$62:$D70)</f>
        <v>0</v>
      </c>
      <c r="T70" s="155">
        <f>DSUM($B$43:$X$46,T$43,$C$62:$D70)</f>
        <v>0</v>
      </c>
      <c r="U70" s="155">
        <f>DSUM($B$43:$X$46,U$43,$C$62:$D70)</f>
        <v>0</v>
      </c>
      <c r="V70" s="155">
        <f>DSUM($B$43:$X$46,V$43,$C$62:$D70)</f>
        <v>0</v>
      </c>
      <c r="W70" s="155">
        <f>DSUM($B$43:$X$46,W$43,$C$62:$D70)</f>
        <v>0</v>
      </c>
      <c r="X70" s="155">
        <f>DSUM($B$43:$X$46,X$43,$C$62:$D70)</f>
        <v>0</v>
      </c>
      <c r="Y70" s="155">
        <f t="shared" si="39"/>
        <v>0</v>
      </c>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c r="CA70" s="146"/>
      <c r="CB70" s="146"/>
    </row>
    <row r="71" spans="2:80">
      <c r="B71" s="143" t="s">
        <v>254</v>
      </c>
      <c r="C71" s="158" t="s">
        <v>255</v>
      </c>
      <c r="D71" s="158" t="s">
        <v>256</v>
      </c>
      <c r="E71" s="155">
        <f>DSUM($B$43:$X$46,E$43,$C$62:$D71)</f>
        <v>0</v>
      </c>
      <c r="F71" s="155">
        <f>DSUM($B$43:$X$46,F$43,$C$62:$D71)</f>
        <v>0</v>
      </c>
      <c r="G71" s="155">
        <f>DSUM($B$43:$X$46,G$43,$C$62:$D71)</f>
        <v>0</v>
      </c>
      <c r="H71" s="155">
        <f>DSUM($B$43:$X$46,H$43,$C$62:$D71)</f>
        <v>0</v>
      </c>
      <c r="I71" s="155">
        <f>DSUM($B$43:$X$46,I$43,$C$62:$D71)</f>
        <v>0</v>
      </c>
      <c r="J71" s="155">
        <f>DSUM($B$43:$X$46,J$43,$C$62:$D71)</f>
        <v>0</v>
      </c>
      <c r="K71" s="155">
        <f>DSUM($B$43:$X$46,K$43,$C$62:$D71)</f>
        <v>0</v>
      </c>
      <c r="L71" s="155">
        <f>DSUM($B$43:$X$46,L$43,$C$62:$D71)</f>
        <v>0</v>
      </c>
      <c r="M71" s="155">
        <f>DSUM($B$43:$X$46,M$43,$C$62:$D71)</f>
        <v>0</v>
      </c>
      <c r="N71" s="155">
        <f>DSUM($B$43:$X$46,N$43,$C$62:$D71)</f>
        <v>0</v>
      </c>
      <c r="O71" s="155">
        <f>DSUM($B$43:$X$46,O$43,$C$62:$D71)</f>
        <v>0</v>
      </c>
      <c r="P71" s="155">
        <f>DSUM($B$43:$X$46,P$43,$C$62:$D71)</f>
        <v>0</v>
      </c>
      <c r="Q71" s="155">
        <f>DSUM($B$43:$X$46,Q$43,$C$62:$D71)</f>
        <v>0</v>
      </c>
      <c r="R71" s="155">
        <f>DSUM($B$43:$X$46,R$43,$C$62:$D71)</f>
        <v>0</v>
      </c>
      <c r="S71" s="155">
        <f>DSUM($B$43:$X$46,S$43,$C$62:$D71)</f>
        <v>0</v>
      </c>
      <c r="T71" s="155">
        <f>DSUM($B$43:$X$46,T$43,$C$62:$D71)</f>
        <v>0</v>
      </c>
      <c r="U71" s="155">
        <f>DSUM($B$43:$X$46,U$43,$C$62:$D71)</f>
        <v>0</v>
      </c>
      <c r="V71" s="155">
        <f>DSUM($B$43:$X$46,V$43,$C$62:$D71)</f>
        <v>0</v>
      </c>
      <c r="W71" s="155">
        <f>DSUM($B$43:$X$46,W$43,$C$62:$D71)</f>
        <v>0</v>
      </c>
      <c r="X71" s="155">
        <f>DSUM($B$43:$X$46,X$43,$C$62:$D71)</f>
        <v>0</v>
      </c>
      <c r="Y71" s="155">
        <f t="shared" si="39"/>
        <v>0</v>
      </c>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c r="CA71" s="146"/>
      <c r="CB71" s="146"/>
    </row>
    <row r="72" spans="2:80">
      <c r="B72" s="143" t="s">
        <v>257</v>
      </c>
      <c r="C72" s="158" t="s">
        <v>258</v>
      </c>
      <c r="D72" s="158" t="s">
        <v>259</v>
      </c>
      <c r="E72" s="155">
        <f>DSUM($B$43:$X$46,E$43,$C$62:$D72)</f>
        <v>0</v>
      </c>
      <c r="F72" s="155">
        <f>DSUM($B$43:$X$46,F$43,$C$62:$D72)</f>
        <v>0</v>
      </c>
      <c r="G72" s="155">
        <f>DSUM($B$43:$X$46,G$43,$C$62:$D72)</f>
        <v>0</v>
      </c>
      <c r="H72" s="155">
        <f>DSUM($B$43:$X$46,H$43,$C$62:$D72)</f>
        <v>0</v>
      </c>
      <c r="I72" s="155">
        <f>DSUM($B$43:$X$46,I$43,$C$62:$D72)</f>
        <v>0</v>
      </c>
      <c r="J72" s="155">
        <f>DSUM($B$43:$X$46,J$43,$C$62:$D72)</f>
        <v>0</v>
      </c>
      <c r="K72" s="155">
        <f>DSUM($B$43:$X$46,K$43,$C$62:$D72)</f>
        <v>0</v>
      </c>
      <c r="L72" s="155">
        <f>DSUM($B$43:$X$46,L$43,$C$62:$D72)</f>
        <v>0</v>
      </c>
      <c r="M72" s="155">
        <f>DSUM($B$43:$X$46,M$43,$C$62:$D72)</f>
        <v>0</v>
      </c>
      <c r="N72" s="155">
        <f>DSUM($B$43:$X$46,N$43,$C$62:$D72)</f>
        <v>0</v>
      </c>
      <c r="O72" s="155">
        <f>DSUM($B$43:$X$46,O$43,$C$62:$D72)</f>
        <v>0</v>
      </c>
      <c r="P72" s="155">
        <f>DSUM($B$43:$X$46,P$43,$C$62:$D72)</f>
        <v>0</v>
      </c>
      <c r="Q72" s="155">
        <f>DSUM($B$43:$X$46,Q$43,$C$62:$D72)</f>
        <v>0</v>
      </c>
      <c r="R72" s="155">
        <f>DSUM($B$43:$X$46,R$43,$C$62:$D72)</f>
        <v>0</v>
      </c>
      <c r="S72" s="155">
        <f>DSUM($B$43:$X$46,S$43,$C$62:$D72)</f>
        <v>0</v>
      </c>
      <c r="T72" s="155">
        <f>DSUM($B$43:$X$46,T$43,$C$62:$D72)</f>
        <v>0</v>
      </c>
      <c r="U72" s="155">
        <f>DSUM($B$43:$X$46,U$43,$C$62:$D72)</f>
        <v>0</v>
      </c>
      <c r="V72" s="155">
        <f>DSUM($B$43:$X$46,V$43,$C$62:$D72)</f>
        <v>0</v>
      </c>
      <c r="W72" s="155">
        <f>DSUM($B$43:$X$46,W$43,$C$62:$D72)</f>
        <v>0</v>
      </c>
      <c r="X72" s="155">
        <f>DSUM($B$43:$X$46,X$43,$C$62:$D72)</f>
        <v>0</v>
      </c>
      <c r="Y72" s="155">
        <f t="shared" si="39"/>
        <v>0</v>
      </c>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c r="CA72" s="146"/>
      <c r="CB72" s="146"/>
    </row>
    <row r="73" spans="2:80">
      <c r="B73" s="143" t="s">
        <v>260</v>
      </c>
      <c r="C73" s="158" t="s">
        <v>261</v>
      </c>
      <c r="D73" s="158" t="s">
        <v>262</v>
      </c>
      <c r="E73" s="155">
        <f>DSUM($B$43:$X$46,E$43,$C$62:$D73)</f>
        <v>0</v>
      </c>
      <c r="F73" s="155">
        <f>DSUM($B$43:$X$46,F$43,$C$62:$D73)</f>
        <v>0</v>
      </c>
      <c r="G73" s="155">
        <f>DSUM($B$43:$X$46,G$43,$C$62:$D73)</f>
        <v>0</v>
      </c>
      <c r="H73" s="155">
        <f>DSUM($B$43:$X$46,H$43,$C$62:$D73)</f>
        <v>0</v>
      </c>
      <c r="I73" s="155">
        <f>DSUM($B$43:$X$46,I$43,$C$62:$D73)</f>
        <v>0</v>
      </c>
      <c r="J73" s="155">
        <f>DSUM($B$43:$X$46,J$43,$C$62:$D73)</f>
        <v>0</v>
      </c>
      <c r="K73" s="155">
        <f>DSUM($B$43:$X$46,K$43,$C$62:$D73)</f>
        <v>0</v>
      </c>
      <c r="L73" s="155">
        <f>DSUM($B$43:$X$46,L$43,$C$62:$D73)</f>
        <v>0</v>
      </c>
      <c r="M73" s="155">
        <f>DSUM($B$43:$X$46,M$43,$C$62:$D73)</f>
        <v>0</v>
      </c>
      <c r="N73" s="155">
        <f>DSUM($B$43:$X$46,N$43,$C$62:$D73)</f>
        <v>0</v>
      </c>
      <c r="O73" s="155">
        <f>DSUM($B$43:$X$46,O$43,$C$62:$D73)</f>
        <v>0</v>
      </c>
      <c r="P73" s="155">
        <f>DSUM($B$43:$X$46,P$43,$C$62:$D73)</f>
        <v>0</v>
      </c>
      <c r="Q73" s="155">
        <f>DSUM($B$43:$X$46,Q$43,$C$62:$D73)</f>
        <v>0</v>
      </c>
      <c r="R73" s="155">
        <f>DSUM($B$43:$X$46,R$43,$C$62:$D73)</f>
        <v>0</v>
      </c>
      <c r="S73" s="155">
        <f>DSUM($B$43:$X$46,S$43,$C$62:$D73)</f>
        <v>0</v>
      </c>
      <c r="T73" s="155">
        <f>DSUM($B$43:$X$46,T$43,$C$62:$D73)</f>
        <v>0</v>
      </c>
      <c r="U73" s="155">
        <f>DSUM($B$43:$X$46,U$43,$C$62:$D73)</f>
        <v>0</v>
      </c>
      <c r="V73" s="155">
        <f>DSUM($B$43:$X$46,V$43,$C$62:$D73)</f>
        <v>0</v>
      </c>
      <c r="W73" s="155">
        <f>DSUM($B$43:$X$46,W$43,$C$62:$D73)</f>
        <v>0</v>
      </c>
      <c r="X73" s="155">
        <f>DSUM($B$43:$X$46,X$43,$C$62:$D73)</f>
        <v>0</v>
      </c>
      <c r="Y73" s="155">
        <f t="shared" si="39"/>
        <v>0</v>
      </c>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c r="CA73" s="146"/>
      <c r="CB73" s="146"/>
    </row>
    <row r="74" spans="2:80">
      <c r="B74" s="143" t="s">
        <v>263</v>
      </c>
      <c r="C74" s="158" t="s">
        <v>264</v>
      </c>
      <c r="D74" s="158" t="s">
        <v>265</v>
      </c>
      <c r="E74" s="155">
        <f>DSUM($B$43:$X$46,E$43,$C$62:$D74)</f>
        <v>0</v>
      </c>
      <c r="F74" s="155">
        <f>DSUM($B$43:$X$46,F$43,$C$62:$D74)</f>
        <v>0</v>
      </c>
      <c r="G74" s="155">
        <f>DSUM($B$43:$X$46,G$43,$C$62:$D74)</f>
        <v>0</v>
      </c>
      <c r="H74" s="155">
        <f>DSUM($B$43:$X$46,H$43,$C$62:$D74)</f>
        <v>0</v>
      </c>
      <c r="I74" s="155">
        <f>DSUM($B$43:$X$46,I$43,$C$62:$D74)</f>
        <v>0</v>
      </c>
      <c r="J74" s="155">
        <f>DSUM($B$43:$X$46,J$43,$C$62:$D74)</f>
        <v>0</v>
      </c>
      <c r="K74" s="155">
        <f>DSUM($B$43:$X$46,K$43,$C$62:$D74)</f>
        <v>0</v>
      </c>
      <c r="L74" s="155">
        <f>DSUM($B$43:$X$46,L$43,$C$62:$D74)</f>
        <v>0</v>
      </c>
      <c r="M74" s="155">
        <f>DSUM($B$43:$X$46,M$43,$C$62:$D74)</f>
        <v>0</v>
      </c>
      <c r="N74" s="155">
        <f>DSUM($B$43:$X$46,N$43,$C$62:$D74)</f>
        <v>0</v>
      </c>
      <c r="O74" s="155">
        <f>DSUM($B$43:$X$46,O$43,$C$62:$D74)</f>
        <v>0</v>
      </c>
      <c r="P74" s="155">
        <f>DSUM($B$43:$X$46,P$43,$C$62:$D74)</f>
        <v>0</v>
      </c>
      <c r="Q74" s="155">
        <f>DSUM($B$43:$X$46,Q$43,$C$62:$D74)</f>
        <v>0</v>
      </c>
      <c r="R74" s="155">
        <f>DSUM($B$43:$X$46,R$43,$C$62:$D74)</f>
        <v>0</v>
      </c>
      <c r="S74" s="155">
        <f>DSUM($B$43:$X$46,S$43,$C$62:$D74)</f>
        <v>0</v>
      </c>
      <c r="T74" s="155">
        <f>DSUM($B$43:$X$46,T$43,$C$62:$D74)</f>
        <v>0</v>
      </c>
      <c r="U74" s="155">
        <f>DSUM($B$43:$X$46,U$43,$C$62:$D74)</f>
        <v>0</v>
      </c>
      <c r="V74" s="155">
        <f>DSUM($B$43:$X$46,V$43,$C$62:$D74)</f>
        <v>0</v>
      </c>
      <c r="W74" s="155">
        <f>DSUM($B$43:$X$46,W$43,$C$62:$D74)</f>
        <v>0</v>
      </c>
      <c r="X74" s="155">
        <f>DSUM($B$43:$X$46,X$43,$C$62:$D74)</f>
        <v>0</v>
      </c>
      <c r="Y74" s="155">
        <f t="shared" si="39"/>
        <v>0</v>
      </c>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c r="CA74" s="146"/>
      <c r="CB74" s="146"/>
    </row>
    <row r="75" spans="2:80">
      <c r="B75" s="143" t="s">
        <v>266</v>
      </c>
      <c r="C75" s="158" t="s">
        <v>267</v>
      </c>
      <c r="D75" s="158" t="s">
        <v>268</v>
      </c>
      <c r="E75" s="155">
        <f>DSUM($B$43:$X$46,E$43,$C$62:$D75)</f>
        <v>0</v>
      </c>
      <c r="F75" s="155">
        <f>DSUM($B$43:$X$46,F$43,$C$62:$D75)</f>
        <v>0</v>
      </c>
      <c r="G75" s="155">
        <f>DSUM($B$43:$X$46,G$43,$C$62:$D75)</f>
        <v>0</v>
      </c>
      <c r="H75" s="155">
        <f>DSUM($B$43:$X$46,H$43,$C$62:$D75)</f>
        <v>0</v>
      </c>
      <c r="I75" s="155">
        <f>DSUM($B$43:$X$46,I$43,$C$62:$D75)</f>
        <v>0</v>
      </c>
      <c r="J75" s="155">
        <f>DSUM($B$43:$X$46,J$43,$C$62:$D75)</f>
        <v>0</v>
      </c>
      <c r="K75" s="155">
        <f>DSUM($B$43:$X$46,K$43,$C$62:$D75)</f>
        <v>0</v>
      </c>
      <c r="L75" s="155">
        <f>DSUM($B$43:$X$46,L$43,$C$62:$D75)</f>
        <v>0</v>
      </c>
      <c r="M75" s="155">
        <f>DSUM($B$43:$X$46,M$43,$C$62:$D75)</f>
        <v>0</v>
      </c>
      <c r="N75" s="155">
        <f>DSUM($B$43:$X$46,N$43,$C$62:$D75)</f>
        <v>0</v>
      </c>
      <c r="O75" s="155">
        <f>DSUM($B$43:$X$46,O$43,$C$62:$D75)</f>
        <v>0</v>
      </c>
      <c r="P75" s="155">
        <f>DSUM($B$43:$X$46,P$43,$C$62:$D75)</f>
        <v>0</v>
      </c>
      <c r="Q75" s="155">
        <f>DSUM($B$43:$X$46,Q$43,$C$62:$D75)</f>
        <v>0</v>
      </c>
      <c r="R75" s="155">
        <f>DSUM($B$43:$X$46,R$43,$C$62:$D75)</f>
        <v>0</v>
      </c>
      <c r="S75" s="155">
        <f>DSUM($B$43:$X$46,S$43,$C$62:$D75)</f>
        <v>0</v>
      </c>
      <c r="T75" s="155">
        <f>DSUM($B$43:$X$46,T$43,$C$62:$D75)</f>
        <v>0</v>
      </c>
      <c r="U75" s="155">
        <f>DSUM($B$43:$X$46,U$43,$C$62:$D75)</f>
        <v>0</v>
      </c>
      <c r="V75" s="155">
        <f>DSUM($B$43:$X$46,V$43,$C$62:$D75)</f>
        <v>0</v>
      </c>
      <c r="W75" s="155">
        <f>DSUM($B$43:$X$46,W$43,$C$62:$D75)</f>
        <v>0</v>
      </c>
      <c r="X75" s="155">
        <f>DSUM($B$43:$X$46,X$43,$C$62:$D75)</f>
        <v>0</v>
      </c>
      <c r="Y75" s="155">
        <f t="shared" si="39"/>
        <v>0</v>
      </c>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c r="CA75" s="146"/>
      <c r="CB75" s="146"/>
    </row>
    <row r="76" spans="2:80">
      <c r="B76" s="143" t="s">
        <v>269</v>
      </c>
      <c r="C76" s="158" t="s">
        <v>270</v>
      </c>
      <c r="D76" s="158" t="s">
        <v>271</v>
      </c>
      <c r="E76" s="155">
        <f>DSUM($B$43:$X$46,E$43,$C$62:$D76)</f>
        <v>0</v>
      </c>
      <c r="F76" s="155">
        <f>DSUM($B$43:$X$46,F$43,$C$62:$D76)</f>
        <v>0</v>
      </c>
      <c r="G76" s="155">
        <f>DSUM($B$43:$X$46,G$43,$C$62:$D76)</f>
        <v>0</v>
      </c>
      <c r="H76" s="155">
        <f>DSUM($B$43:$X$46,H$43,$C$62:$D76)</f>
        <v>0</v>
      </c>
      <c r="I76" s="155">
        <f>DSUM($B$43:$X$46,I$43,$C$62:$D76)</f>
        <v>0</v>
      </c>
      <c r="J76" s="155">
        <f>DSUM($B$43:$X$46,J$43,$C$62:$D76)</f>
        <v>0</v>
      </c>
      <c r="K76" s="155">
        <f>DSUM($B$43:$X$46,K$43,$C$62:$D76)</f>
        <v>0</v>
      </c>
      <c r="L76" s="155">
        <f>DSUM($B$43:$X$46,L$43,$C$62:$D76)</f>
        <v>0</v>
      </c>
      <c r="M76" s="155">
        <f>DSUM($B$43:$X$46,M$43,$C$62:$D76)</f>
        <v>0</v>
      </c>
      <c r="N76" s="155">
        <f>DSUM($B$43:$X$46,N$43,$C$62:$D76)</f>
        <v>0</v>
      </c>
      <c r="O76" s="155">
        <f>DSUM($B$43:$X$46,O$43,$C$62:$D76)</f>
        <v>0</v>
      </c>
      <c r="P76" s="155">
        <f>DSUM($B$43:$X$46,P$43,$C$62:$D76)</f>
        <v>0</v>
      </c>
      <c r="Q76" s="155">
        <f>DSUM($B$43:$X$46,Q$43,$C$62:$D76)</f>
        <v>0</v>
      </c>
      <c r="R76" s="155">
        <f>DSUM($B$43:$X$46,R$43,$C$62:$D76)</f>
        <v>0</v>
      </c>
      <c r="S76" s="155">
        <f>DSUM($B$43:$X$46,S$43,$C$62:$D76)</f>
        <v>0</v>
      </c>
      <c r="T76" s="155">
        <f>DSUM($B$43:$X$46,T$43,$C$62:$D76)</f>
        <v>0</v>
      </c>
      <c r="U76" s="155">
        <f>DSUM($B$43:$X$46,U$43,$C$62:$D76)</f>
        <v>0</v>
      </c>
      <c r="V76" s="155">
        <f>DSUM($B$43:$X$46,V$43,$C$62:$D76)</f>
        <v>0</v>
      </c>
      <c r="W76" s="155">
        <f>DSUM($B$43:$X$46,W$43,$C$62:$D76)</f>
        <v>0</v>
      </c>
      <c r="X76" s="155">
        <f>DSUM($B$43:$X$46,X$43,$C$62:$D76)</f>
        <v>0</v>
      </c>
      <c r="Y76" s="155">
        <f t="shared" si="39"/>
        <v>0</v>
      </c>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c r="CA76" s="146"/>
      <c r="CB76" s="146"/>
    </row>
    <row r="77" spans="2:80">
      <c r="B77" s="143" t="s">
        <v>272</v>
      </c>
      <c r="C77" s="158" t="s">
        <v>273</v>
      </c>
      <c r="D77" s="158" t="s">
        <v>274</v>
      </c>
      <c r="E77" s="155">
        <f>DSUM($B$43:$X$46,E$43,$C$62:$D77)</f>
        <v>0</v>
      </c>
      <c r="F77" s="155">
        <f>DSUM($B$43:$X$46,F$43,$C$62:$D77)</f>
        <v>0</v>
      </c>
      <c r="G77" s="155">
        <f>DSUM($B$43:$X$46,G$43,$C$62:$D77)</f>
        <v>0</v>
      </c>
      <c r="H77" s="155">
        <f>DSUM($B$43:$X$46,H$43,$C$62:$D77)</f>
        <v>0</v>
      </c>
      <c r="I77" s="155">
        <f>DSUM($B$43:$X$46,I$43,$C$62:$D77)</f>
        <v>0</v>
      </c>
      <c r="J77" s="155">
        <f>DSUM($B$43:$X$46,J$43,$C$62:$D77)</f>
        <v>0</v>
      </c>
      <c r="K77" s="155">
        <f>DSUM($B$43:$X$46,K$43,$C$62:$D77)</f>
        <v>0</v>
      </c>
      <c r="L77" s="155">
        <f>DSUM($B$43:$X$46,L$43,$C$62:$D77)</f>
        <v>0</v>
      </c>
      <c r="M77" s="155">
        <f>DSUM($B$43:$X$46,M$43,$C$62:$D77)</f>
        <v>0</v>
      </c>
      <c r="N77" s="155">
        <f>DSUM($B$43:$X$46,N$43,$C$62:$D77)</f>
        <v>0</v>
      </c>
      <c r="O77" s="155">
        <f>DSUM($B$43:$X$46,O$43,$C$62:$D77)</f>
        <v>0</v>
      </c>
      <c r="P77" s="155">
        <f>DSUM($B$43:$X$46,P$43,$C$62:$D77)</f>
        <v>0</v>
      </c>
      <c r="Q77" s="155">
        <f>DSUM($B$43:$X$46,Q$43,$C$62:$D77)</f>
        <v>0</v>
      </c>
      <c r="R77" s="155">
        <f>DSUM($B$43:$X$46,R$43,$C$62:$D77)</f>
        <v>0</v>
      </c>
      <c r="S77" s="155">
        <f>DSUM($B$43:$X$46,S$43,$C$62:$D77)</f>
        <v>0</v>
      </c>
      <c r="T77" s="155">
        <f>DSUM($B$43:$X$46,T$43,$C$62:$D77)</f>
        <v>0</v>
      </c>
      <c r="U77" s="155">
        <f>DSUM($B$43:$X$46,U$43,$C$62:$D77)</f>
        <v>0</v>
      </c>
      <c r="V77" s="155">
        <f>DSUM($B$43:$X$46,V$43,$C$62:$D77)</f>
        <v>0</v>
      </c>
      <c r="W77" s="155">
        <f>DSUM($B$43:$X$46,W$43,$C$62:$D77)</f>
        <v>0</v>
      </c>
      <c r="X77" s="155">
        <f>DSUM($B$43:$X$46,X$43,$C$62:$D77)</f>
        <v>0</v>
      </c>
      <c r="Y77" s="155">
        <f t="shared" si="39"/>
        <v>0</v>
      </c>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c r="CA77" s="146"/>
      <c r="CB77" s="146"/>
    </row>
    <row r="78" spans="2:80">
      <c r="B78" s="143" t="s">
        <v>275</v>
      </c>
      <c r="C78" s="158" t="s">
        <v>276</v>
      </c>
      <c r="D78" s="158" t="s">
        <v>277</v>
      </c>
      <c r="E78" s="155">
        <f>DSUM($B$43:$X$46,E$43,$C$62:$D78)</f>
        <v>0</v>
      </c>
      <c r="F78" s="155">
        <f>DSUM($B$43:$X$46,F$43,$C$62:$D78)</f>
        <v>0</v>
      </c>
      <c r="G78" s="155">
        <f>DSUM($B$43:$X$46,G$43,$C$62:$D78)</f>
        <v>0</v>
      </c>
      <c r="H78" s="155">
        <f>DSUM($B$43:$X$46,H$43,$C$62:$D78)</f>
        <v>0</v>
      </c>
      <c r="I78" s="155">
        <f>DSUM($B$43:$X$46,I$43,$C$62:$D78)</f>
        <v>0</v>
      </c>
      <c r="J78" s="155">
        <f>DSUM($B$43:$X$46,J$43,$C$62:$D78)</f>
        <v>0</v>
      </c>
      <c r="K78" s="155">
        <f>DSUM($B$43:$X$46,K$43,$C$62:$D78)</f>
        <v>0</v>
      </c>
      <c r="L78" s="155">
        <f>DSUM($B$43:$X$46,L$43,$C$62:$D78)</f>
        <v>0</v>
      </c>
      <c r="M78" s="155">
        <f>DSUM($B$43:$X$46,M$43,$C$62:$D78)</f>
        <v>0</v>
      </c>
      <c r="N78" s="155">
        <f>DSUM($B$43:$X$46,N$43,$C$62:$D78)</f>
        <v>0</v>
      </c>
      <c r="O78" s="155">
        <f>DSUM($B$43:$X$46,O$43,$C$62:$D78)</f>
        <v>0</v>
      </c>
      <c r="P78" s="155">
        <f>DSUM($B$43:$X$46,P$43,$C$62:$D78)</f>
        <v>0</v>
      </c>
      <c r="Q78" s="155">
        <f>DSUM($B$43:$X$46,Q$43,$C$62:$D78)</f>
        <v>0</v>
      </c>
      <c r="R78" s="155">
        <f>DSUM($B$43:$X$46,R$43,$C$62:$D78)</f>
        <v>0</v>
      </c>
      <c r="S78" s="155">
        <f>DSUM($B$43:$X$46,S$43,$C$62:$D78)</f>
        <v>0</v>
      </c>
      <c r="T78" s="155">
        <f>DSUM($B$43:$X$46,T$43,$C$62:$D78)</f>
        <v>0</v>
      </c>
      <c r="U78" s="155">
        <f>DSUM($B$43:$X$46,U$43,$C$62:$D78)</f>
        <v>0</v>
      </c>
      <c r="V78" s="155">
        <f>DSUM($B$43:$X$46,V$43,$C$62:$D78)</f>
        <v>0</v>
      </c>
      <c r="W78" s="155">
        <f>DSUM($B$43:$X$46,W$43,$C$62:$D78)</f>
        <v>0</v>
      </c>
      <c r="X78" s="155">
        <f>DSUM($B$43:$X$46,X$43,$C$62:$D78)</f>
        <v>0</v>
      </c>
      <c r="Y78" s="155">
        <f t="shared" si="39"/>
        <v>0</v>
      </c>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c r="CA78" s="146"/>
      <c r="CB78" s="146"/>
    </row>
    <row r="79" spans="2:80">
      <c r="B79" s="143" t="s">
        <v>278</v>
      </c>
      <c r="C79" s="158" t="s">
        <v>279</v>
      </c>
      <c r="D79" s="158" t="s">
        <v>280</v>
      </c>
      <c r="E79" s="155">
        <f>DSUM($B$43:$X$46,E$43,$C$62:$D79)</f>
        <v>0</v>
      </c>
      <c r="F79" s="155">
        <f>DSUM($B$43:$X$46,F$43,$C$62:$D79)</f>
        <v>0</v>
      </c>
      <c r="G79" s="155">
        <f>DSUM($B$43:$X$46,G$43,$C$62:$D79)</f>
        <v>0</v>
      </c>
      <c r="H79" s="155">
        <f>DSUM($B$43:$X$46,H$43,$C$62:$D79)</f>
        <v>0</v>
      </c>
      <c r="I79" s="155">
        <f>DSUM($B$43:$X$46,I$43,$C$62:$D79)</f>
        <v>0</v>
      </c>
      <c r="J79" s="155">
        <f>DSUM($B$43:$X$46,J$43,$C$62:$D79)</f>
        <v>0</v>
      </c>
      <c r="K79" s="155">
        <f>DSUM($B$43:$X$46,K$43,$C$62:$D79)</f>
        <v>0</v>
      </c>
      <c r="L79" s="155">
        <f>DSUM($B$43:$X$46,L$43,$C$62:$D79)</f>
        <v>0</v>
      </c>
      <c r="M79" s="155">
        <f>DSUM($B$43:$X$46,M$43,$C$62:$D79)</f>
        <v>0</v>
      </c>
      <c r="N79" s="155">
        <f>DSUM($B$43:$X$46,N$43,$C$62:$D79)</f>
        <v>0</v>
      </c>
      <c r="O79" s="155">
        <f>DSUM($B$43:$X$46,O$43,$C$62:$D79)</f>
        <v>0</v>
      </c>
      <c r="P79" s="155">
        <f>DSUM($B$43:$X$46,P$43,$C$62:$D79)</f>
        <v>0</v>
      </c>
      <c r="Q79" s="155">
        <f>DSUM($B$43:$X$46,Q$43,$C$62:$D79)</f>
        <v>0</v>
      </c>
      <c r="R79" s="155">
        <f>DSUM($B$43:$X$46,R$43,$C$62:$D79)</f>
        <v>0</v>
      </c>
      <c r="S79" s="155">
        <f>DSUM($B$43:$X$46,S$43,$C$62:$D79)</f>
        <v>0</v>
      </c>
      <c r="T79" s="155">
        <f>DSUM($B$43:$X$46,T$43,$C$62:$D79)</f>
        <v>0</v>
      </c>
      <c r="U79" s="155">
        <f>DSUM($B$43:$X$46,U$43,$C$62:$D79)</f>
        <v>0</v>
      </c>
      <c r="V79" s="155">
        <f>DSUM($B$43:$X$46,V$43,$C$62:$D79)</f>
        <v>0</v>
      </c>
      <c r="W79" s="155">
        <f>DSUM($B$43:$X$46,W$43,$C$62:$D79)</f>
        <v>0</v>
      </c>
      <c r="X79" s="155">
        <f>DSUM($B$43:$X$46,X$43,$C$62:$D79)</f>
        <v>0</v>
      </c>
      <c r="Y79" s="155">
        <f t="shared" si="39"/>
        <v>0</v>
      </c>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c r="CA79" s="146"/>
      <c r="CB79" s="146"/>
    </row>
    <row r="80" spans="2:80">
      <c r="B80" s="143" t="s">
        <v>281</v>
      </c>
      <c r="C80" s="158" t="s">
        <v>282</v>
      </c>
      <c r="D80" s="158" t="s">
        <v>283</v>
      </c>
      <c r="E80" s="155">
        <f>DSUM($B$43:$X$46,E$43,$C$62:$D80)</f>
        <v>0</v>
      </c>
      <c r="F80" s="155">
        <f>DSUM($B$43:$X$46,F$43,$C$62:$D80)</f>
        <v>0</v>
      </c>
      <c r="G80" s="155">
        <f>DSUM($B$43:$X$46,G$43,$C$62:$D80)</f>
        <v>0</v>
      </c>
      <c r="H80" s="155">
        <f>DSUM($B$43:$X$46,H$43,$C$62:$D80)</f>
        <v>0</v>
      </c>
      <c r="I80" s="155">
        <f>DSUM($B$43:$X$46,I$43,$C$62:$D80)</f>
        <v>0</v>
      </c>
      <c r="J80" s="155">
        <f>DSUM($B$43:$X$46,J$43,$C$62:$D80)</f>
        <v>0</v>
      </c>
      <c r="K80" s="155">
        <f>DSUM($B$43:$X$46,K$43,$C$62:$D80)</f>
        <v>0</v>
      </c>
      <c r="L80" s="155">
        <f>DSUM($B$43:$X$46,L$43,$C$62:$D80)</f>
        <v>0</v>
      </c>
      <c r="M80" s="155">
        <f>DSUM($B$43:$X$46,M$43,$C$62:$D80)</f>
        <v>0</v>
      </c>
      <c r="N80" s="155">
        <f>DSUM($B$43:$X$46,N$43,$C$62:$D80)</f>
        <v>0</v>
      </c>
      <c r="O80" s="155">
        <f>DSUM($B$43:$X$46,O$43,$C$62:$D80)</f>
        <v>0</v>
      </c>
      <c r="P80" s="155">
        <f>DSUM($B$43:$X$46,P$43,$C$62:$D80)</f>
        <v>0</v>
      </c>
      <c r="Q80" s="155">
        <f>DSUM($B$43:$X$46,Q$43,$C$62:$D80)</f>
        <v>0</v>
      </c>
      <c r="R80" s="155">
        <f>DSUM($B$43:$X$46,R$43,$C$62:$D80)</f>
        <v>0</v>
      </c>
      <c r="S80" s="155">
        <f>DSUM($B$43:$X$46,S$43,$C$62:$D80)</f>
        <v>0</v>
      </c>
      <c r="T80" s="155">
        <f>DSUM($B$43:$X$46,T$43,$C$62:$D80)</f>
        <v>0</v>
      </c>
      <c r="U80" s="155">
        <f>DSUM($B$43:$X$46,U$43,$C$62:$D80)</f>
        <v>0</v>
      </c>
      <c r="V80" s="155">
        <f>DSUM($B$43:$X$46,V$43,$C$62:$D80)</f>
        <v>0</v>
      </c>
      <c r="W80" s="155">
        <f>DSUM($B$43:$X$46,W$43,$C$62:$D80)</f>
        <v>0</v>
      </c>
      <c r="X80" s="155">
        <f>DSUM($B$43:$X$46,X$43,$C$62:$D80)</f>
        <v>0</v>
      </c>
      <c r="Y80" s="155">
        <f t="shared" si="39"/>
        <v>0</v>
      </c>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c r="CA80" s="146"/>
      <c r="CB80" s="146"/>
    </row>
    <row r="81" spans="2:80">
      <c r="B81" s="143" t="s">
        <v>284</v>
      </c>
      <c r="C81" s="158" t="s">
        <v>285</v>
      </c>
      <c r="D81" s="158" t="s">
        <v>286</v>
      </c>
      <c r="E81" s="155">
        <f ca="1">DSUM($B$43:$X$46,E$43,$C$62:$D81)</f>
        <v>3.3246162888090432E-4</v>
      </c>
      <c r="F81" s="155">
        <f ca="1">DSUM($B$43:$X$46,F$43,$C$62:$D81)</f>
        <v>9.8577012210179327E-4</v>
      </c>
      <c r="G81" s="155">
        <f ca="1">DSUM($B$43:$X$46,G$43,$C$62:$D81)</f>
        <v>2.1331700477239578E-3</v>
      </c>
      <c r="H81" s="155">
        <f ca="1">DSUM($B$43:$X$46,H$43,$C$62:$D81)</f>
        <v>3.8862186908817558E-3</v>
      </c>
      <c r="I81" s="155">
        <f ca="1">DSUM($B$43:$X$46,I$43,$C$62:$D81)</f>
        <v>6.2682899229958384E-3</v>
      </c>
      <c r="J81" s="155">
        <f ca="1">DSUM($B$43:$X$46,J$43,$C$62:$D81)</f>
        <v>9.6404063845129742E-3</v>
      </c>
      <c r="K81" s="155">
        <f ca="1">DSUM($B$43:$X$46,K$43,$C$62:$D81)</f>
        <v>1.4401485991269392E-2</v>
      </c>
      <c r="L81" s="155">
        <f ca="1">DSUM($B$43:$X$46,L$43,$C$62:$D81)</f>
        <v>2.1071785449690007E-2</v>
      </c>
      <c r="M81" s="155">
        <f ca="1">DSUM($B$43:$X$46,M$43,$C$62:$D81)</f>
        <v>2.9695859561860369E-2</v>
      </c>
      <c r="N81" s="155">
        <f ca="1">DSUM($B$43:$X$46,N$43,$C$62:$D81)</f>
        <v>4.0328290670769949E-2</v>
      </c>
      <c r="O81" s="155">
        <f ca="1">DSUM($B$43:$X$46,O$43,$C$62:$D81)</f>
        <v>5.1565990291924851E-2</v>
      </c>
      <c r="P81" s="155">
        <f ca="1">DSUM($B$43:$X$46,P$43,$C$62:$D81)</f>
        <v>6.3359059971131448E-2</v>
      </c>
      <c r="Q81" s="155">
        <f ca="1">DSUM($B$43:$X$46,Q$43,$C$62:$D81)</f>
        <v>7.5307388756427784E-2</v>
      </c>
      <c r="R81" s="155">
        <f ca="1">DSUM($B$43:$X$46,R$43,$C$62:$D81)</f>
        <v>8.5533623083905858E-2</v>
      </c>
      <c r="S81" s="155">
        <f ca="1">DSUM($B$43:$X$46,S$43,$C$62:$D81)</f>
        <v>9.4097540967404927E-2</v>
      </c>
      <c r="T81" s="155">
        <f ca="1">DSUM($B$43:$X$46,T$43,$C$62:$D81)</f>
        <v>9.9822973274700313E-2</v>
      </c>
      <c r="U81" s="155">
        <f ca="1">DSUM($B$43:$X$46,U$43,$C$62:$D81)</f>
        <v>0.10374216550019269</v>
      </c>
      <c r="V81" s="155">
        <f ca="1">DSUM($B$43:$X$46,V$43,$C$62:$D81)</f>
        <v>0.10620132766890188</v>
      </c>
      <c r="W81" s="155">
        <f ca="1">DSUM($B$43:$X$46,W$43,$C$62:$D81)</f>
        <v>0.10642448700072513</v>
      </c>
      <c r="X81" s="155">
        <f ca="1">DSUM($B$43:$X$46,X$43,$C$62:$D81)</f>
        <v>0.10710570370395071</v>
      </c>
      <c r="Y81" s="155">
        <f t="shared" ca="1" si="39"/>
        <v>1.0219039986899525</v>
      </c>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c r="CA81" s="146"/>
      <c r="CB81" s="146"/>
    </row>
    <row r="82" spans="2:80">
      <c r="B82" s="143" t="s">
        <v>287</v>
      </c>
      <c r="C82" s="158" t="s">
        <v>288</v>
      </c>
      <c r="D82" s="158" t="s">
        <v>289</v>
      </c>
      <c r="E82" s="155">
        <f ca="1">DSUM($B$43:$X$46,E$43,$C$62:$D82)</f>
        <v>3.3246162888090432E-4</v>
      </c>
      <c r="F82" s="155">
        <f ca="1">DSUM($B$43:$X$46,F$43,$C$62:$D82)</f>
        <v>9.8577012210179327E-4</v>
      </c>
      <c r="G82" s="155">
        <f ca="1">DSUM($B$43:$X$46,G$43,$C$62:$D82)</f>
        <v>2.1331700477239578E-3</v>
      </c>
      <c r="H82" s="155">
        <f ca="1">DSUM($B$43:$X$46,H$43,$C$62:$D82)</f>
        <v>3.8862186908817558E-3</v>
      </c>
      <c r="I82" s="155">
        <f ca="1">DSUM($B$43:$X$46,I$43,$C$62:$D82)</f>
        <v>6.2682899229958384E-3</v>
      </c>
      <c r="J82" s="155">
        <f ca="1">DSUM($B$43:$X$46,J$43,$C$62:$D82)</f>
        <v>9.6404063845129742E-3</v>
      </c>
      <c r="K82" s="155">
        <f ca="1">DSUM($B$43:$X$46,K$43,$C$62:$D82)</f>
        <v>1.4401485991269392E-2</v>
      </c>
      <c r="L82" s="155">
        <f ca="1">DSUM($B$43:$X$46,L$43,$C$62:$D82)</f>
        <v>2.1071785449690007E-2</v>
      </c>
      <c r="M82" s="155">
        <f ca="1">DSUM($B$43:$X$46,M$43,$C$62:$D82)</f>
        <v>2.9695859561860369E-2</v>
      </c>
      <c r="N82" s="155">
        <f ca="1">DSUM($B$43:$X$46,N$43,$C$62:$D82)</f>
        <v>4.0328290670769949E-2</v>
      </c>
      <c r="O82" s="155">
        <f ca="1">DSUM($B$43:$X$46,O$43,$C$62:$D82)</f>
        <v>5.1565990291924851E-2</v>
      </c>
      <c r="P82" s="155">
        <f ca="1">DSUM($B$43:$X$46,P$43,$C$62:$D82)</f>
        <v>6.3359059971131448E-2</v>
      </c>
      <c r="Q82" s="155">
        <f ca="1">DSUM($B$43:$X$46,Q$43,$C$62:$D82)</f>
        <v>7.5307388756427784E-2</v>
      </c>
      <c r="R82" s="155">
        <f ca="1">DSUM($B$43:$X$46,R$43,$C$62:$D82)</f>
        <v>8.5533623083905858E-2</v>
      </c>
      <c r="S82" s="155">
        <f ca="1">DSUM($B$43:$X$46,S$43,$C$62:$D82)</f>
        <v>9.4097540967404927E-2</v>
      </c>
      <c r="T82" s="155">
        <f ca="1">DSUM($B$43:$X$46,T$43,$C$62:$D82)</f>
        <v>9.9822973274700313E-2</v>
      </c>
      <c r="U82" s="155">
        <f ca="1">DSUM($B$43:$X$46,U$43,$C$62:$D82)</f>
        <v>0.10374216550019269</v>
      </c>
      <c r="V82" s="155">
        <f ca="1">DSUM($B$43:$X$46,V$43,$C$62:$D82)</f>
        <v>0.10620132766890188</v>
      </c>
      <c r="W82" s="155">
        <f ca="1">DSUM($B$43:$X$46,W$43,$C$62:$D82)</f>
        <v>0.10642448700072513</v>
      </c>
      <c r="X82" s="155">
        <f ca="1">DSUM($B$43:$X$46,X$43,$C$62:$D82)</f>
        <v>0.10710570370395071</v>
      </c>
      <c r="Y82" s="155">
        <f t="shared" ca="1" si="39"/>
        <v>1.0219039986899525</v>
      </c>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c r="CA82" s="146"/>
      <c r="CB82" s="146"/>
    </row>
    <row r="83" spans="2:80">
      <c r="B83" s="143" t="s">
        <v>290</v>
      </c>
      <c r="C83" s="158" t="s">
        <v>291</v>
      </c>
      <c r="D83" s="158" t="s">
        <v>292</v>
      </c>
      <c r="E83" s="155">
        <f ca="1">DSUM($B$43:$X$46,E$43,$C$62:$D83)</f>
        <v>1.2669316308314862E-3</v>
      </c>
      <c r="F83" s="155">
        <f ca="1">DSUM($B$43:$X$46,F$43,$C$62:$D83)</f>
        <v>3.6664068686656686E-3</v>
      </c>
      <c r="G83" s="155">
        <f ca="1">DSUM($B$43:$X$46,G$43,$C$62:$D83)</f>
        <v>7.6809890043123535E-3</v>
      </c>
      <c r="H83" s="155">
        <f ca="1">DSUM($B$43:$X$46,H$43,$C$62:$D83)</f>
        <v>1.3985767327928771E-2</v>
      </c>
      <c r="I83" s="155">
        <f ca="1">DSUM($B$43:$X$46,I$43,$C$62:$D83)</f>
        <v>2.3086197696014991E-2</v>
      </c>
      <c r="J83" s="155">
        <f ca="1">DSUM($B$43:$X$46,J$43,$C$62:$D83)</f>
        <v>3.5202923603041059E-2</v>
      </c>
      <c r="K83" s="155">
        <f ca="1">DSUM($B$43:$X$46,K$43,$C$62:$D83)</f>
        <v>5.1865145760221547E-2</v>
      </c>
      <c r="L83" s="155">
        <f ca="1">DSUM($B$43:$X$46,L$43,$C$62:$D83)</f>
        <v>7.4629366383296827E-2</v>
      </c>
      <c r="M83" s="155">
        <f ca="1">DSUM($B$43:$X$46,M$43,$C$62:$D83)</f>
        <v>0.10262055759845207</v>
      </c>
      <c r="N83" s="155">
        <f ca="1">DSUM($B$43:$X$46,N$43,$C$62:$D83)</f>
        <v>0.13845617947215133</v>
      </c>
      <c r="O83" s="155">
        <f ca="1">DSUM($B$43:$X$46,O$43,$C$62:$D83)</f>
        <v>0.17738868831377139</v>
      </c>
      <c r="P83" s="155">
        <f ca="1">DSUM($B$43:$X$46,P$43,$C$62:$D83)</f>
        <v>0.21593052180632541</v>
      </c>
      <c r="Q83" s="155">
        <f ca="1">DSUM($B$43:$X$46,Q$43,$C$62:$D83)</f>
        <v>0.25156494189191475</v>
      </c>
      <c r="R83" s="155">
        <f ca="1">DSUM($B$43:$X$46,R$43,$C$62:$D83)</f>
        <v>0.28813885142221729</v>
      </c>
      <c r="S83" s="155">
        <f ca="1">DSUM($B$43:$X$46,S$43,$C$62:$D83)</f>
        <v>0.32234023986394456</v>
      </c>
      <c r="T83" s="155">
        <f ca="1">DSUM($B$43:$X$46,T$43,$C$62:$D83)</f>
        <v>0.34595644980187878</v>
      </c>
      <c r="U83" s="155">
        <f ca="1">DSUM($B$43:$X$46,U$43,$C$62:$D83)</f>
        <v>0.35536707341004037</v>
      </c>
      <c r="V83" s="155">
        <f ca="1">DSUM($B$43:$X$46,V$43,$C$62:$D83)</f>
        <v>0.36665203575439786</v>
      </c>
      <c r="W83" s="155">
        <f ca="1">DSUM($B$43:$X$46,W$43,$C$62:$D83)</f>
        <v>0.37322216249492479</v>
      </c>
      <c r="X83" s="155">
        <f ca="1">DSUM($B$43:$X$46,X$43,$C$62:$D83)</f>
        <v>0.37846054170364213</v>
      </c>
      <c r="Y83" s="155">
        <f t="shared" ca="1" si="39"/>
        <v>3.5274819718079735</v>
      </c>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c r="CA83" s="146"/>
      <c r="CB83" s="146"/>
    </row>
    <row r="84" spans="2:80">
      <c r="B84" s="60" t="s">
        <v>842</v>
      </c>
      <c r="C84" s="229" t="s">
        <v>294</v>
      </c>
      <c r="D84" s="229" t="s">
        <v>843</v>
      </c>
      <c r="E84" s="155">
        <f ca="1">DSUM($B$43:$X$46,E$43,$C$62:$D84)</f>
        <v>1.2669316308314862E-3</v>
      </c>
      <c r="F84" s="155">
        <f ca="1">DSUM($B$43:$X$46,F$43,$C$62:$D84)</f>
        <v>3.6664068686656686E-3</v>
      </c>
      <c r="G84" s="155">
        <f ca="1">DSUM($B$43:$X$46,G$43,$C$62:$D84)</f>
        <v>7.6809890043123535E-3</v>
      </c>
      <c r="H84" s="155">
        <f ca="1">DSUM($B$43:$X$46,H$43,$C$62:$D84)</f>
        <v>1.3985767327928771E-2</v>
      </c>
      <c r="I84" s="155">
        <f ca="1">DSUM($B$43:$X$46,I$43,$C$62:$D84)</f>
        <v>2.3086197696014991E-2</v>
      </c>
      <c r="J84" s="155">
        <f ca="1">DSUM($B$43:$X$46,J$43,$C$62:$D84)</f>
        <v>3.5202923603041059E-2</v>
      </c>
      <c r="K84" s="155">
        <f ca="1">DSUM($B$43:$X$46,K$43,$C$62:$D84)</f>
        <v>5.1865145760221547E-2</v>
      </c>
      <c r="L84" s="155">
        <f ca="1">DSUM($B$43:$X$46,L$43,$C$62:$D84)</f>
        <v>7.4629366383296827E-2</v>
      </c>
      <c r="M84" s="155">
        <f ca="1">DSUM($B$43:$X$46,M$43,$C$62:$D84)</f>
        <v>0.10262055759845207</v>
      </c>
      <c r="N84" s="155">
        <f ca="1">DSUM($B$43:$X$46,N$43,$C$62:$D84)</f>
        <v>0.13845617947215133</v>
      </c>
      <c r="O84" s="155">
        <f ca="1">DSUM($B$43:$X$46,O$43,$C$62:$D84)</f>
        <v>0.17738868831377139</v>
      </c>
      <c r="P84" s="155">
        <f ca="1">DSUM($B$43:$X$46,P$43,$C$62:$D84)</f>
        <v>0.21593052180632541</v>
      </c>
      <c r="Q84" s="155">
        <f ca="1">DSUM($B$43:$X$46,Q$43,$C$62:$D84)</f>
        <v>0.25156494189191475</v>
      </c>
      <c r="R84" s="155">
        <f ca="1">DSUM($B$43:$X$46,R$43,$C$62:$D84)</f>
        <v>0.28813885142221729</v>
      </c>
      <c r="S84" s="155">
        <f ca="1">DSUM($B$43:$X$46,S$43,$C$62:$D84)</f>
        <v>0.32234023986394456</v>
      </c>
      <c r="T84" s="155">
        <f ca="1">DSUM($B$43:$X$46,T$43,$C$62:$D84)</f>
        <v>0.34595644980187878</v>
      </c>
      <c r="U84" s="155">
        <f ca="1">DSUM($B$43:$X$46,U$43,$C$62:$D84)</f>
        <v>0.35536707341004037</v>
      </c>
      <c r="V84" s="155">
        <f ca="1">DSUM($B$43:$X$46,V$43,$C$62:$D84)</f>
        <v>0.36665203575439786</v>
      </c>
      <c r="W84" s="155">
        <f ca="1">DSUM($B$43:$X$46,W$43,$C$62:$D84)</f>
        <v>0.37322216249492479</v>
      </c>
      <c r="X84" s="155">
        <f ca="1">DSUM($B$43:$X$46,X$43,$C$62:$D84)</f>
        <v>0.37846054170364213</v>
      </c>
      <c r="Y84" s="155">
        <f t="shared" ca="1" si="39"/>
        <v>3.5274819718079735</v>
      </c>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c r="CA84" s="146"/>
      <c r="CB84" s="146"/>
    </row>
    <row r="85" spans="2:80">
      <c r="B85" s="60" t="s">
        <v>813</v>
      </c>
      <c r="C85" s="229" t="s">
        <v>814</v>
      </c>
      <c r="D85" s="229" t="s">
        <v>815</v>
      </c>
      <c r="E85" s="155">
        <f ca="1">DSUM($B$43:$X$46,E$43,$C$62:$D85)</f>
        <v>1.2669316308314862E-3</v>
      </c>
      <c r="F85" s="155">
        <f ca="1">DSUM($B$43:$X$46,F$43,$C$62:$D85)</f>
        <v>3.6664068686656686E-3</v>
      </c>
      <c r="G85" s="155">
        <f ca="1">DSUM($B$43:$X$46,G$43,$C$62:$D85)</f>
        <v>7.6809890043123535E-3</v>
      </c>
      <c r="H85" s="155">
        <f ca="1">DSUM($B$43:$X$46,H$43,$C$62:$D85)</f>
        <v>1.3985767327928771E-2</v>
      </c>
      <c r="I85" s="155">
        <f ca="1">DSUM($B$43:$X$46,I$43,$C$62:$D85)</f>
        <v>2.3086197696014991E-2</v>
      </c>
      <c r="J85" s="155">
        <f ca="1">DSUM($B$43:$X$46,J$43,$C$62:$D85)</f>
        <v>3.5202923603041059E-2</v>
      </c>
      <c r="K85" s="155">
        <f ca="1">DSUM($B$43:$X$46,K$43,$C$62:$D85)</f>
        <v>5.1865145760221547E-2</v>
      </c>
      <c r="L85" s="155">
        <f ca="1">DSUM($B$43:$X$46,L$43,$C$62:$D85)</f>
        <v>7.4629366383296827E-2</v>
      </c>
      <c r="M85" s="155">
        <f ca="1">DSUM($B$43:$X$46,M$43,$C$62:$D85)</f>
        <v>0.10262055759845207</v>
      </c>
      <c r="N85" s="155">
        <f ca="1">DSUM($B$43:$X$46,N$43,$C$62:$D85)</f>
        <v>0.13845617947215133</v>
      </c>
      <c r="O85" s="155">
        <f ca="1">DSUM($B$43:$X$46,O$43,$C$62:$D85)</f>
        <v>0.17738868831377139</v>
      </c>
      <c r="P85" s="155">
        <f ca="1">DSUM($B$43:$X$46,P$43,$C$62:$D85)</f>
        <v>0.21593052180632541</v>
      </c>
      <c r="Q85" s="155">
        <f ca="1">DSUM($B$43:$X$46,Q$43,$C$62:$D85)</f>
        <v>0.25156494189191475</v>
      </c>
      <c r="R85" s="155">
        <f ca="1">DSUM($B$43:$X$46,R$43,$C$62:$D85)</f>
        <v>0.28813885142221729</v>
      </c>
      <c r="S85" s="155">
        <f ca="1">DSUM($B$43:$X$46,S$43,$C$62:$D85)</f>
        <v>0.32234023986394456</v>
      </c>
      <c r="T85" s="155">
        <f ca="1">DSUM($B$43:$X$46,T$43,$C$62:$D85)</f>
        <v>0.34595644980187878</v>
      </c>
      <c r="U85" s="155">
        <f ca="1">DSUM($B$43:$X$46,U$43,$C$62:$D85)</f>
        <v>0.35536707341004037</v>
      </c>
      <c r="V85" s="155">
        <f ca="1">DSUM($B$43:$X$46,V$43,$C$62:$D85)</f>
        <v>0.36665203575439786</v>
      </c>
      <c r="W85" s="155">
        <f ca="1">DSUM($B$43:$X$46,W$43,$C$62:$D85)</f>
        <v>0.37322216249492479</v>
      </c>
      <c r="X85" s="155">
        <f ca="1">DSUM($B$43:$X$46,X$43,$C$62:$D85)</f>
        <v>0.37846054170364213</v>
      </c>
      <c r="Y85" s="155">
        <f t="shared" ca="1" si="39"/>
        <v>3.5274819718079735</v>
      </c>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row>
    <row r="86" spans="2:80">
      <c r="B86" s="60" t="s">
        <v>816</v>
      </c>
      <c r="C86" s="229" t="s">
        <v>817</v>
      </c>
      <c r="D86" s="229" t="s">
        <v>818</v>
      </c>
      <c r="E86" s="155">
        <f ca="1">DSUM($B$43:$X$46,E$43,$C$62:$D86)</f>
        <v>1.2669316308314862E-3</v>
      </c>
      <c r="F86" s="155">
        <f ca="1">DSUM($B$43:$X$46,F$43,$C$62:$D86)</f>
        <v>3.6664068686656686E-3</v>
      </c>
      <c r="G86" s="155">
        <f ca="1">DSUM($B$43:$X$46,G$43,$C$62:$D86)</f>
        <v>7.6809890043123535E-3</v>
      </c>
      <c r="H86" s="155">
        <f ca="1">DSUM($B$43:$X$46,H$43,$C$62:$D86)</f>
        <v>1.3985767327928771E-2</v>
      </c>
      <c r="I86" s="155">
        <f ca="1">DSUM($B$43:$X$46,I$43,$C$62:$D86)</f>
        <v>2.3086197696014991E-2</v>
      </c>
      <c r="J86" s="155">
        <f ca="1">DSUM($B$43:$X$46,J$43,$C$62:$D86)</f>
        <v>3.5202923603041059E-2</v>
      </c>
      <c r="K86" s="155">
        <f ca="1">DSUM($B$43:$X$46,K$43,$C$62:$D86)</f>
        <v>5.1865145760221547E-2</v>
      </c>
      <c r="L86" s="155">
        <f ca="1">DSUM($B$43:$X$46,L$43,$C$62:$D86)</f>
        <v>7.4629366383296827E-2</v>
      </c>
      <c r="M86" s="155">
        <f ca="1">DSUM($B$43:$X$46,M$43,$C$62:$D86)</f>
        <v>0.10262055759845207</v>
      </c>
      <c r="N86" s="155">
        <f ca="1">DSUM($B$43:$X$46,N$43,$C$62:$D86)</f>
        <v>0.13845617947215133</v>
      </c>
      <c r="O86" s="155">
        <f ca="1">DSUM($B$43:$X$46,O$43,$C$62:$D86)</f>
        <v>0.17738868831377139</v>
      </c>
      <c r="P86" s="155">
        <f ca="1">DSUM($B$43:$X$46,P$43,$C$62:$D86)</f>
        <v>0.21593052180632541</v>
      </c>
      <c r="Q86" s="155">
        <f ca="1">DSUM($B$43:$X$46,Q$43,$C$62:$D86)</f>
        <v>0.25156494189191475</v>
      </c>
      <c r="R86" s="155">
        <f ca="1">DSUM($B$43:$X$46,R$43,$C$62:$D86)</f>
        <v>0.28813885142221729</v>
      </c>
      <c r="S86" s="155">
        <f ca="1">DSUM($B$43:$X$46,S$43,$C$62:$D86)</f>
        <v>0.32234023986394456</v>
      </c>
      <c r="T86" s="155">
        <f ca="1">DSUM($B$43:$X$46,T$43,$C$62:$D86)</f>
        <v>0.34595644980187878</v>
      </c>
      <c r="U86" s="155">
        <f ca="1">DSUM($B$43:$X$46,U$43,$C$62:$D86)</f>
        <v>0.35536707341004037</v>
      </c>
      <c r="V86" s="155">
        <f ca="1">DSUM($B$43:$X$46,V$43,$C$62:$D86)</f>
        <v>0.36665203575439786</v>
      </c>
      <c r="W86" s="155">
        <f ca="1">DSUM($B$43:$X$46,W$43,$C$62:$D86)</f>
        <v>0.37322216249492479</v>
      </c>
      <c r="X86" s="155">
        <f ca="1">DSUM($B$43:$X$46,X$43,$C$62:$D86)</f>
        <v>0.37846054170364213</v>
      </c>
      <c r="Y86" s="155">
        <f t="shared" ca="1" si="39"/>
        <v>3.5274819718079735</v>
      </c>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c r="CA86" s="146"/>
      <c r="CB86" s="146"/>
    </row>
    <row r="87" spans="2:80">
      <c r="B87" s="60" t="s">
        <v>819</v>
      </c>
      <c r="C87" s="229" t="s">
        <v>820</v>
      </c>
      <c r="D87" s="229" t="s">
        <v>821</v>
      </c>
      <c r="E87" s="155">
        <f ca="1">DSUM($B$43:$X$46,E$43,$C$62:$D87)</f>
        <v>1.2669316308314862E-3</v>
      </c>
      <c r="F87" s="155">
        <f ca="1">DSUM($B$43:$X$46,F$43,$C$62:$D87)</f>
        <v>3.6664068686656686E-3</v>
      </c>
      <c r="G87" s="155">
        <f ca="1">DSUM($B$43:$X$46,G$43,$C$62:$D87)</f>
        <v>7.6809890043123535E-3</v>
      </c>
      <c r="H87" s="155">
        <f ca="1">DSUM($B$43:$X$46,H$43,$C$62:$D87)</f>
        <v>1.3985767327928771E-2</v>
      </c>
      <c r="I87" s="155">
        <f ca="1">DSUM($B$43:$X$46,I$43,$C$62:$D87)</f>
        <v>2.3086197696014991E-2</v>
      </c>
      <c r="J87" s="155">
        <f ca="1">DSUM($B$43:$X$46,J$43,$C$62:$D87)</f>
        <v>3.5202923603041059E-2</v>
      </c>
      <c r="K87" s="155">
        <f ca="1">DSUM($B$43:$X$46,K$43,$C$62:$D87)</f>
        <v>5.1865145760221547E-2</v>
      </c>
      <c r="L87" s="155">
        <f ca="1">DSUM($B$43:$X$46,L$43,$C$62:$D87)</f>
        <v>7.4629366383296827E-2</v>
      </c>
      <c r="M87" s="155">
        <f ca="1">DSUM($B$43:$X$46,M$43,$C$62:$D87)</f>
        <v>0.10262055759845207</v>
      </c>
      <c r="N87" s="155">
        <f ca="1">DSUM($B$43:$X$46,N$43,$C$62:$D87)</f>
        <v>0.13845617947215133</v>
      </c>
      <c r="O87" s="155">
        <f ca="1">DSUM($B$43:$X$46,O$43,$C$62:$D87)</f>
        <v>0.17738868831377139</v>
      </c>
      <c r="P87" s="155">
        <f ca="1">DSUM($B$43:$X$46,P$43,$C$62:$D87)</f>
        <v>0.21593052180632541</v>
      </c>
      <c r="Q87" s="155">
        <f ca="1">DSUM($B$43:$X$46,Q$43,$C$62:$D87)</f>
        <v>0.25156494189191475</v>
      </c>
      <c r="R87" s="155">
        <f ca="1">DSUM($B$43:$X$46,R$43,$C$62:$D87)</f>
        <v>0.28813885142221729</v>
      </c>
      <c r="S87" s="155">
        <f ca="1">DSUM($B$43:$X$46,S$43,$C$62:$D87)</f>
        <v>0.32234023986394456</v>
      </c>
      <c r="T87" s="155">
        <f ca="1">DSUM($B$43:$X$46,T$43,$C$62:$D87)</f>
        <v>0.34595644980187878</v>
      </c>
      <c r="U87" s="155">
        <f ca="1">DSUM($B$43:$X$46,U$43,$C$62:$D87)</f>
        <v>0.35536707341004037</v>
      </c>
      <c r="V87" s="155">
        <f ca="1">DSUM($B$43:$X$46,V$43,$C$62:$D87)</f>
        <v>0.36665203575439786</v>
      </c>
      <c r="W87" s="155">
        <f ca="1">DSUM($B$43:$X$46,W$43,$C$62:$D87)</f>
        <v>0.37322216249492479</v>
      </c>
      <c r="X87" s="155">
        <f ca="1">DSUM($B$43:$X$46,X$43,$C$62:$D87)</f>
        <v>0.37846054170364213</v>
      </c>
      <c r="Y87" s="155">
        <f t="shared" ca="1" si="39"/>
        <v>3.5274819718079735</v>
      </c>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c r="CA87" s="146"/>
      <c r="CB87" s="146"/>
    </row>
    <row r="88" spans="2:80">
      <c r="B88" s="60" t="s">
        <v>822</v>
      </c>
      <c r="C88" s="229" t="s">
        <v>823</v>
      </c>
      <c r="D88" s="229" t="s">
        <v>824</v>
      </c>
      <c r="E88" s="155">
        <f ca="1">DSUM($B$43:$X$46,E$43,$C$62:$D88)</f>
        <v>1.2669316308314862E-3</v>
      </c>
      <c r="F88" s="155">
        <f ca="1">DSUM($B$43:$X$46,F$43,$C$62:$D88)</f>
        <v>3.6664068686656686E-3</v>
      </c>
      <c r="G88" s="155">
        <f ca="1">DSUM($B$43:$X$46,G$43,$C$62:$D88)</f>
        <v>7.6809890043123535E-3</v>
      </c>
      <c r="H88" s="155">
        <f ca="1">DSUM($B$43:$X$46,H$43,$C$62:$D88)</f>
        <v>1.3985767327928771E-2</v>
      </c>
      <c r="I88" s="155">
        <f ca="1">DSUM($B$43:$X$46,I$43,$C$62:$D88)</f>
        <v>2.3086197696014991E-2</v>
      </c>
      <c r="J88" s="155">
        <f ca="1">DSUM($B$43:$X$46,J$43,$C$62:$D88)</f>
        <v>3.5202923603041059E-2</v>
      </c>
      <c r="K88" s="155">
        <f ca="1">DSUM($B$43:$X$46,K$43,$C$62:$D88)</f>
        <v>5.1865145760221547E-2</v>
      </c>
      <c r="L88" s="155">
        <f ca="1">DSUM($B$43:$X$46,L$43,$C$62:$D88)</f>
        <v>7.4629366383296827E-2</v>
      </c>
      <c r="M88" s="155">
        <f ca="1">DSUM($B$43:$X$46,M$43,$C$62:$D88)</f>
        <v>0.10262055759845207</v>
      </c>
      <c r="N88" s="155">
        <f ca="1">DSUM($B$43:$X$46,N$43,$C$62:$D88)</f>
        <v>0.13845617947215133</v>
      </c>
      <c r="O88" s="155">
        <f ca="1">DSUM($B$43:$X$46,O$43,$C$62:$D88)</f>
        <v>0.17738868831377139</v>
      </c>
      <c r="P88" s="155">
        <f ca="1">DSUM($B$43:$X$46,P$43,$C$62:$D88)</f>
        <v>0.21593052180632541</v>
      </c>
      <c r="Q88" s="155">
        <f ca="1">DSUM($B$43:$X$46,Q$43,$C$62:$D88)</f>
        <v>0.25156494189191475</v>
      </c>
      <c r="R88" s="155">
        <f ca="1">DSUM($B$43:$X$46,R$43,$C$62:$D88)</f>
        <v>0.28813885142221729</v>
      </c>
      <c r="S88" s="155">
        <f ca="1">DSUM($B$43:$X$46,S$43,$C$62:$D88)</f>
        <v>0.32234023986394456</v>
      </c>
      <c r="T88" s="155">
        <f ca="1">DSUM($B$43:$X$46,T$43,$C$62:$D88)</f>
        <v>0.34595644980187878</v>
      </c>
      <c r="U88" s="155">
        <f ca="1">DSUM($B$43:$X$46,U$43,$C$62:$D88)</f>
        <v>0.35536707341004037</v>
      </c>
      <c r="V88" s="155">
        <f ca="1">DSUM($B$43:$X$46,V$43,$C$62:$D88)</f>
        <v>0.36665203575439786</v>
      </c>
      <c r="W88" s="155">
        <f ca="1">DSUM($B$43:$X$46,W$43,$C$62:$D88)</f>
        <v>0.37322216249492479</v>
      </c>
      <c r="X88" s="155">
        <f ca="1">DSUM($B$43:$X$46,X$43,$C$62:$D88)</f>
        <v>0.37846054170364213</v>
      </c>
      <c r="Y88" s="155">
        <f t="shared" ca="1" si="39"/>
        <v>3.5274819718079735</v>
      </c>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c r="CA88" s="146"/>
      <c r="CB88" s="146"/>
    </row>
    <row r="89" spans="2:80">
      <c r="B89" s="60" t="s">
        <v>825</v>
      </c>
      <c r="C89" s="229" t="s">
        <v>826</v>
      </c>
      <c r="D89" s="229" t="s">
        <v>827</v>
      </c>
      <c r="E89" s="155">
        <f ca="1">DSUM($B$43:$X$46,E$43,$C$62:$D89)</f>
        <v>1.2669316308314862E-3</v>
      </c>
      <c r="F89" s="155">
        <f ca="1">DSUM($B$43:$X$46,F$43,$C$62:$D89)</f>
        <v>3.6664068686656686E-3</v>
      </c>
      <c r="G89" s="155">
        <f ca="1">DSUM($B$43:$X$46,G$43,$C$62:$D89)</f>
        <v>7.6809890043123535E-3</v>
      </c>
      <c r="H89" s="155">
        <f ca="1">DSUM($B$43:$X$46,H$43,$C$62:$D89)</f>
        <v>1.3985767327928771E-2</v>
      </c>
      <c r="I89" s="155">
        <f ca="1">DSUM($B$43:$X$46,I$43,$C$62:$D89)</f>
        <v>2.3086197696014991E-2</v>
      </c>
      <c r="J89" s="155">
        <f ca="1">DSUM($B$43:$X$46,J$43,$C$62:$D89)</f>
        <v>3.5202923603041059E-2</v>
      </c>
      <c r="K89" s="155">
        <f ca="1">DSUM($B$43:$X$46,K$43,$C$62:$D89)</f>
        <v>5.1865145760221547E-2</v>
      </c>
      <c r="L89" s="155">
        <f ca="1">DSUM($B$43:$X$46,L$43,$C$62:$D89)</f>
        <v>7.4629366383296827E-2</v>
      </c>
      <c r="M89" s="155">
        <f ca="1">DSUM($B$43:$X$46,M$43,$C$62:$D89)</f>
        <v>0.10262055759845207</v>
      </c>
      <c r="N89" s="155">
        <f ca="1">DSUM($B$43:$X$46,N$43,$C$62:$D89)</f>
        <v>0.13845617947215133</v>
      </c>
      <c r="O89" s="155">
        <f ca="1">DSUM($B$43:$X$46,O$43,$C$62:$D89)</f>
        <v>0.17738868831377139</v>
      </c>
      <c r="P89" s="155">
        <f ca="1">DSUM($B$43:$X$46,P$43,$C$62:$D89)</f>
        <v>0.21593052180632541</v>
      </c>
      <c r="Q89" s="155">
        <f ca="1">DSUM($B$43:$X$46,Q$43,$C$62:$D89)</f>
        <v>0.25156494189191475</v>
      </c>
      <c r="R89" s="155">
        <f ca="1">DSUM($B$43:$X$46,R$43,$C$62:$D89)</f>
        <v>0.28813885142221729</v>
      </c>
      <c r="S89" s="155">
        <f ca="1">DSUM($B$43:$X$46,S$43,$C$62:$D89)</f>
        <v>0.32234023986394456</v>
      </c>
      <c r="T89" s="155">
        <f ca="1">DSUM($B$43:$X$46,T$43,$C$62:$D89)</f>
        <v>0.34595644980187878</v>
      </c>
      <c r="U89" s="155">
        <f ca="1">DSUM($B$43:$X$46,U$43,$C$62:$D89)</f>
        <v>0.35536707341004037</v>
      </c>
      <c r="V89" s="155">
        <f ca="1">DSUM($B$43:$X$46,V$43,$C$62:$D89)</f>
        <v>0.36665203575439786</v>
      </c>
      <c r="W89" s="155">
        <f ca="1">DSUM($B$43:$X$46,W$43,$C$62:$D89)</f>
        <v>0.37322216249492479</v>
      </c>
      <c r="X89" s="155">
        <f ca="1">DSUM($B$43:$X$46,X$43,$C$62:$D89)</f>
        <v>0.37846054170364213</v>
      </c>
      <c r="Y89" s="155">
        <f t="shared" ca="1" si="39"/>
        <v>3.5274819718079735</v>
      </c>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c r="CA89" s="146"/>
      <c r="CB89" s="146"/>
    </row>
    <row r="90" spans="2:80">
      <c r="B90" s="60" t="s">
        <v>828</v>
      </c>
      <c r="C90" s="229" t="s">
        <v>829</v>
      </c>
      <c r="D90" s="229" t="s">
        <v>830</v>
      </c>
      <c r="E90" s="155">
        <f ca="1">DSUM($B$43:$X$46,E$43,$C$62:$D90)</f>
        <v>1.2669316308314862E-3</v>
      </c>
      <c r="F90" s="155">
        <f ca="1">DSUM($B$43:$X$46,F$43,$C$62:$D90)</f>
        <v>3.6664068686656686E-3</v>
      </c>
      <c r="G90" s="155">
        <f ca="1">DSUM($B$43:$X$46,G$43,$C$62:$D90)</f>
        <v>7.6809890043123535E-3</v>
      </c>
      <c r="H90" s="155">
        <f ca="1">DSUM($B$43:$X$46,H$43,$C$62:$D90)</f>
        <v>1.3985767327928771E-2</v>
      </c>
      <c r="I90" s="155">
        <f ca="1">DSUM($B$43:$X$46,I$43,$C$62:$D90)</f>
        <v>2.3086197696014991E-2</v>
      </c>
      <c r="J90" s="155">
        <f ca="1">DSUM($B$43:$X$46,J$43,$C$62:$D90)</f>
        <v>3.5202923603041059E-2</v>
      </c>
      <c r="K90" s="155">
        <f ca="1">DSUM($B$43:$X$46,K$43,$C$62:$D90)</f>
        <v>5.1865145760221547E-2</v>
      </c>
      <c r="L90" s="155">
        <f ca="1">DSUM($B$43:$X$46,L$43,$C$62:$D90)</f>
        <v>7.4629366383296827E-2</v>
      </c>
      <c r="M90" s="155">
        <f ca="1">DSUM($B$43:$X$46,M$43,$C$62:$D90)</f>
        <v>0.10262055759845207</v>
      </c>
      <c r="N90" s="155">
        <f ca="1">DSUM($B$43:$X$46,N$43,$C$62:$D90)</f>
        <v>0.13845617947215133</v>
      </c>
      <c r="O90" s="155">
        <f ca="1">DSUM($B$43:$X$46,O$43,$C$62:$D90)</f>
        <v>0.17738868831377139</v>
      </c>
      <c r="P90" s="155">
        <f ca="1">DSUM($B$43:$X$46,P$43,$C$62:$D90)</f>
        <v>0.21593052180632541</v>
      </c>
      <c r="Q90" s="155">
        <f ca="1">DSUM($B$43:$X$46,Q$43,$C$62:$D90)</f>
        <v>0.25156494189191475</v>
      </c>
      <c r="R90" s="155">
        <f ca="1">DSUM($B$43:$X$46,R$43,$C$62:$D90)</f>
        <v>0.28813885142221729</v>
      </c>
      <c r="S90" s="155">
        <f ca="1">DSUM($B$43:$X$46,S$43,$C$62:$D90)</f>
        <v>0.32234023986394456</v>
      </c>
      <c r="T90" s="155">
        <f ca="1">DSUM($B$43:$X$46,T$43,$C$62:$D90)</f>
        <v>0.34595644980187878</v>
      </c>
      <c r="U90" s="155">
        <f ca="1">DSUM($B$43:$X$46,U$43,$C$62:$D90)</f>
        <v>0.35536707341004037</v>
      </c>
      <c r="V90" s="155">
        <f ca="1">DSUM($B$43:$X$46,V$43,$C$62:$D90)</f>
        <v>0.36665203575439786</v>
      </c>
      <c r="W90" s="155">
        <f ca="1">DSUM($B$43:$X$46,W$43,$C$62:$D90)</f>
        <v>0.37322216249492479</v>
      </c>
      <c r="X90" s="155">
        <f ca="1">DSUM($B$43:$X$46,X$43,$C$62:$D90)</f>
        <v>0.37846054170364213</v>
      </c>
      <c r="Y90" s="155">
        <f t="shared" ca="1" si="39"/>
        <v>3.5274819718079735</v>
      </c>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c r="CA90" s="146"/>
      <c r="CB90" s="146"/>
    </row>
    <row r="91" spans="2:80">
      <c r="B91" s="60" t="s">
        <v>831</v>
      </c>
      <c r="C91" s="229" t="s">
        <v>832</v>
      </c>
      <c r="D91" s="229" t="s">
        <v>833</v>
      </c>
      <c r="E91" s="155">
        <f ca="1">DSUM($B$43:$X$46,E$43,$C$62:$D91)</f>
        <v>1.2669316308314862E-3</v>
      </c>
      <c r="F91" s="155">
        <f ca="1">DSUM($B$43:$X$46,F$43,$C$62:$D91)</f>
        <v>3.6664068686656686E-3</v>
      </c>
      <c r="G91" s="155">
        <f ca="1">DSUM($B$43:$X$46,G$43,$C$62:$D91)</f>
        <v>7.6809890043123535E-3</v>
      </c>
      <c r="H91" s="155">
        <f ca="1">DSUM($B$43:$X$46,H$43,$C$62:$D91)</f>
        <v>1.3985767327928771E-2</v>
      </c>
      <c r="I91" s="155">
        <f ca="1">DSUM($B$43:$X$46,I$43,$C$62:$D91)</f>
        <v>2.3086197696014991E-2</v>
      </c>
      <c r="J91" s="155">
        <f ca="1">DSUM($B$43:$X$46,J$43,$C$62:$D91)</f>
        <v>3.5202923603041059E-2</v>
      </c>
      <c r="K91" s="155">
        <f ca="1">DSUM($B$43:$X$46,K$43,$C$62:$D91)</f>
        <v>5.1865145760221547E-2</v>
      </c>
      <c r="L91" s="155">
        <f ca="1">DSUM($B$43:$X$46,L$43,$C$62:$D91)</f>
        <v>7.4629366383296827E-2</v>
      </c>
      <c r="M91" s="155">
        <f ca="1">DSUM($B$43:$X$46,M$43,$C$62:$D91)</f>
        <v>0.10262055759845207</v>
      </c>
      <c r="N91" s="155">
        <f ca="1">DSUM($B$43:$X$46,N$43,$C$62:$D91)</f>
        <v>0.13845617947215133</v>
      </c>
      <c r="O91" s="155">
        <f ca="1">DSUM($B$43:$X$46,O$43,$C$62:$D91)</f>
        <v>0.17738868831377139</v>
      </c>
      <c r="P91" s="155">
        <f ca="1">DSUM($B$43:$X$46,P$43,$C$62:$D91)</f>
        <v>0.21593052180632541</v>
      </c>
      <c r="Q91" s="155">
        <f ca="1">DSUM($B$43:$X$46,Q$43,$C$62:$D91)</f>
        <v>0.25156494189191475</v>
      </c>
      <c r="R91" s="155">
        <f ca="1">DSUM($B$43:$X$46,R$43,$C$62:$D91)</f>
        <v>0.28813885142221729</v>
      </c>
      <c r="S91" s="155">
        <f ca="1">DSUM($B$43:$X$46,S$43,$C$62:$D91)</f>
        <v>0.32234023986394456</v>
      </c>
      <c r="T91" s="155">
        <f ca="1">DSUM($B$43:$X$46,T$43,$C$62:$D91)</f>
        <v>0.34595644980187878</v>
      </c>
      <c r="U91" s="155">
        <f ca="1">DSUM($B$43:$X$46,U$43,$C$62:$D91)</f>
        <v>0.35536707341004037</v>
      </c>
      <c r="V91" s="155">
        <f ca="1">DSUM($B$43:$X$46,V$43,$C$62:$D91)</f>
        <v>0.36665203575439786</v>
      </c>
      <c r="W91" s="155">
        <f ca="1">DSUM($B$43:$X$46,W$43,$C$62:$D91)</f>
        <v>0.37322216249492479</v>
      </c>
      <c r="X91" s="155">
        <f ca="1">DSUM($B$43:$X$46,X$43,$C$62:$D91)</f>
        <v>0.37846054170364213</v>
      </c>
      <c r="Y91" s="155">
        <f t="shared" ca="1" si="39"/>
        <v>3.5274819718079735</v>
      </c>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c r="CA91" s="146"/>
      <c r="CB91" s="146"/>
    </row>
    <row r="92" spans="2:80">
      <c r="B92" s="60" t="s">
        <v>834</v>
      </c>
      <c r="C92" s="229" t="s">
        <v>835</v>
      </c>
      <c r="D92" s="229" t="s">
        <v>836</v>
      </c>
      <c r="E92" s="155">
        <f ca="1">DSUM($B$43:$X$46,E$43,$C$62:$D92)</f>
        <v>1.2669316308314862E-3</v>
      </c>
      <c r="F92" s="155">
        <f ca="1">DSUM($B$43:$X$46,F$43,$C$62:$D92)</f>
        <v>3.6664068686656686E-3</v>
      </c>
      <c r="G92" s="155">
        <f ca="1">DSUM($B$43:$X$46,G$43,$C$62:$D92)</f>
        <v>7.6809890043123535E-3</v>
      </c>
      <c r="H92" s="155">
        <f ca="1">DSUM($B$43:$X$46,H$43,$C$62:$D92)</f>
        <v>1.3985767327928771E-2</v>
      </c>
      <c r="I92" s="155">
        <f ca="1">DSUM($B$43:$X$46,I$43,$C$62:$D92)</f>
        <v>2.3086197696014991E-2</v>
      </c>
      <c r="J92" s="155">
        <f ca="1">DSUM($B$43:$X$46,J$43,$C$62:$D92)</f>
        <v>3.5202923603041059E-2</v>
      </c>
      <c r="K92" s="155">
        <f ca="1">DSUM($B$43:$X$46,K$43,$C$62:$D92)</f>
        <v>5.1865145760221547E-2</v>
      </c>
      <c r="L92" s="155">
        <f ca="1">DSUM($B$43:$X$46,L$43,$C$62:$D92)</f>
        <v>7.4629366383296827E-2</v>
      </c>
      <c r="M92" s="155">
        <f ca="1">DSUM($B$43:$X$46,M$43,$C$62:$D92)</f>
        <v>0.10262055759845207</v>
      </c>
      <c r="N92" s="155">
        <f ca="1">DSUM($B$43:$X$46,N$43,$C$62:$D92)</f>
        <v>0.13845617947215133</v>
      </c>
      <c r="O92" s="155">
        <f ca="1">DSUM($B$43:$X$46,O$43,$C$62:$D92)</f>
        <v>0.17738868831377139</v>
      </c>
      <c r="P92" s="155">
        <f ca="1">DSUM($B$43:$X$46,P$43,$C$62:$D92)</f>
        <v>0.21593052180632541</v>
      </c>
      <c r="Q92" s="155">
        <f ca="1">DSUM($B$43:$X$46,Q$43,$C$62:$D92)</f>
        <v>0.25156494189191475</v>
      </c>
      <c r="R92" s="155">
        <f ca="1">DSUM($B$43:$X$46,R$43,$C$62:$D92)</f>
        <v>0.28813885142221729</v>
      </c>
      <c r="S92" s="155">
        <f ca="1">DSUM($B$43:$X$46,S$43,$C$62:$D92)</f>
        <v>0.32234023986394456</v>
      </c>
      <c r="T92" s="155">
        <f ca="1">DSUM($B$43:$X$46,T$43,$C$62:$D92)</f>
        <v>0.34595644980187878</v>
      </c>
      <c r="U92" s="155">
        <f ca="1">DSUM($B$43:$X$46,U$43,$C$62:$D92)</f>
        <v>0.35536707341004037</v>
      </c>
      <c r="V92" s="155">
        <f ca="1">DSUM($B$43:$X$46,V$43,$C$62:$D92)</f>
        <v>0.36665203575439786</v>
      </c>
      <c r="W92" s="155">
        <f ca="1">DSUM($B$43:$X$46,W$43,$C$62:$D92)</f>
        <v>0.37322216249492479</v>
      </c>
      <c r="X92" s="155">
        <f ca="1">DSUM($B$43:$X$46,X$43,$C$62:$D92)</f>
        <v>0.37846054170364213</v>
      </c>
      <c r="Y92" s="155">
        <f t="shared" ca="1" si="39"/>
        <v>3.5274819718079735</v>
      </c>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c r="CA92" s="146"/>
      <c r="CB92" s="146"/>
    </row>
    <row r="93" spans="2:80">
      <c r="B93" s="60" t="s">
        <v>837</v>
      </c>
      <c r="C93" s="229" t="s">
        <v>838</v>
      </c>
      <c r="D93" s="229" t="s">
        <v>839</v>
      </c>
      <c r="E93" s="155">
        <f ca="1">DSUM($B$43:$X$46,E$43,$C$62:$D93)</f>
        <v>1.2669316308314862E-3</v>
      </c>
      <c r="F93" s="155">
        <f ca="1">DSUM($B$43:$X$46,F$43,$C$62:$D93)</f>
        <v>3.6664068686656686E-3</v>
      </c>
      <c r="G93" s="155">
        <f ca="1">DSUM($B$43:$X$46,G$43,$C$62:$D93)</f>
        <v>7.6809890043123535E-3</v>
      </c>
      <c r="H93" s="155">
        <f ca="1">DSUM($B$43:$X$46,H$43,$C$62:$D93)</f>
        <v>1.3985767327928771E-2</v>
      </c>
      <c r="I93" s="155">
        <f ca="1">DSUM($B$43:$X$46,I$43,$C$62:$D93)</f>
        <v>2.3086197696014991E-2</v>
      </c>
      <c r="J93" s="155">
        <f ca="1">DSUM($B$43:$X$46,J$43,$C$62:$D93)</f>
        <v>3.5202923603041059E-2</v>
      </c>
      <c r="K93" s="155">
        <f ca="1">DSUM($B$43:$X$46,K$43,$C$62:$D93)</f>
        <v>5.1865145760221547E-2</v>
      </c>
      <c r="L93" s="155">
        <f ca="1">DSUM($B$43:$X$46,L$43,$C$62:$D93)</f>
        <v>7.4629366383296827E-2</v>
      </c>
      <c r="M93" s="155">
        <f ca="1">DSUM($B$43:$X$46,M$43,$C$62:$D93)</f>
        <v>0.10262055759845207</v>
      </c>
      <c r="N93" s="155">
        <f ca="1">DSUM($B$43:$X$46,N$43,$C$62:$D93)</f>
        <v>0.13845617947215133</v>
      </c>
      <c r="O93" s="155">
        <f ca="1">DSUM($B$43:$X$46,O$43,$C$62:$D93)</f>
        <v>0.17738868831377139</v>
      </c>
      <c r="P93" s="155">
        <f ca="1">DSUM($B$43:$X$46,P$43,$C$62:$D93)</f>
        <v>0.21593052180632541</v>
      </c>
      <c r="Q93" s="155">
        <f ca="1">DSUM($B$43:$X$46,Q$43,$C$62:$D93)</f>
        <v>0.25156494189191475</v>
      </c>
      <c r="R93" s="155">
        <f ca="1">DSUM($B$43:$X$46,R$43,$C$62:$D93)</f>
        <v>0.28813885142221729</v>
      </c>
      <c r="S93" s="155">
        <f ca="1">DSUM($B$43:$X$46,S$43,$C$62:$D93)</f>
        <v>0.32234023986394456</v>
      </c>
      <c r="T93" s="155">
        <f ca="1">DSUM($B$43:$X$46,T$43,$C$62:$D93)</f>
        <v>0.34595644980187878</v>
      </c>
      <c r="U93" s="155">
        <f ca="1">DSUM($B$43:$X$46,U$43,$C$62:$D93)</f>
        <v>0.35536707341004037</v>
      </c>
      <c r="V93" s="155">
        <f ca="1">DSUM($B$43:$X$46,V$43,$C$62:$D93)</f>
        <v>0.36665203575439786</v>
      </c>
      <c r="W93" s="155">
        <f ca="1">DSUM($B$43:$X$46,W$43,$C$62:$D93)</f>
        <v>0.37322216249492479</v>
      </c>
      <c r="X93" s="155">
        <f ca="1">DSUM($B$43:$X$46,X$43,$C$62:$D93)</f>
        <v>0.37846054170364213</v>
      </c>
      <c r="Y93" s="155">
        <f t="shared" ca="1" si="39"/>
        <v>3.5274819718079735</v>
      </c>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c r="CA93" s="146"/>
      <c r="CB93" s="146"/>
    </row>
    <row r="94" spans="2:80">
      <c r="B94" s="60" t="s">
        <v>840</v>
      </c>
      <c r="C94" s="229" t="s">
        <v>841</v>
      </c>
      <c r="D94" s="229" t="s">
        <v>295</v>
      </c>
      <c r="E94" s="155">
        <f ca="1">DSUM($B$43:$X$46,E$43,$C$62:$D94)</f>
        <v>1.2707374510373209E-3</v>
      </c>
      <c r="F94" s="155">
        <f ca="1">DSUM($B$43:$X$46,F$43,$C$62:$D94)</f>
        <v>3.6778502242144533E-3</v>
      </c>
      <c r="G94" s="155">
        <f ca="1">DSUM($B$43:$X$46,G$43,$C$62:$D94)</f>
        <v>7.7061247084311436E-3</v>
      </c>
      <c r="H94" s="155">
        <f ca="1">DSUM($B$43:$X$46,H$43,$C$62:$D94)</f>
        <v>1.4030503713136576E-2</v>
      </c>
      <c r="I94" s="155">
        <f ca="1">DSUM($B$43:$X$46,I$43,$C$62:$D94)</f>
        <v>2.3156957765525597E-2</v>
      </c>
      <c r="J94" s="155">
        <f ca="1">DSUM($B$43:$X$46,J$43,$C$62:$D94)</f>
        <v>3.531337990845438E-2</v>
      </c>
      <c r="K94" s="155">
        <f ca="1">DSUM($B$43:$X$46,K$43,$C$62:$D94)</f>
        <v>5.2030637169717349E-2</v>
      </c>
      <c r="L94" s="155">
        <f ca="1">DSUM($B$43:$X$46,L$43,$C$62:$D94)</f>
        <v>7.4874517986175254E-2</v>
      </c>
      <c r="M94" s="155">
        <f ca="1">DSUM($B$43:$X$46,M$43,$C$62:$D94)</f>
        <v>0.10296361381074412</v>
      </c>
      <c r="N94" s="155">
        <f ca="1">DSUM($B$43:$X$46,N$43,$C$62:$D94)</f>
        <v>0.13892201623784772</v>
      </c>
      <c r="O94" s="155">
        <f ca="1">DSUM($B$43:$X$46,O$43,$C$62:$D94)</f>
        <v>0.1779771627758458</v>
      </c>
      <c r="P94" s="155">
        <f ca="1">DSUM($B$43:$X$46,P$43,$C$62:$D94)</f>
        <v>0.21665218070872905</v>
      </c>
      <c r="Q94" s="155">
        <f ca="1">DSUM($B$43:$X$46,Q$43,$C$62:$D94)</f>
        <v>0.25241529282031444</v>
      </c>
      <c r="R94" s="155">
        <f ca="1">DSUM($B$43:$X$46,R$43,$C$62:$D94)</f>
        <v>0.28911224092988758</v>
      </c>
      <c r="S94" s="155">
        <f ca="1">DSUM($B$43:$X$46,S$43,$C$62:$D94)</f>
        <v>0.32341618975917336</v>
      </c>
      <c r="T94" s="155">
        <f ca="1">DSUM($B$43:$X$46,T$43,$C$62:$D94)</f>
        <v>0.34709705826613602</v>
      </c>
      <c r="U94" s="155">
        <f ca="1">DSUM($B$43:$X$46,U$43,$C$62:$D94)</f>
        <v>0.35655388604953797</v>
      </c>
      <c r="V94" s="155">
        <f ca="1">DSUM($B$43:$X$46,V$43,$C$62:$D94)</f>
        <v>0.36785423987375182</v>
      </c>
      <c r="W94" s="155">
        <f ca="1">DSUM($B$43:$X$46,W$43,$C$62:$D94)</f>
        <v>0.37444585539921765</v>
      </c>
      <c r="X94" s="155">
        <f ca="1">DSUM($B$43:$X$46,X$43,$C$62:$D94)</f>
        <v>0.37969111228164648</v>
      </c>
      <c r="Y94" s="155">
        <f t="shared" ca="1" si="39"/>
        <v>3.5391615578395244</v>
      </c>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c r="CA94" s="146"/>
      <c r="CB94" s="146"/>
    </row>
    <row r="95" spans="2:80">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c r="CA95" s="146"/>
      <c r="CB95" s="146"/>
    </row>
    <row r="96" spans="2:80">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c r="CA96" s="146"/>
      <c r="CB96" s="146"/>
    </row>
    <row r="97" spans="1:80" ht="15">
      <c r="A97" s="147" t="s">
        <v>296</v>
      </c>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c r="CA97" s="146"/>
      <c r="CB97" s="146"/>
    </row>
    <row r="98" spans="1:80" ht="15">
      <c r="C98" s="151" t="s">
        <v>297</v>
      </c>
      <c r="D98" s="151"/>
      <c r="E98" s="195">
        <v>2016</v>
      </c>
      <c r="F98" s="195">
        <v>2017</v>
      </c>
      <c r="G98" s="195">
        <v>2018</v>
      </c>
      <c r="H98" s="195">
        <v>2019</v>
      </c>
      <c r="I98" s="195">
        <v>2020</v>
      </c>
      <c r="J98" s="195">
        <v>2021</v>
      </c>
      <c r="K98" s="195">
        <v>2022</v>
      </c>
      <c r="L98" s="195">
        <v>2023</v>
      </c>
      <c r="M98" s="195">
        <v>2024</v>
      </c>
      <c r="N98" s="195">
        <v>2025</v>
      </c>
      <c r="O98" s="195">
        <v>2026</v>
      </c>
      <c r="P98" s="195">
        <v>2027</v>
      </c>
      <c r="Q98" s="195">
        <v>2028</v>
      </c>
      <c r="R98" s="195">
        <v>2029</v>
      </c>
      <c r="S98" s="195">
        <v>2030</v>
      </c>
      <c r="T98" s="195">
        <v>2031</v>
      </c>
      <c r="U98" s="195">
        <v>2032</v>
      </c>
      <c r="V98" s="195">
        <v>2033</v>
      </c>
      <c r="W98" s="195">
        <v>2034</v>
      </c>
      <c r="X98" s="195">
        <v>2035</v>
      </c>
      <c r="Y98" s="148" t="s">
        <v>844</v>
      </c>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c r="CA98" s="146"/>
      <c r="CB98" s="146"/>
    </row>
    <row r="99" spans="1:80" ht="15">
      <c r="C99" s="151" t="str">
        <f>C8</f>
        <v>WasteWater Heat Recovery</v>
      </c>
      <c r="D99" s="151"/>
      <c r="E99" s="196" t="str">
        <f>CONCATENATE("aMW_",E98)</f>
        <v>aMW_2016</v>
      </c>
      <c r="F99" s="196" t="str">
        <f t="shared" ref="F99" si="40">CONCATENATE("aMW_",F98)</f>
        <v>aMW_2017</v>
      </c>
      <c r="G99" s="196" t="str">
        <f t="shared" ref="G99" si="41">CONCATENATE("aMW_",G98)</f>
        <v>aMW_2018</v>
      </c>
      <c r="H99" s="196" t="str">
        <f t="shared" ref="H99" si="42">CONCATENATE("aMW_",H98)</f>
        <v>aMW_2019</v>
      </c>
      <c r="I99" s="196" t="str">
        <f t="shared" ref="I99" si="43">CONCATENATE("aMW_",I98)</f>
        <v>aMW_2020</v>
      </c>
      <c r="J99" s="196" t="str">
        <f t="shared" ref="J99" si="44">CONCATENATE("aMW_",J98)</f>
        <v>aMW_2021</v>
      </c>
      <c r="K99" s="196" t="str">
        <f t="shared" ref="K99" si="45">CONCATENATE("aMW_",K98)</f>
        <v>aMW_2022</v>
      </c>
      <c r="L99" s="196" t="str">
        <f t="shared" ref="L99" si="46">CONCATENATE("aMW_",L98)</f>
        <v>aMW_2023</v>
      </c>
      <c r="M99" s="196" t="str">
        <f t="shared" ref="M99" si="47">CONCATENATE("aMW_",M98)</f>
        <v>aMW_2024</v>
      </c>
      <c r="N99" s="196" t="str">
        <f t="shared" ref="N99" si="48">CONCATENATE("aMW_",N98)</f>
        <v>aMW_2025</v>
      </c>
      <c r="O99" s="196" t="str">
        <f t="shared" ref="O99" si="49">CONCATENATE("aMW_",O98)</f>
        <v>aMW_2026</v>
      </c>
      <c r="P99" s="196" t="str">
        <f t="shared" ref="P99" si="50">CONCATENATE("aMW_",P98)</f>
        <v>aMW_2027</v>
      </c>
      <c r="Q99" s="196" t="str">
        <f t="shared" ref="Q99" si="51">CONCATENATE("aMW_",Q98)</f>
        <v>aMW_2028</v>
      </c>
      <c r="R99" s="196" t="str">
        <f t="shared" ref="R99" si="52">CONCATENATE("aMW_",R98)</f>
        <v>aMW_2029</v>
      </c>
      <c r="S99" s="196" t="str">
        <f t="shared" ref="S99" si="53">CONCATENATE("aMW_",S98)</f>
        <v>aMW_2030</v>
      </c>
      <c r="T99" s="196" t="str">
        <f t="shared" ref="T99" si="54">CONCATENATE("aMW_",T98)</f>
        <v>aMW_2031</v>
      </c>
      <c r="U99" s="196" t="str">
        <f t="shared" ref="U99" si="55">CONCATENATE("aMW_",U98)</f>
        <v>aMW_2032</v>
      </c>
      <c r="V99" s="196" t="str">
        <f t="shared" ref="V99" si="56">CONCATENATE("aMW_",V98)</f>
        <v>aMW_2033</v>
      </c>
      <c r="W99" s="196" t="str">
        <f t="shared" ref="W99" si="57">CONCATENATE("aMW_",W98)</f>
        <v>aMW_2034</v>
      </c>
      <c r="X99" s="196" t="str">
        <f t="shared" ref="X99" si="58">CONCATENATE("aMW_",X98)</f>
        <v>aMW_2035</v>
      </c>
      <c r="Y99" s="149" t="s">
        <v>844</v>
      </c>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c r="CA99" s="146"/>
      <c r="CB99" s="146"/>
    </row>
    <row r="100" spans="1:80">
      <c r="C100" s="143" t="s">
        <v>230</v>
      </c>
      <c r="E100" s="155">
        <f t="shared" ref="E100:X100" si="59">E63</f>
        <v>0</v>
      </c>
      <c r="F100" s="155">
        <f t="shared" si="59"/>
        <v>0</v>
      </c>
      <c r="G100" s="155">
        <f t="shared" si="59"/>
        <v>0</v>
      </c>
      <c r="H100" s="155">
        <f t="shared" si="59"/>
        <v>0</v>
      </c>
      <c r="I100" s="155">
        <f t="shared" si="59"/>
        <v>0</v>
      </c>
      <c r="J100" s="155">
        <f t="shared" si="59"/>
        <v>0</v>
      </c>
      <c r="K100" s="155">
        <f t="shared" si="59"/>
        <v>0</v>
      </c>
      <c r="L100" s="155">
        <f t="shared" si="59"/>
        <v>0</v>
      </c>
      <c r="M100" s="155">
        <f t="shared" si="59"/>
        <v>0</v>
      </c>
      <c r="N100" s="155">
        <f t="shared" si="59"/>
        <v>0</v>
      </c>
      <c r="O100" s="155">
        <f t="shared" si="59"/>
        <v>0</v>
      </c>
      <c r="P100" s="155">
        <f t="shared" si="59"/>
        <v>0</v>
      </c>
      <c r="Q100" s="155">
        <f t="shared" si="59"/>
        <v>0</v>
      </c>
      <c r="R100" s="155">
        <f t="shared" si="59"/>
        <v>0</v>
      </c>
      <c r="S100" s="155">
        <f t="shared" si="59"/>
        <v>0</v>
      </c>
      <c r="T100" s="155">
        <f t="shared" si="59"/>
        <v>0</v>
      </c>
      <c r="U100" s="155">
        <f t="shared" si="59"/>
        <v>0</v>
      </c>
      <c r="V100" s="155">
        <f t="shared" si="59"/>
        <v>0</v>
      </c>
      <c r="W100" s="155">
        <f t="shared" si="59"/>
        <v>0</v>
      </c>
      <c r="X100" s="155">
        <f t="shared" si="59"/>
        <v>0</v>
      </c>
      <c r="Y100" s="155">
        <f>SUM(E100:X100)</f>
        <v>0</v>
      </c>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c r="CA100" s="146"/>
      <c r="CB100" s="146"/>
    </row>
    <row r="101" spans="1:80">
      <c r="C101" s="143" t="s">
        <v>854</v>
      </c>
      <c r="E101" s="155">
        <f t="shared" ref="E101:X113" si="60">E64-E63</f>
        <v>0</v>
      </c>
      <c r="F101" s="155">
        <f t="shared" si="60"/>
        <v>0</v>
      </c>
      <c r="G101" s="155">
        <f t="shared" si="60"/>
        <v>0</v>
      </c>
      <c r="H101" s="155">
        <f t="shared" si="60"/>
        <v>0</v>
      </c>
      <c r="I101" s="155">
        <f t="shared" si="60"/>
        <v>0</v>
      </c>
      <c r="J101" s="155">
        <f t="shared" si="60"/>
        <v>0</v>
      </c>
      <c r="K101" s="155">
        <f t="shared" si="60"/>
        <v>0</v>
      </c>
      <c r="L101" s="155">
        <f t="shared" si="60"/>
        <v>0</v>
      </c>
      <c r="M101" s="155">
        <f t="shared" si="60"/>
        <v>0</v>
      </c>
      <c r="N101" s="155">
        <f t="shared" si="60"/>
        <v>0</v>
      </c>
      <c r="O101" s="155">
        <f t="shared" si="60"/>
        <v>0</v>
      </c>
      <c r="P101" s="155">
        <f t="shared" si="60"/>
        <v>0</v>
      </c>
      <c r="Q101" s="155">
        <f t="shared" si="60"/>
        <v>0</v>
      </c>
      <c r="R101" s="155">
        <f t="shared" si="60"/>
        <v>0</v>
      </c>
      <c r="S101" s="155">
        <f t="shared" si="60"/>
        <v>0</v>
      </c>
      <c r="T101" s="155">
        <f t="shared" si="60"/>
        <v>0</v>
      </c>
      <c r="U101" s="155">
        <f t="shared" si="60"/>
        <v>0</v>
      </c>
      <c r="V101" s="155">
        <f t="shared" si="60"/>
        <v>0</v>
      </c>
      <c r="W101" s="155">
        <f t="shared" si="60"/>
        <v>0</v>
      </c>
      <c r="X101" s="155">
        <f t="shared" si="60"/>
        <v>0</v>
      </c>
      <c r="Y101" s="155">
        <f t="shared" ref="Y101:Y131" si="61">SUM(E101:X101)</f>
        <v>0</v>
      </c>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c r="CA101" s="146"/>
      <c r="CB101" s="146"/>
    </row>
    <row r="102" spans="1:80">
      <c r="C102" s="143" t="s">
        <v>236</v>
      </c>
      <c r="E102" s="155">
        <f t="shared" si="60"/>
        <v>0</v>
      </c>
      <c r="F102" s="155">
        <f t="shared" si="60"/>
        <v>0</v>
      </c>
      <c r="G102" s="155">
        <f t="shared" si="60"/>
        <v>0</v>
      </c>
      <c r="H102" s="155">
        <f t="shared" si="60"/>
        <v>0</v>
      </c>
      <c r="I102" s="155">
        <f t="shared" si="60"/>
        <v>0</v>
      </c>
      <c r="J102" s="155">
        <f t="shared" si="60"/>
        <v>0</v>
      </c>
      <c r="K102" s="155">
        <f t="shared" si="60"/>
        <v>0</v>
      </c>
      <c r="L102" s="155">
        <f t="shared" si="60"/>
        <v>0</v>
      </c>
      <c r="M102" s="155">
        <f t="shared" si="60"/>
        <v>0</v>
      </c>
      <c r="N102" s="155">
        <f t="shared" si="60"/>
        <v>0</v>
      </c>
      <c r="O102" s="155">
        <f t="shared" si="60"/>
        <v>0</v>
      </c>
      <c r="P102" s="155">
        <f t="shared" si="60"/>
        <v>0</v>
      </c>
      <c r="Q102" s="155">
        <f t="shared" si="60"/>
        <v>0</v>
      </c>
      <c r="R102" s="155">
        <f t="shared" si="60"/>
        <v>0</v>
      </c>
      <c r="S102" s="155">
        <f t="shared" si="60"/>
        <v>0</v>
      </c>
      <c r="T102" s="155">
        <f t="shared" si="60"/>
        <v>0</v>
      </c>
      <c r="U102" s="155">
        <f t="shared" si="60"/>
        <v>0</v>
      </c>
      <c r="V102" s="155">
        <f t="shared" si="60"/>
        <v>0</v>
      </c>
      <c r="W102" s="155">
        <f t="shared" si="60"/>
        <v>0</v>
      </c>
      <c r="X102" s="155">
        <f t="shared" si="60"/>
        <v>0</v>
      </c>
      <c r="Y102" s="155">
        <f t="shared" si="61"/>
        <v>0</v>
      </c>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c r="CA102" s="146"/>
      <c r="CB102" s="146"/>
    </row>
    <row r="103" spans="1:80">
      <c r="C103" s="143" t="s">
        <v>239</v>
      </c>
      <c r="E103" s="155">
        <f t="shared" si="60"/>
        <v>0</v>
      </c>
      <c r="F103" s="155">
        <f t="shared" si="60"/>
        <v>0</v>
      </c>
      <c r="G103" s="155">
        <f t="shared" si="60"/>
        <v>0</v>
      </c>
      <c r="H103" s="155">
        <f t="shared" si="60"/>
        <v>0</v>
      </c>
      <c r="I103" s="155">
        <f t="shared" si="60"/>
        <v>0</v>
      </c>
      <c r="J103" s="155">
        <f t="shared" si="60"/>
        <v>0</v>
      </c>
      <c r="K103" s="155">
        <f t="shared" si="60"/>
        <v>0</v>
      </c>
      <c r="L103" s="155">
        <f t="shared" si="60"/>
        <v>0</v>
      </c>
      <c r="M103" s="155">
        <f t="shared" si="60"/>
        <v>0</v>
      </c>
      <c r="N103" s="155">
        <f t="shared" si="60"/>
        <v>0</v>
      </c>
      <c r="O103" s="155">
        <f t="shared" si="60"/>
        <v>0</v>
      </c>
      <c r="P103" s="155">
        <f t="shared" si="60"/>
        <v>0</v>
      </c>
      <c r="Q103" s="155">
        <f t="shared" si="60"/>
        <v>0</v>
      </c>
      <c r="R103" s="155">
        <f t="shared" si="60"/>
        <v>0</v>
      </c>
      <c r="S103" s="155">
        <f t="shared" si="60"/>
        <v>0</v>
      </c>
      <c r="T103" s="155">
        <f t="shared" si="60"/>
        <v>0</v>
      </c>
      <c r="U103" s="155">
        <f t="shared" si="60"/>
        <v>0</v>
      </c>
      <c r="V103" s="155">
        <f t="shared" si="60"/>
        <v>0</v>
      </c>
      <c r="W103" s="155">
        <f t="shared" si="60"/>
        <v>0</v>
      </c>
      <c r="X103" s="155">
        <f t="shared" si="60"/>
        <v>0</v>
      </c>
      <c r="Y103" s="155">
        <f t="shared" si="61"/>
        <v>0</v>
      </c>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c r="CA103" s="146"/>
      <c r="CB103" s="146"/>
    </row>
    <row r="104" spans="1:80">
      <c r="C104" s="143" t="s">
        <v>242</v>
      </c>
      <c r="E104" s="155">
        <f t="shared" si="60"/>
        <v>0</v>
      </c>
      <c r="F104" s="155">
        <f t="shared" si="60"/>
        <v>0</v>
      </c>
      <c r="G104" s="155">
        <f t="shared" si="60"/>
        <v>0</v>
      </c>
      <c r="H104" s="155">
        <f t="shared" si="60"/>
        <v>0</v>
      </c>
      <c r="I104" s="155">
        <f t="shared" si="60"/>
        <v>0</v>
      </c>
      <c r="J104" s="155">
        <f t="shared" si="60"/>
        <v>0</v>
      </c>
      <c r="K104" s="155">
        <f t="shared" si="60"/>
        <v>0</v>
      </c>
      <c r="L104" s="155">
        <f t="shared" si="60"/>
        <v>0</v>
      </c>
      <c r="M104" s="155">
        <f t="shared" si="60"/>
        <v>0</v>
      </c>
      <c r="N104" s="155">
        <f t="shared" si="60"/>
        <v>0</v>
      </c>
      <c r="O104" s="155">
        <f t="shared" si="60"/>
        <v>0</v>
      </c>
      <c r="P104" s="155">
        <f t="shared" si="60"/>
        <v>0</v>
      </c>
      <c r="Q104" s="155">
        <f t="shared" si="60"/>
        <v>0</v>
      </c>
      <c r="R104" s="155">
        <f t="shared" si="60"/>
        <v>0</v>
      </c>
      <c r="S104" s="155">
        <f t="shared" si="60"/>
        <v>0</v>
      </c>
      <c r="T104" s="155">
        <f t="shared" si="60"/>
        <v>0</v>
      </c>
      <c r="U104" s="155">
        <f t="shared" si="60"/>
        <v>0</v>
      </c>
      <c r="V104" s="155">
        <f t="shared" si="60"/>
        <v>0</v>
      </c>
      <c r="W104" s="155">
        <f t="shared" si="60"/>
        <v>0</v>
      </c>
      <c r="X104" s="155">
        <f t="shared" si="60"/>
        <v>0</v>
      </c>
      <c r="Y104" s="155">
        <f t="shared" si="61"/>
        <v>0</v>
      </c>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c r="CA104" s="146"/>
      <c r="CB104" s="146"/>
    </row>
    <row r="105" spans="1:80">
      <c r="C105" s="143" t="s">
        <v>245</v>
      </c>
      <c r="E105" s="155">
        <f t="shared" si="60"/>
        <v>0</v>
      </c>
      <c r="F105" s="155">
        <f t="shared" si="60"/>
        <v>0</v>
      </c>
      <c r="G105" s="155">
        <f t="shared" si="60"/>
        <v>0</v>
      </c>
      <c r="H105" s="155">
        <f t="shared" si="60"/>
        <v>0</v>
      </c>
      <c r="I105" s="155">
        <f t="shared" si="60"/>
        <v>0</v>
      </c>
      <c r="J105" s="155">
        <f t="shared" si="60"/>
        <v>0</v>
      </c>
      <c r="K105" s="155">
        <f t="shared" si="60"/>
        <v>0</v>
      </c>
      <c r="L105" s="155">
        <f t="shared" si="60"/>
        <v>0</v>
      </c>
      <c r="M105" s="155">
        <f t="shared" si="60"/>
        <v>0</v>
      </c>
      <c r="N105" s="155">
        <f t="shared" si="60"/>
        <v>0</v>
      </c>
      <c r="O105" s="155">
        <f t="shared" si="60"/>
        <v>0</v>
      </c>
      <c r="P105" s="155">
        <f t="shared" si="60"/>
        <v>0</v>
      </c>
      <c r="Q105" s="155">
        <f t="shared" si="60"/>
        <v>0</v>
      </c>
      <c r="R105" s="155">
        <f t="shared" si="60"/>
        <v>0</v>
      </c>
      <c r="S105" s="155">
        <f t="shared" si="60"/>
        <v>0</v>
      </c>
      <c r="T105" s="155">
        <f t="shared" si="60"/>
        <v>0</v>
      </c>
      <c r="U105" s="155">
        <f t="shared" si="60"/>
        <v>0</v>
      </c>
      <c r="V105" s="155">
        <f t="shared" si="60"/>
        <v>0</v>
      </c>
      <c r="W105" s="155">
        <f t="shared" si="60"/>
        <v>0</v>
      </c>
      <c r="X105" s="155">
        <f t="shared" si="60"/>
        <v>0</v>
      </c>
      <c r="Y105" s="155">
        <f t="shared" si="61"/>
        <v>0</v>
      </c>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c r="CA105" s="146"/>
      <c r="CB105" s="146"/>
    </row>
    <row r="106" spans="1:80">
      <c r="C106" s="143" t="s">
        <v>248</v>
      </c>
      <c r="E106" s="155">
        <f t="shared" si="60"/>
        <v>0</v>
      </c>
      <c r="F106" s="155">
        <f t="shared" si="60"/>
        <v>0</v>
      </c>
      <c r="G106" s="155">
        <f t="shared" si="60"/>
        <v>0</v>
      </c>
      <c r="H106" s="155">
        <f t="shared" si="60"/>
        <v>0</v>
      </c>
      <c r="I106" s="155">
        <f t="shared" si="60"/>
        <v>0</v>
      </c>
      <c r="J106" s="155">
        <f t="shared" si="60"/>
        <v>0</v>
      </c>
      <c r="K106" s="155">
        <f t="shared" si="60"/>
        <v>0</v>
      </c>
      <c r="L106" s="155">
        <f t="shared" si="60"/>
        <v>0</v>
      </c>
      <c r="M106" s="155">
        <f t="shared" si="60"/>
        <v>0</v>
      </c>
      <c r="N106" s="155">
        <f t="shared" si="60"/>
        <v>0</v>
      </c>
      <c r="O106" s="155">
        <f t="shared" si="60"/>
        <v>0</v>
      </c>
      <c r="P106" s="155">
        <f t="shared" si="60"/>
        <v>0</v>
      </c>
      <c r="Q106" s="155">
        <f t="shared" si="60"/>
        <v>0</v>
      </c>
      <c r="R106" s="155">
        <f t="shared" si="60"/>
        <v>0</v>
      </c>
      <c r="S106" s="155">
        <f t="shared" si="60"/>
        <v>0</v>
      </c>
      <c r="T106" s="155">
        <f t="shared" si="60"/>
        <v>0</v>
      </c>
      <c r="U106" s="155">
        <f t="shared" si="60"/>
        <v>0</v>
      </c>
      <c r="V106" s="155">
        <f t="shared" si="60"/>
        <v>0</v>
      </c>
      <c r="W106" s="155">
        <f t="shared" si="60"/>
        <v>0</v>
      </c>
      <c r="X106" s="155">
        <f t="shared" si="60"/>
        <v>0</v>
      </c>
      <c r="Y106" s="155">
        <f t="shared" si="61"/>
        <v>0</v>
      </c>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c r="CA106" s="146"/>
      <c r="CB106" s="146"/>
    </row>
    <row r="107" spans="1:80">
      <c r="C107" s="143" t="s">
        <v>251</v>
      </c>
      <c r="E107" s="155">
        <f t="shared" si="60"/>
        <v>0</v>
      </c>
      <c r="F107" s="155">
        <f t="shared" si="60"/>
        <v>0</v>
      </c>
      <c r="G107" s="155">
        <f t="shared" si="60"/>
        <v>0</v>
      </c>
      <c r="H107" s="155">
        <f t="shared" si="60"/>
        <v>0</v>
      </c>
      <c r="I107" s="155">
        <f t="shared" si="60"/>
        <v>0</v>
      </c>
      <c r="J107" s="155">
        <f t="shared" si="60"/>
        <v>0</v>
      </c>
      <c r="K107" s="155">
        <f t="shared" si="60"/>
        <v>0</v>
      </c>
      <c r="L107" s="155">
        <f t="shared" si="60"/>
        <v>0</v>
      </c>
      <c r="M107" s="155">
        <f t="shared" si="60"/>
        <v>0</v>
      </c>
      <c r="N107" s="155">
        <f t="shared" si="60"/>
        <v>0</v>
      </c>
      <c r="O107" s="155">
        <f t="shared" si="60"/>
        <v>0</v>
      </c>
      <c r="P107" s="155">
        <f t="shared" si="60"/>
        <v>0</v>
      </c>
      <c r="Q107" s="155">
        <f t="shared" si="60"/>
        <v>0</v>
      </c>
      <c r="R107" s="155">
        <f t="shared" si="60"/>
        <v>0</v>
      </c>
      <c r="S107" s="155">
        <f t="shared" si="60"/>
        <v>0</v>
      </c>
      <c r="T107" s="155">
        <f t="shared" si="60"/>
        <v>0</v>
      </c>
      <c r="U107" s="155">
        <f t="shared" si="60"/>
        <v>0</v>
      </c>
      <c r="V107" s="155">
        <f t="shared" si="60"/>
        <v>0</v>
      </c>
      <c r="W107" s="155">
        <f t="shared" si="60"/>
        <v>0</v>
      </c>
      <c r="X107" s="155">
        <f t="shared" si="60"/>
        <v>0</v>
      </c>
      <c r="Y107" s="155">
        <f t="shared" si="61"/>
        <v>0</v>
      </c>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c r="CA107" s="146"/>
      <c r="CB107" s="146"/>
    </row>
    <row r="108" spans="1:80">
      <c r="C108" s="143" t="s">
        <v>254</v>
      </c>
      <c r="E108" s="155">
        <f t="shared" si="60"/>
        <v>0</v>
      </c>
      <c r="F108" s="155">
        <f t="shared" si="60"/>
        <v>0</v>
      </c>
      <c r="G108" s="155">
        <f t="shared" si="60"/>
        <v>0</v>
      </c>
      <c r="H108" s="155">
        <f t="shared" si="60"/>
        <v>0</v>
      </c>
      <c r="I108" s="155">
        <f t="shared" si="60"/>
        <v>0</v>
      </c>
      <c r="J108" s="155">
        <f t="shared" si="60"/>
        <v>0</v>
      </c>
      <c r="K108" s="155">
        <f t="shared" si="60"/>
        <v>0</v>
      </c>
      <c r="L108" s="155">
        <f t="shared" si="60"/>
        <v>0</v>
      </c>
      <c r="M108" s="155">
        <f t="shared" si="60"/>
        <v>0</v>
      </c>
      <c r="N108" s="155">
        <f t="shared" si="60"/>
        <v>0</v>
      </c>
      <c r="O108" s="155">
        <f t="shared" si="60"/>
        <v>0</v>
      </c>
      <c r="P108" s="155">
        <f t="shared" si="60"/>
        <v>0</v>
      </c>
      <c r="Q108" s="155">
        <f t="shared" si="60"/>
        <v>0</v>
      </c>
      <c r="R108" s="155">
        <f t="shared" si="60"/>
        <v>0</v>
      </c>
      <c r="S108" s="155">
        <f t="shared" si="60"/>
        <v>0</v>
      </c>
      <c r="T108" s="155">
        <f t="shared" si="60"/>
        <v>0</v>
      </c>
      <c r="U108" s="155">
        <f t="shared" si="60"/>
        <v>0</v>
      </c>
      <c r="V108" s="155">
        <f t="shared" si="60"/>
        <v>0</v>
      </c>
      <c r="W108" s="155">
        <f t="shared" si="60"/>
        <v>0</v>
      </c>
      <c r="X108" s="155">
        <f t="shared" si="60"/>
        <v>0</v>
      </c>
      <c r="Y108" s="155">
        <f t="shared" si="61"/>
        <v>0</v>
      </c>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c r="CA108" s="146"/>
      <c r="CB108" s="146"/>
    </row>
    <row r="109" spans="1:80">
      <c r="C109" s="143" t="s">
        <v>257</v>
      </c>
      <c r="E109" s="155">
        <f t="shared" si="60"/>
        <v>0</v>
      </c>
      <c r="F109" s="155">
        <f t="shared" si="60"/>
        <v>0</v>
      </c>
      <c r="G109" s="155">
        <f t="shared" si="60"/>
        <v>0</v>
      </c>
      <c r="H109" s="155">
        <f t="shared" si="60"/>
        <v>0</v>
      </c>
      <c r="I109" s="155">
        <f t="shared" si="60"/>
        <v>0</v>
      </c>
      <c r="J109" s="155">
        <f t="shared" si="60"/>
        <v>0</v>
      </c>
      <c r="K109" s="155">
        <f t="shared" si="60"/>
        <v>0</v>
      </c>
      <c r="L109" s="155">
        <f t="shared" si="60"/>
        <v>0</v>
      </c>
      <c r="M109" s="155">
        <f t="shared" si="60"/>
        <v>0</v>
      </c>
      <c r="N109" s="155">
        <f t="shared" si="60"/>
        <v>0</v>
      </c>
      <c r="O109" s="155">
        <f t="shared" si="60"/>
        <v>0</v>
      </c>
      <c r="P109" s="155">
        <f t="shared" si="60"/>
        <v>0</v>
      </c>
      <c r="Q109" s="155">
        <f t="shared" si="60"/>
        <v>0</v>
      </c>
      <c r="R109" s="155">
        <f t="shared" si="60"/>
        <v>0</v>
      </c>
      <c r="S109" s="155">
        <f t="shared" si="60"/>
        <v>0</v>
      </c>
      <c r="T109" s="155">
        <f t="shared" si="60"/>
        <v>0</v>
      </c>
      <c r="U109" s="155">
        <f t="shared" si="60"/>
        <v>0</v>
      </c>
      <c r="V109" s="155">
        <f t="shared" si="60"/>
        <v>0</v>
      </c>
      <c r="W109" s="155">
        <f t="shared" si="60"/>
        <v>0</v>
      </c>
      <c r="X109" s="155">
        <f t="shared" si="60"/>
        <v>0</v>
      </c>
      <c r="Y109" s="155">
        <f t="shared" si="61"/>
        <v>0</v>
      </c>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c r="CA109" s="146"/>
      <c r="CB109" s="146"/>
    </row>
    <row r="110" spans="1:80">
      <c r="C110" s="143" t="s">
        <v>260</v>
      </c>
      <c r="E110" s="155">
        <f t="shared" si="60"/>
        <v>0</v>
      </c>
      <c r="F110" s="155">
        <f t="shared" si="60"/>
        <v>0</v>
      </c>
      <c r="G110" s="155">
        <f t="shared" si="60"/>
        <v>0</v>
      </c>
      <c r="H110" s="155">
        <f t="shared" si="60"/>
        <v>0</v>
      </c>
      <c r="I110" s="155">
        <f t="shared" si="60"/>
        <v>0</v>
      </c>
      <c r="J110" s="155">
        <f t="shared" si="60"/>
        <v>0</v>
      </c>
      <c r="K110" s="155">
        <f t="shared" si="60"/>
        <v>0</v>
      </c>
      <c r="L110" s="155">
        <f t="shared" si="60"/>
        <v>0</v>
      </c>
      <c r="M110" s="155">
        <f t="shared" si="60"/>
        <v>0</v>
      </c>
      <c r="N110" s="155">
        <f t="shared" si="60"/>
        <v>0</v>
      </c>
      <c r="O110" s="155">
        <f t="shared" si="60"/>
        <v>0</v>
      </c>
      <c r="P110" s="155">
        <f t="shared" si="60"/>
        <v>0</v>
      </c>
      <c r="Q110" s="155">
        <f t="shared" si="60"/>
        <v>0</v>
      </c>
      <c r="R110" s="155">
        <f t="shared" si="60"/>
        <v>0</v>
      </c>
      <c r="S110" s="155">
        <f t="shared" si="60"/>
        <v>0</v>
      </c>
      <c r="T110" s="155">
        <f t="shared" si="60"/>
        <v>0</v>
      </c>
      <c r="U110" s="155">
        <f t="shared" si="60"/>
        <v>0</v>
      </c>
      <c r="V110" s="155">
        <f t="shared" si="60"/>
        <v>0</v>
      </c>
      <c r="W110" s="155">
        <f t="shared" si="60"/>
        <v>0</v>
      </c>
      <c r="X110" s="155">
        <f t="shared" si="60"/>
        <v>0</v>
      </c>
      <c r="Y110" s="155">
        <f t="shared" si="61"/>
        <v>0</v>
      </c>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c r="CA110" s="146"/>
      <c r="CB110" s="146"/>
    </row>
    <row r="111" spans="1:80">
      <c r="C111" s="143" t="s">
        <v>263</v>
      </c>
      <c r="E111" s="155">
        <f t="shared" si="60"/>
        <v>0</v>
      </c>
      <c r="F111" s="155">
        <f t="shared" si="60"/>
        <v>0</v>
      </c>
      <c r="G111" s="155">
        <f t="shared" si="60"/>
        <v>0</v>
      </c>
      <c r="H111" s="155">
        <f t="shared" si="60"/>
        <v>0</v>
      </c>
      <c r="I111" s="155">
        <f t="shared" si="60"/>
        <v>0</v>
      </c>
      <c r="J111" s="155">
        <f t="shared" si="60"/>
        <v>0</v>
      </c>
      <c r="K111" s="155">
        <f t="shared" si="60"/>
        <v>0</v>
      </c>
      <c r="L111" s="155">
        <f t="shared" si="60"/>
        <v>0</v>
      </c>
      <c r="M111" s="155">
        <f t="shared" si="60"/>
        <v>0</v>
      </c>
      <c r="N111" s="155">
        <f t="shared" si="60"/>
        <v>0</v>
      </c>
      <c r="O111" s="155">
        <f t="shared" si="60"/>
        <v>0</v>
      </c>
      <c r="P111" s="155">
        <f t="shared" si="60"/>
        <v>0</v>
      </c>
      <c r="Q111" s="155">
        <f t="shared" si="60"/>
        <v>0</v>
      </c>
      <c r="R111" s="155">
        <f t="shared" si="60"/>
        <v>0</v>
      </c>
      <c r="S111" s="155">
        <f t="shared" si="60"/>
        <v>0</v>
      </c>
      <c r="T111" s="155">
        <f t="shared" si="60"/>
        <v>0</v>
      </c>
      <c r="U111" s="155">
        <f t="shared" si="60"/>
        <v>0</v>
      </c>
      <c r="V111" s="155">
        <f t="shared" si="60"/>
        <v>0</v>
      </c>
      <c r="W111" s="155">
        <f t="shared" si="60"/>
        <v>0</v>
      </c>
      <c r="X111" s="155">
        <f t="shared" si="60"/>
        <v>0</v>
      </c>
      <c r="Y111" s="155">
        <f t="shared" si="61"/>
        <v>0</v>
      </c>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c r="CA111" s="146"/>
      <c r="CB111" s="146"/>
    </row>
    <row r="112" spans="1:80">
      <c r="C112" s="143" t="s">
        <v>266</v>
      </c>
      <c r="E112" s="155">
        <f t="shared" si="60"/>
        <v>0</v>
      </c>
      <c r="F112" s="155">
        <f t="shared" si="60"/>
        <v>0</v>
      </c>
      <c r="G112" s="155">
        <f t="shared" si="60"/>
        <v>0</v>
      </c>
      <c r="H112" s="155">
        <f t="shared" si="60"/>
        <v>0</v>
      </c>
      <c r="I112" s="155">
        <f t="shared" si="60"/>
        <v>0</v>
      </c>
      <c r="J112" s="155">
        <f t="shared" si="60"/>
        <v>0</v>
      </c>
      <c r="K112" s="155">
        <f t="shared" si="60"/>
        <v>0</v>
      </c>
      <c r="L112" s="155">
        <f t="shared" si="60"/>
        <v>0</v>
      </c>
      <c r="M112" s="155">
        <f t="shared" si="60"/>
        <v>0</v>
      </c>
      <c r="N112" s="155">
        <f t="shared" si="60"/>
        <v>0</v>
      </c>
      <c r="O112" s="155">
        <f t="shared" si="60"/>
        <v>0</v>
      </c>
      <c r="P112" s="155">
        <f t="shared" si="60"/>
        <v>0</v>
      </c>
      <c r="Q112" s="155">
        <f t="shared" si="60"/>
        <v>0</v>
      </c>
      <c r="R112" s="155">
        <f t="shared" si="60"/>
        <v>0</v>
      </c>
      <c r="S112" s="155">
        <f t="shared" si="60"/>
        <v>0</v>
      </c>
      <c r="T112" s="155">
        <f t="shared" si="60"/>
        <v>0</v>
      </c>
      <c r="U112" s="155">
        <f t="shared" si="60"/>
        <v>0</v>
      </c>
      <c r="V112" s="155">
        <f t="shared" si="60"/>
        <v>0</v>
      </c>
      <c r="W112" s="155">
        <f t="shared" si="60"/>
        <v>0</v>
      </c>
      <c r="X112" s="155">
        <f t="shared" si="60"/>
        <v>0</v>
      </c>
      <c r="Y112" s="155">
        <f t="shared" si="61"/>
        <v>0</v>
      </c>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c r="CA112" s="146"/>
      <c r="CB112" s="146"/>
    </row>
    <row r="113" spans="3:80">
      <c r="C113" s="143" t="s">
        <v>269</v>
      </c>
      <c r="E113" s="155">
        <f t="shared" si="60"/>
        <v>0</v>
      </c>
      <c r="F113" s="155">
        <f t="shared" si="60"/>
        <v>0</v>
      </c>
      <c r="G113" s="155">
        <f t="shared" si="60"/>
        <v>0</v>
      </c>
      <c r="H113" s="155">
        <f t="shared" ref="H113:X113" si="62">H76-H75</f>
        <v>0</v>
      </c>
      <c r="I113" s="155">
        <f t="shared" si="62"/>
        <v>0</v>
      </c>
      <c r="J113" s="155">
        <f t="shared" si="62"/>
        <v>0</v>
      </c>
      <c r="K113" s="155">
        <f t="shared" si="62"/>
        <v>0</v>
      </c>
      <c r="L113" s="155">
        <f t="shared" si="62"/>
        <v>0</v>
      </c>
      <c r="M113" s="155">
        <f t="shared" si="62"/>
        <v>0</v>
      </c>
      <c r="N113" s="155">
        <f t="shared" si="62"/>
        <v>0</v>
      </c>
      <c r="O113" s="155">
        <f t="shared" si="62"/>
        <v>0</v>
      </c>
      <c r="P113" s="155">
        <f t="shared" si="62"/>
        <v>0</v>
      </c>
      <c r="Q113" s="155">
        <f t="shared" si="62"/>
        <v>0</v>
      </c>
      <c r="R113" s="155">
        <f t="shared" si="62"/>
        <v>0</v>
      </c>
      <c r="S113" s="155">
        <f t="shared" si="62"/>
        <v>0</v>
      </c>
      <c r="T113" s="155">
        <f t="shared" si="62"/>
        <v>0</v>
      </c>
      <c r="U113" s="155">
        <f t="shared" si="62"/>
        <v>0</v>
      </c>
      <c r="V113" s="155">
        <f t="shared" si="62"/>
        <v>0</v>
      </c>
      <c r="W113" s="155">
        <f t="shared" si="62"/>
        <v>0</v>
      </c>
      <c r="X113" s="155">
        <f t="shared" si="62"/>
        <v>0</v>
      </c>
      <c r="Y113" s="155">
        <f t="shared" si="61"/>
        <v>0</v>
      </c>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c r="CA113" s="146"/>
      <c r="CB113" s="146"/>
    </row>
    <row r="114" spans="3:80">
      <c r="C114" s="143" t="s">
        <v>272</v>
      </c>
      <c r="E114" s="155">
        <f t="shared" ref="E114:X114" si="63">E77-E76</f>
        <v>0</v>
      </c>
      <c r="F114" s="155">
        <f t="shared" si="63"/>
        <v>0</v>
      </c>
      <c r="G114" s="155">
        <f t="shared" si="63"/>
        <v>0</v>
      </c>
      <c r="H114" s="155">
        <f t="shared" si="63"/>
        <v>0</v>
      </c>
      <c r="I114" s="155">
        <f t="shared" si="63"/>
        <v>0</v>
      </c>
      <c r="J114" s="155">
        <f t="shared" si="63"/>
        <v>0</v>
      </c>
      <c r="K114" s="155">
        <f t="shared" si="63"/>
        <v>0</v>
      </c>
      <c r="L114" s="155">
        <f t="shared" si="63"/>
        <v>0</v>
      </c>
      <c r="M114" s="155">
        <f t="shared" si="63"/>
        <v>0</v>
      </c>
      <c r="N114" s="155">
        <f t="shared" si="63"/>
        <v>0</v>
      </c>
      <c r="O114" s="155">
        <f t="shared" si="63"/>
        <v>0</v>
      </c>
      <c r="P114" s="155">
        <f t="shared" si="63"/>
        <v>0</v>
      </c>
      <c r="Q114" s="155">
        <f t="shared" si="63"/>
        <v>0</v>
      </c>
      <c r="R114" s="155">
        <f t="shared" si="63"/>
        <v>0</v>
      </c>
      <c r="S114" s="155">
        <f t="shared" si="63"/>
        <v>0</v>
      </c>
      <c r="T114" s="155">
        <f t="shared" si="63"/>
        <v>0</v>
      </c>
      <c r="U114" s="155">
        <f t="shared" si="63"/>
        <v>0</v>
      </c>
      <c r="V114" s="155">
        <f t="shared" si="63"/>
        <v>0</v>
      </c>
      <c r="W114" s="155">
        <f t="shared" si="63"/>
        <v>0</v>
      </c>
      <c r="X114" s="155">
        <f t="shared" si="63"/>
        <v>0</v>
      </c>
      <c r="Y114" s="155">
        <f t="shared" si="61"/>
        <v>0</v>
      </c>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c r="CA114" s="146"/>
      <c r="CB114" s="146"/>
    </row>
    <row r="115" spans="3:80">
      <c r="C115" s="143" t="s">
        <v>275</v>
      </c>
      <c r="E115" s="155">
        <f t="shared" ref="E115:X115" si="64">E78-E77</f>
        <v>0</v>
      </c>
      <c r="F115" s="155">
        <f t="shared" si="64"/>
        <v>0</v>
      </c>
      <c r="G115" s="155">
        <f t="shared" si="64"/>
        <v>0</v>
      </c>
      <c r="H115" s="155">
        <f t="shared" si="64"/>
        <v>0</v>
      </c>
      <c r="I115" s="155">
        <f t="shared" si="64"/>
        <v>0</v>
      </c>
      <c r="J115" s="155">
        <f t="shared" si="64"/>
        <v>0</v>
      </c>
      <c r="K115" s="155">
        <f t="shared" si="64"/>
        <v>0</v>
      </c>
      <c r="L115" s="155">
        <f t="shared" si="64"/>
        <v>0</v>
      </c>
      <c r="M115" s="155">
        <f t="shared" si="64"/>
        <v>0</v>
      </c>
      <c r="N115" s="155">
        <f t="shared" si="64"/>
        <v>0</v>
      </c>
      <c r="O115" s="155">
        <f t="shared" si="64"/>
        <v>0</v>
      </c>
      <c r="P115" s="155">
        <f t="shared" si="64"/>
        <v>0</v>
      </c>
      <c r="Q115" s="155">
        <f t="shared" si="64"/>
        <v>0</v>
      </c>
      <c r="R115" s="155">
        <f t="shared" si="64"/>
        <v>0</v>
      </c>
      <c r="S115" s="155">
        <f t="shared" si="64"/>
        <v>0</v>
      </c>
      <c r="T115" s="155">
        <f t="shared" si="64"/>
        <v>0</v>
      </c>
      <c r="U115" s="155">
        <f t="shared" si="64"/>
        <v>0</v>
      </c>
      <c r="V115" s="155">
        <f t="shared" si="64"/>
        <v>0</v>
      </c>
      <c r="W115" s="155">
        <f t="shared" si="64"/>
        <v>0</v>
      </c>
      <c r="X115" s="155">
        <f t="shared" si="64"/>
        <v>0</v>
      </c>
      <c r="Y115" s="155">
        <f t="shared" si="61"/>
        <v>0</v>
      </c>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c r="CA115" s="146"/>
      <c r="CB115" s="146"/>
    </row>
    <row r="116" spans="3:80">
      <c r="C116" s="143" t="s">
        <v>278</v>
      </c>
      <c r="E116" s="155">
        <f t="shared" ref="E116:X116" si="65">E79-E78</f>
        <v>0</v>
      </c>
      <c r="F116" s="155">
        <f t="shared" si="65"/>
        <v>0</v>
      </c>
      <c r="G116" s="155">
        <f t="shared" si="65"/>
        <v>0</v>
      </c>
      <c r="H116" s="155">
        <f t="shared" si="65"/>
        <v>0</v>
      </c>
      <c r="I116" s="155">
        <f t="shared" si="65"/>
        <v>0</v>
      </c>
      <c r="J116" s="155">
        <f t="shared" si="65"/>
        <v>0</v>
      </c>
      <c r="K116" s="155">
        <f t="shared" si="65"/>
        <v>0</v>
      </c>
      <c r="L116" s="155">
        <f t="shared" si="65"/>
        <v>0</v>
      </c>
      <c r="M116" s="155">
        <f t="shared" si="65"/>
        <v>0</v>
      </c>
      <c r="N116" s="155">
        <f t="shared" si="65"/>
        <v>0</v>
      </c>
      <c r="O116" s="155">
        <f t="shared" si="65"/>
        <v>0</v>
      </c>
      <c r="P116" s="155">
        <f t="shared" si="65"/>
        <v>0</v>
      </c>
      <c r="Q116" s="155">
        <f t="shared" si="65"/>
        <v>0</v>
      </c>
      <c r="R116" s="155">
        <f t="shared" si="65"/>
        <v>0</v>
      </c>
      <c r="S116" s="155">
        <f t="shared" si="65"/>
        <v>0</v>
      </c>
      <c r="T116" s="155">
        <f t="shared" si="65"/>
        <v>0</v>
      </c>
      <c r="U116" s="155">
        <f t="shared" si="65"/>
        <v>0</v>
      </c>
      <c r="V116" s="155">
        <f t="shared" si="65"/>
        <v>0</v>
      </c>
      <c r="W116" s="155">
        <f t="shared" si="65"/>
        <v>0</v>
      </c>
      <c r="X116" s="155">
        <f t="shared" si="65"/>
        <v>0</v>
      </c>
      <c r="Y116" s="155">
        <f t="shared" si="61"/>
        <v>0</v>
      </c>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c r="CA116" s="146"/>
      <c r="CB116" s="146"/>
    </row>
    <row r="117" spans="3:80">
      <c r="C117" s="143" t="s">
        <v>281</v>
      </c>
      <c r="E117" s="155">
        <f t="shared" ref="E117:X117" si="66">E80-E79</f>
        <v>0</v>
      </c>
      <c r="F117" s="155">
        <f t="shared" si="66"/>
        <v>0</v>
      </c>
      <c r="G117" s="155">
        <f t="shared" si="66"/>
        <v>0</v>
      </c>
      <c r="H117" s="155">
        <f t="shared" si="66"/>
        <v>0</v>
      </c>
      <c r="I117" s="155">
        <f t="shared" si="66"/>
        <v>0</v>
      </c>
      <c r="J117" s="155">
        <f t="shared" si="66"/>
        <v>0</v>
      </c>
      <c r="K117" s="155">
        <f t="shared" si="66"/>
        <v>0</v>
      </c>
      <c r="L117" s="155">
        <f t="shared" si="66"/>
        <v>0</v>
      </c>
      <c r="M117" s="155">
        <f t="shared" si="66"/>
        <v>0</v>
      </c>
      <c r="N117" s="155">
        <f t="shared" si="66"/>
        <v>0</v>
      </c>
      <c r="O117" s="155">
        <f t="shared" si="66"/>
        <v>0</v>
      </c>
      <c r="P117" s="155">
        <f t="shared" si="66"/>
        <v>0</v>
      </c>
      <c r="Q117" s="155">
        <f t="shared" si="66"/>
        <v>0</v>
      </c>
      <c r="R117" s="155">
        <f t="shared" si="66"/>
        <v>0</v>
      </c>
      <c r="S117" s="155">
        <f t="shared" si="66"/>
        <v>0</v>
      </c>
      <c r="T117" s="155">
        <f t="shared" si="66"/>
        <v>0</v>
      </c>
      <c r="U117" s="155">
        <f t="shared" si="66"/>
        <v>0</v>
      </c>
      <c r="V117" s="155">
        <f t="shared" si="66"/>
        <v>0</v>
      </c>
      <c r="W117" s="155">
        <f t="shared" si="66"/>
        <v>0</v>
      </c>
      <c r="X117" s="155">
        <f t="shared" si="66"/>
        <v>0</v>
      </c>
      <c r="Y117" s="155">
        <f t="shared" si="61"/>
        <v>0</v>
      </c>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c r="CA117" s="146"/>
      <c r="CB117" s="146"/>
    </row>
    <row r="118" spans="3:80">
      <c r="C118" s="143" t="s">
        <v>284</v>
      </c>
      <c r="E118" s="155">
        <f t="shared" ref="E118:X118" ca="1" si="67">E81-E80</f>
        <v>3.3246162888090432E-4</v>
      </c>
      <c r="F118" s="155">
        <f t="shared" ca="1" si="67"/>
        <v>9.8577012210179327E-4</v>
      </c>
      <c r="G118" s="155">
        <f t="shared" ca="1" si="67"/>
        <v>2.1331700477239578E-3</v>
      </c>
      <c r="H118" s="155">
        <f t="shared" ca="1" si="67"/>
        <v>3.8862186908817558E-3</v>
      </c>
      <c r="I118" s="155">
        <f t="shared" ca="1" si="67"/>
        <v>6.2682899229958384E-3</v>
      </c>
      <c r="J118" s="155">
        <f t="shared" ca="1" si="67"/>
        <v>9.6404063845129742E-3</v>
      </c>
      <c r="K118" s="155">
        <f t="shared" ca="1" si="67"/>
        <v>1.4401485991269392E-2</v>
      </c>
      <c r="L118" s="155">
        <f t="shared" ca="1" si="67"/>
        <v>2.1071785449690007E-2</v>
      </c>
      <c r="M118" s="155">
        <f t="shared" ca="1" si="67"/>
        <v>2.9695859561860369E-2</v>
      </c>
      <c r="N118" s="155">
        <f t="shared" ca="1" si="67"/>
        <v>4.0328290670769949E-2</v>
      </c>
      <c r="O118" s="155">
        <f t="shared" ca="1" si="67"/>
        <v>5.1565990291924851E-2</v>
      </c>
      <c r="P118" s="155">
        <f t="shared" ca="1" si="67"/>
        <v>6.3359059971131448E-2</v>
      </c>
      <c r="Q118" s="155">
        <f t="shared" ca="1" si="67"/>
        <v>7.5307388756427784E-2</v>
      </c>
      <c r="R118" s="155">
        <f t="shared" ca="1" si="67"/>
        <v>8.5533623083905858E-2</v>
      </c>
      <c r="S118" s="155">
        <f t="shared" ca="1" si="67"/>
        <v>9.4097540967404927E-2</v>
      </c>
      <c r="T118" s="155">
        <f t="shared" ca="1" si="67"/>
        <v>9.9822973274700313E-2</v>
      </c>
      <c r="U118" s="155">
        <f t="shared" ca="1" si="67"/>
        <v>0.10374216550019269</v>
      </c>
      <c r="V118" s="155">
        <f t="shared" ca="1" si="67"/>
        <v>0.10620132766890188</v>
      </c>
      <c r="W118" s="155">
        <f t="shared" ca="1" si="67"/>
        <v>0.10642448700072513</v>
      </c>
      <c r="X118" s="155">
        <f t="shared" ca="1" si="67"/>
        <v>0.10710570370395071</v>
      </c>
      <c r="Y118" s="155">
        <f t="shared" ca="1" si="61"/>
        <v>1.0219039986899525</v>
      </c>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c r="CA118" s="146"/>
      <c r="CB118" s="146"/>
    </row>
    <row r="119" spans="3:80">
      <c r="C119" s="143" t="s">
        <v>287</v>
      </c>
      <c r="E119" s="155">
        <f t="shared" ref="E119:X119" ca="1" si="68">E82-E81</f>
        <v>0</v>
      </c>
      <c r="F119" s="155">
        <f t="shared" ca="1" si="68"/>
        <v>0</v>
      </c>
      <c r="G119" s="155">
        <f t="shared" ca="1" si="68"/>
        <v>0</v>
      </c>
      <c r="H119" s="155">
        <f t="shared" ca="1" si="68"/>
        <v>0</v>
      </c>
      <c r="I119" s="155">
        <f t="shared" ca="1" si="68"/>
        <v>0</v>
      </c>
      <c r="J119" s="155">
        <f t="shared" ca="1" si="68"/>
        <v>0</v>
      </c>
      <c r="K119" s="155">
        <f t="shared" ca="1" si="68"/>
        <v>0</v>
      </c>
      <c r="L119" s="155">
        <f t="shared" ca="1" si="68"/>
        <v>0</v>
      </c>
      <c r="M119" s="155">
        <f t="shared" ca="1" si="68"/>
        <v>0</v>
      </c>
      <c r="N119" s="155">
        <f t="shared" ca="1" si="68"/>
        <v>0</v>
      </c>
      <c r="O119" s="155">
        <f t="shared" ca="1" si="68"/>
        <v>0</v>
      </c>
      <c r="P119" s="155">
        <f t="shared" ca="1" si="68"/>
        <v>0</v>
      </c>
      <c r="Q119" s="155">
        <f t="shared" ca="1" si="68"/>
        <v>0</v>
      </c>
      <c r="R119" s="155">
        <f t="shared" ca="1" si="68"/>
        <v>0</v>
      </c>
      <c r="S119" s="155">
        <f t="shared" ca="1" si="68"/>
        <v>0</v>
      </c>
      <c r="T119" s="155">
        <f t="shared" ca="1" si="68"/>
        <v>0</v>
      </c>
      <c r="U119" s="155">
        <f t="shared" ca="1" si="68"/>
        <v>0</v>
      </c>
      <c r="V119" s="155">
        <f t="shared" ca="1" si="68"/>
        <v>0</v>
      </c>
      <c r="W119" s="155">
        <f t="shared" ca="1" si="68"/>
        <v>0</v>
      </c>
      <c r="X119" s="155">
        <f t="shared" ca="1" si="68"/>
        <v>0</v>
      </c>
      <c r="Y119" s="155">
        <f t="shared" ca="1" si="61"/>
        <v>0</v>
      </c>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c r="CA119" s="146"/>
      <c r="CB119" s="146"/>
    </row>
    <row r="120" spans="3:80">
      <c r="C120" s="143" t="s">
        <v>290</v>
      </c>
      <c r="E120" s="155">
        <f t="shared" ref="E120:X120" ca="1" si="69">E83-E82</f>
        <v>9.3447000195058191E-4</v>
      </c>
      <c r="F120" s="155">
        <f t="shared" ca="1" si="69"/>
        <v>2.6806367465638751E-3</v>
      </c>
      <c r="G120" s="155">
        <f t="shared" ca="1" si="69"/>
        <v>5.5478189565883957E-3</v>
      </c>
      <c r="H120" s="155">
        <f t="shared" ca="1" si="69"/>
        <v>1.0099548637047016E-2</v>
      </c>
      <c r="I120" s="155">
        <f t="shared" ca="1" si="69"/>
        <v>1.6817907773019152E-2</v>
      </c>
      <c r="J120" s="155">
        <f t="shared" ca="1" si="69"/>
        <v>2.5562517218528084E-2</v>
      </c>
      <c r="K120" s="155">
        <f t="shared" ca="1" si="69"/>
        <v>3.7463659768952155E-2</v>
      </c>
      <c r="L120" s="155">
        <f t="shared" ca="1" si="69"/>
        <v>5.3557580933606824E-2</v>
      </c>
      <c r="M120" s="155">
        <f t="shared" ca="1" si="69"/>
        <v>7.2924698036591698E-2</v>
      </c>
      <c r="N120" s="155">
        <f t="shared" ca="1" si="69"/>
        <v>9.8127888801381374E-2</v>
      </c>
      <c r="O120" s="155">
        <f t="shared" ca="1" si="69"/>
        <v>0.12582269802184654</v>
      </c>
      <c r="P120" s="155">
        <f t="shared" ca="1" si="69"/>
        <v>0.15257146183519396</v>
      </c>
      <c r="Q120" s="155">
        <f t="shared" ca="1" si="69"/>
        <v>0.17625755313548697</v>
      </c>
      <c r="R120" s="155">
        <f t="shared" ca="1" si="69"/>
        <v>0.20260522833831143</v>
      </c>
      <c r="S120" s="155">
        <f t="shared" ca="1" si="69"/>
        <v>0.22824269889653964</v>
      </c>
      <c r="T120" s="155">
        <f t="shared" ca="1" si="69"/>
        <v>0.24613347652717849</v>
      </c>
      <c r="U120" s="155">
        <f t="shared" ca="1" si="69"/>
        <v>0.25162490790984771</v>
      </c>
      <c r="V120" s="155">
        <f t="shared" ca="1" si="69"/>
        <v>0.26045070808549597</v>
      </c>
      <c r="W120" s="155">
        <f t="shared" ca="1" si="69"/>
        <v>0.26679767549419964</v>
      </c>
      <c r="X120" s="155">
        <f t="shared" ca="1" si="69"/>
        <v>0.2713548379996914</v>
      </c>
      <c r="Y120" s="155">
        <f t="shared" ca="1" si="61"/>
        <v>2.505577973118021</v>
      </c>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c r="CA120" s="146"/>
      <c r="CB120" s="146"/>
    </row>
    <row r="121" spans="3:80">
      <c r="C121" s="60" t="s">
        <v>842</v>
      </c>
      <c r="E121" s="155">
        <f t="shared" ref="E121:X121" ca="1" si="70">E84-E83</f>
        <v>0</v>
      </c>
      <c r="F121" s="155">
        <f t="shared" ca="1" si="70"/>
        <v>0</v>
      </c>
      <c r="G121" s="155">
        <f t="shared" ca="1" si="70"/>
        <v>0</v>
      </c>
      <c r="H121" s="155">
        <f t="shared" ca="1" si="70"/>
        <v>0</v>
      </c>
      <c r="I121" s="155">
        <f t="shared" ca="1" si="70"/>
        <v>0</v>
      </c>
      <c r="J121" s="155">
        <f t="shared" ca="1" si="70"/>
        <v>0</v>
      </c>
      <c r="K121" s="155">
        <f t="shared" ca="1" si="70"/>
        <v>0</v>
      </c>
      <c r="L121" s="155">
        <f t="shared" ca="1" si="70"/>
        <v>0</v>
      </c>
      <c r="M121" s="155">
        <f t="shared" ca="1" si="70"/>
        <v>0</v>
      </c>
      <c r="N121" s="155">
        <f t="shared" ca="1" si="70"/>
        <v>0</v>
      </c>
      <c r="O121" s="155">
        <f t="shared" ca="1" si="70"/>
        <v>0</v>
      </c>
      <c r="P121" s="155">
        <f t="shared" ca="1" si="70"/>
        <v>0</v>
      </c>
      <c r="Q121" s="155">
        <f t="shared" ca="1" si="70"/>
        <v>0</v>
      </c>
      <c r="R121" s="155">
        <f t="shared" ca="1" si="70"/>
        <v>0</v>
      </c>
      <c r="S121" s="155">
        <f t="shared" ca="1" si="70"/>
        <v>0</v>
      </c>
      <c r="T121" s="155">
        <f t="shared" ca="1" si="70"/>
        <v>0</v>
      </c>
      <c r="U121" s="155">
        <f t="shared" ca="1" si="70"/>
        <v>0</v>
      </c>
      <c r="V121" s="155">
        <f t="shared" ca="1" si="70"/>
        <v>0</v>
      </c>
      <c r="W121" s="155">
        <f t="shared" ca="1" si="70"/>
        <v>0</v>
      </c>
      <c r="X121" s="155">
        <f t="shared" ca="1" si="70"/>
        <v>0</v>
      </c>
      <c r="Y121" s="155">
        <f t="shared" ca="1" si="61"/>
        <v>0</v>
      </c>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c r="CA121" s="146"/>
      <c r="CB121" s="146"/>
    </row>
    <row r="122" spans="3:80">
      <c r="C122" s="60" t="s">
        <v>813</v>
      </c>
      <c r="E122" s="155">
        <f t="shared" ref="E122:X122" ca="1" si="71">E85-E84</f>
        <v>0</v>
      </c>
      <c r="F122" s="155">
        <f t="shared" ca="1" si="71"/>
        <v>0</v>
      </c>
      <c r="G122" s="155">
        <f t="shared" ca="1" si="71"/>
        <v>0</v>
      </c>
      <c r="H122" s="155">
        <f t="shared" ca="1" si="71"/>
        <v>0</v>
      </c>
      <c r="I122" s="155">
        <f t="shared" ca="1" si="71"/>
        <v>0</v>
      </c>
      <c r="J122" s="155">
        <f t="shared" ca="1" si="71"/>
        <v>0</v>
      </c>
      <c r="K122" s="155">
        <f t="shared" ca="1" si="71"/>
        <v>0</v>
      </c>
      <c r="L122" s="155">
        <f t="shared" ca="1" si="71"/>
        <v>0</v>
      </c>
      <c r="M122" s="155">
        <f t="shared" ca="1" si="71"/>
        <v>0</v>
      </c>
      <c r="N122" s="155">
        <f t="shared" ca="1" si="71"/>
        <v>0</v>
      </c>
      <c r="O122" s="155">
        <f t="shared" ca="1" si="71"/>
        <v>0</v>
      </c>
      <c r="P122" s="155">
        <f t="shared" ca="1" si="71"/>
        <v>0</v>
      </c>
      <c r="Q122" s="155">
        <f t="shared" ca="1" si="71"/>
        <v>0</v>
      </c>
      <c r="R122" s="155">
        <f t="shared" ca="1" si="71"/>
        <v>0</v>
      </c>
      <c r="S122" s="155">
        <f t="shared" ca="1" si="71"/>
        <v>0</v>
      </c>
      <c r="T122" s="155">
        <f t="shared" ca="1" si="71"/>
        <v>0</v>
      </c>
      <c r="U122" s="155">
        <f t="shared" ca="1" si="71"/>
        <v>0</v>
      </c>
      <c r="V122" s="155">
        <f t="shared" ca="1" si="71"/>
        <v>0</v>
      </c>
      <c r="W122" s="155">
        <f t="shared" ca="1" si="71"/>
        <v>0</v>
      </c>
      <c r="X122" s="155">
        <f t="shared" ca="1" si="71"/>
        <v>0</v>
      </c>
      <c r="Y122" s="155">
        <f t="shared" ca="1" si="61"/>
        <v>0</v>
      </c>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c r="CA122" s="146"/>
      <c r="CB122" s="146"/>
    </row>
    <row r="123" spans="3:80">
      <c r="C123" s="60" t="s">
        <v>816</v>
      </c>
      <c r="E123" s="155">
        <f t="shared" ref="E123:X123" ca="1" si="72">E86-E85</f>
        <v>0</v>
      </c>
      <c r="F123" s="155">
        <f t="shared" ca="1" si="72"/>
        <v>0</v>
      </c>
      <c r="G123" s="155">
        <f t="shared" ca="1" si="72"/>
        <v>0</v>
      </c>
      <c r="H123" s="155">
        <f t="shared" ca="1" si="72"/>
        <v>0</v>
      </c>
      <c r="I123" s="155">
        <f t="shared" ca="1" si="72"/>
        <v>0</v>
      </c>
      <c r="J123" s="155">
        <f t="shared" ca="1" si="72"/>
        <v>0</v>
      </c>
      <c r="K123" s="155">
        <f t="shared" ca="1" si="72"/>
        <v>0</v>
      </c>
      <c r="L123" s="155">
        <f t="shared" ca="1" si="72"/>
        <v>0</v>
      </c>
      <c r="M123" s="155">
        <f t="shared" ca="1" si="72"/>
        <v>0</v>
      </c>
      <c r="N123" s="155">
        <f t="shared" ca="1" si="72"/>
        <v>0</v>
      </c>
      <c r="O123" s="155">
        <f t="shared" ca="1" si="72"/>
        <v>0</v>
      </c>
      <c r="P123" s="155">
        <f t="shared" ca="1" si="72"/>
        <v>0</v>
      </c>
      <c r="Q123" s="155">
        <f t="shared" ca="1" si="72"/>
        <v>0</v>
      </c>
      <c r="R123" s="155">
        <f t="shared" ca="1" si="72"/>
        <v>0</v>
      </c>
      <c r="S123" s="155">
        <f t="shared" ca="1" si="72"/>
        <v>0</v>
      </c>
      <c r="T123" s="155">
        <f t="shared" ca="1" si="72"/>
        <v>0</v>
      </c>
      <c r="U123" s="155">
        <f t="shared" ca="1" si="72"/>
        <v>0</v>
      </c>
      <c r="V123" s="155">
        <f t="shared" ca="1" si="72"/>
        <v>0</v>
      </c>
      <c r="W123" s="155">
        <f t="shared" ca="1" si="72"/>
        <v>0</v>
      </c>
      <c r="X123" s="155">
        <f t="shared" ca="1" si="72"/>
        <v>0</v>
      </c>
      <c r="Y123" s="155">
        <f t="shared" ca="1" si="61"/>
        <v>0</v>
      </c>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c r="CA123" s="146"/>
      <c r="CB123" s="146"/>
    </row>
    <row r="124" spans="3:80">
      <c r="C124" s="60" t="s">
        <v>819</v>
      </c>
      <c r="E124" s="155">
        <f t="shared" ref="E124:X124" ca="1" si="73">E87-E86</f>
        <v>0</v>
      </c>
      <c r="F124" s="155">
        <f t="shared" ca="1" si="73"/>
        <v>0</v>
      </c>
      <c r="G124" s="155">
        <f t="shared" ca="1" si="73"/>
        <v>0</v>
      </c>
      <c r="H124" s="155">
        <f t="shared" ca="1" si="73"/>
        <v>0</v>
      </c>
      <c r="I124" s="155">
        <f t="shared" ca="1" si="73"/>
        <v>0</v>
      </c>
      <c r="J124" s="155">
        <f t="shared" ca="1" si="73"/>
        <v>0</v>
      </c>
      <c r="K124" s="155">
        <f t="shared" ca="1" si="73"/>
        <v>0</v>
      </c>
      <c r="L124" s="155">
        <f t="shared" ca="1" si="73"/>
        <v>0</v>
      </c>
      <c r="M124" s="155">
        <f t="shared" ca="1" si="73"/>
        <v>0</v>
      </c>
      <c r="N124" s="155">
        <f t="shared" ca="1" si="73"/>
        <v>0</v>
      </c>
      <c r="O124" s="155">
        <f t="shared" ca="1" si="73"/>
        <v>0</v>
      </c>
      <c r="P124" s="155">
        <f t="shared" ca="1" si="73"/>
        <v>0</v>
      </c>
      <c r="Q124" s="155">
        <f t="shared" ca="1" si="73"/>
        <v>0</v>
      </c>
      <c r="R124" s="155">
        <f t="shared" ca="1" si="73"/>
        <v>0</v>
      </c>
      <c r="S124" s="155">
        <f t="shared" ca="1" si="73"/>
        <v>0</v>
      </c>
      <c r="T124" s="155">
        <f t="shared" ca="1" si="73"/>
        <v>0</v>
      </c>
      <c r="U124" s="155">
        <f t="shared" ca="1" si="73"/>
        <v>0</v>
      </c>
      <c r="V124" s="155">
        <f t="shared" ca="1" si="73"/>
        <v>0</v>
      </c>
      <c r="W124" s="155">
        <f t="shared" ca="1" si="73"/>
        <v>0</v>
      </c>
      <c r="X124" s="155">
        <f t="shared" ca="1" si="73"/>
        <v>0</v>
      </c>
      <c r="Y124" s="155">
        <f t="shared" ca="1" si="61"/>
        <v>0</v>
      </c>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c r="CA124" s="146"/>
      <c r="CB124" s="146"/>
    </row>
    <row r="125" spans="3:80">
      <c r="C125" s="60" t="s">
        <v>822</v>
      </c>
      <c r="E125" s="155">
        <f t="shared" ref="E125:X125" ca="1" si="74">E88-E87</f>
        <v>0</v>
      </c>
      <c r="F125" s="155">
        <f t="shared" ca="1" si="74"/>
        <v>0</v>
      </c>
      <c r="G125" s="155">
        <f t="shared" ca="1" si="74"/>
        <v>0</v>
      </c>
      <c r="H125" s="155">
        <f t="shared" ca="1" si="74"/>
        <v>0</v>
      </c>
      <c r="I125" s="155">
        <f t="shared" ca="1" si="74"/>
        <v>0</v>
      </c>
      <c r="J125" s="155">
        <f t="shared" ca="1" si="74"/>
        <v>0</v>
      </c>
      <c r="K125" s="155">
        <f t="shared" ca="1" si="74"/>
        <v>0</v>
      </c>
      <c r="L125" s="155">
        <f t="shared" ca="1" si="74"/>
        <v>0</v>
      </c>
      <c r="M125" s="155">
        <f t="shared" ca="1" si="74"/>
        <v>0</v>
      </c>
      <c r="N125" s="155">
        <f t="shared" ca="1" si="74"/>
        <v>0</v>
      </c>
      <c r="O125" s="155">
        <f t="shared" ca="1" si="74"/>
        <v>0</v>
      </c>
      <c r="P125" s="155">
        <f t="shared" ca="1" si="74"/>
        <v>0</v>
      </c>
      <c r="Q125" s="155">
        <f t="shared" ca="1" si="74"/>
        <v>0</v>
      </c>
      <c r="R125" s="155">
        <f t="shared" ca="1" si="74"/>
        <v>0</v>
      </c>
      <c r="S125" s="155">
        <f t="shared" ca="1" si="74"/>
        <v>0</v>
      </c>
      <c r="T125" s="155">
        <f t="shared" ca="1" si="74"/>
        <v>0</v>
      </c>
      <c r="U125" s="155">
        <f t="shared" ca="1" si="74"/>
        <v>0</v>
      </c>
      <c r="V125" s="155">
        <f t="shared" ca="1" si="74"/>
        <v>0</v>
      </c>
      <c r="W125" s="155">
        <f t="shared" ca="1" si="74"/>
        <v>0</v>
      </c>
      <c r="X125" s="155">
        <f t="shared" ca="1" si="74"/>
        <v>0</v>
      </c>
      <c r="Y125" s="155">
        <f t="shared" ca="1" si="61"/>
        <v>0</v>
      </c>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c r="CA125" s="146"/>
      <c r="CB125" s="146"/>
    </row>
    <row r="126" spans="3:80">
      <c r="C126" s="60" t="s">
        <v>825</v>
      </c>
      <c r="E126" s="155">
        <f t="shared" ref="E126:X126" ca="1" si="75">E89-E88</f>
        <v>0</v>
      </c>
      <c r="F126" s="155">
        <f t="shared" ca="1" si="75"/>
        <v>0</v>
      </c>
      <c r="G126" s="155">
        <f t="shared" ca="1" si="75"/>
        <v>0</v>
      </c>
      <c r="H126" s="155">
        <f t="shared" ca="1" si="75"/>
        <v>0</v>
      </c>
      <c r="I126" s="155">
        <f t="shared" ca="1" si="75"/>
        <v>0</v>
      </c>
      <c r="J126" s="155">
        <f t="shared" ca="1" si="75"/>
        <v>0</v>
      </c>
      <c r="K126" s="155">
        <f t="shared" ca="1" si="75"/>
        <v>0</v>
      </c>
      <c r="L126" s="155">
        <f t="shared" ca="1" si="75"/>
        <v>0</v>
      </c>
      <c r="M126" s="155">
        <f t="shared" ca="1" si="75"/>
        <v>0</v>
      </c>
      <c r="N126" s="155">
        <f t="shared" ca="1" si="75"/>
        <v>0</v>
      </c>
      <c r="O126" s="155">
        <f t="shared" ca="1" si="75"/>
        <v>0</v>
      </c>
      <c r="P126" s="155">
        <f t="shared" ca="1" si="75"/>
        <v>0</v>
      </c>
      <c r="Q126" s="155">
        <f t="shared" ca="1" si="75"/>
        <v>0</v>
      </c>
      <c r="R126" s="155">
        <f t="shared" ca="1" si="75"/>
        <v>0</v>
      </c>
      <c r="S126" s="155">
        <f t="shared" ca="1" si="75"/>
        <v>0</v>
      </c>
      <c r="T126" s="155">
        <f t="shared" ca="1" si="75"/>
        <v>0</v>
      </c>
      <c r="U126" s="155">
        <f t="shared" ca="1" si="75"/>
        <v>0</v>
      </c>
      <c r="V126" s="155">
        <f t="shared" ca="1" si="75"/>
        <v>0</v>
      </c>
      <c r="W126" s="155">
        <f t="shared" ca="1" si="75"/>
        <v>0</v>
      </c>
      <c r="X126" s="155">
        <f t="shared" ca="1" si="75"/>
        <v>0</v>
      </c>
      <c r="Y126" s="155">
        <f t="shared" ca="1" si="61"/>
        <v>0</v>
      </c>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c r="CA126" s="146"/>
      <c r="CB126" s="146"/>
    </row>
    <row r="127" spans="3:80">
      <c r="C127" s="60" t="s">
        <v>828</v>
      </c>
      <c r="E127" s="155">
        <f t="shared" ref="E127:X127" ca="1" si="76">E90-E89</f>
        <v>0</v>
      </c>
      <c r="F127" s="155">
        <f t="shared" ca="1" si="76"/>
        <v>0</v>
      </c>
      <c r="G127" s="155">
        <f t="shared" ca="1" si="76"/>
        <v>0</v>
      </c>
      <c r="H127" s="155">
        <f t="shared" ca="1" si="76"/>
        <v>0</v>
      </c>
      <c r="I127" s="155">
        <f t="shared" ca="1" si="76"/>
        <v>0</v>
      </c>
      <c r="J127" s="155">
        <f t="shared" ca="1" si="76"/>
        <v>0</v>
      </c>
      <c r="K127" s="155">
        <f t="shared" ca="1" si="76"/>
        <v>0</v>
      </c>
      <c r="L127" s="155">
        <f t="shared" ca="1" si="76"/>
        <v>0</v>
      </c>
      <c r="M127" s="155">
        <f t="shared" ca="1" si="76"/>
        <v>0</v>
      </c>
      <c r="N127" s="155">
        <f t="shared" ca="1" si="76"/>
        <v>0</v>
      </c>
      <c r="O127" s="155">
        <f t="shared" ca="1" si="76"/>
        <v>0</v>
      </c>
      <c r="P127" s="155">
        <f t="shared" ca="1" si="76"/>
        <v>0</v>
      </c>
      <c r="Q127" s="155">
        <f t="shared" ca="1" si="76"/>
        <v>0</v>
      </c>
      <c r="R127" s="155">
        <f t="shared" ca="1" si="76"/>
        <v>0</v>
      </c>
      <c r="S127" s="155">
        <f t="shared" ca="1" si="76"/>
        <v>0</v>
      </c>
      <c r="T127" s="155">
        <f t="shared" ca="1" si="76"/>
        <v>0</v>
      </c>
      <c r="U127" s="155">
        <f t="shared" ca="1" si="76"/>
        <v>0</v>
      </c>
      <c r="V127" s="155">
        <f t="shared" ca="1" si="76"/>
        <v>0</v>
      </c>
      <c r="W127" s="155">
        <f t="shared" ca="1" si="76"/>
        <v>0</v>
      </c>
      <c r="X127" s="155">
        <f t="shared" ca="1" si="76"/>
        <v>0</v>
      </c>
      <c r="Y127" s="155">
        <f t="shared" ca="1" si="61"/>
        <v>0</v>
      </c>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c r="CA127" s="146"/>
      <c r="CB127" s="146"/>
    </row>
    <row r="128" spans="3:80">
      <c r="C128" s="60" t="s">
        <v>831</v>
      </c>
      <c r="E128" s="155">
        <f t="shared" ref="E128:X128" ca="1" si="77">E91-E90</f>
        <v>0</v>
      </c>
      <c r="F128" s="155">
        <f t="shared" ca="1" si="77"/>
        <v>0</v>
      </c>
      <c r="G128" s="155">
        <f t="shared" ca="1" si="77"/>
        <v>0</v>
      </c>
      <c r="H128" s="155">
        <f t="shared" ca="1" si="77"/>
        <v>0</v>
      </c>
      <c r="I128" s="155">
        <f t="shared" ca="1" si="77"/>
        <v>0</v>
      </c>
      <c r="J128" s="155">
        <f t="shared" ca="1" si="77"/>
        <v>0</v>
      </c>
      <c r="K128" s="155">
        <f t="shared" ca="1" si="77"/>
        <v>0</v>
      </c>
      <c r="L128" s="155">
        <f t="shared" ca="1" si="77"/>
        <v>0</v>
      </c>
      <c r="M128" s="155">
        <f t="shared" ca="1" si="77"/>
        <v>0</v>
      </c>
      <c r="N128" s="155">
        <f t="shared" ca="1" si="77"/>
        <v>0</v>
      </c>
      <c r="O128" s="155">
        <f t="shared" ca="1" si="77"/>
        <v>0</v>
      </c>
      <c r="P128" s="155">
        <f t="shared" ca="1" si="77"/>
        <v>0</v>
      </c>
      <c r="Q128" s="155">
        <f t="shared" ca="1" si="77"/>
        <v>0</v>
      </c>
      <c r="R128" s="155">
        <f t="shared" ca="1" si="77"/>
        <v>0</v>
      </c>
      <c r="S128" s="155">
        <f t="shared" ca="1" si="77"/>
        <v>0</v>
      </c>
      <c r="T128" s="155">
        <f t="shared" ca="1" si="77"/>
        <v>0</v>
      </c>
      <c r="U128" s="155">
        <f t="shared" ca="1" si="77"/>
        <v>0</v>
      </c>
      <c r="V128" s="155">
        <f t="shared" ca="1" si="77"/>
        <v>0</v>
      </c>
      <c r="W128" s="155">
        <f t="shared" ca="1" si="77"/>
        <v>0</v>
      </c>
      <c r="X128" s="155">
        <f t="shared" ca="1" si="77"/>
        <v>0</v>
      </c>
      <c r="Y128" s="155">
        <f t="shared" ca="1" si="61"/>
        <v>0</v>
      </c>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c r="CA128" s="146"/>
      <c r="CB128" s="146"/>
    </row>
    <row r="129" spans="3:80">
      <c r="C129" s="60" t="s">
        <v>834</v>
      </c>
      <c r="E129" s="155">
        <f t="shared" ref="E129:X129" ca="1" si="78">E92-E91</f>
        <v>0</v>
      </c>
      <c r="F129" s="155">
        <f t="shared" ca="1" si="78"/>
        <v>0</v>
      </c>
      <c r="G129" s="155">
        <f t="shared" ca="1" si="78"/>
        <v>0</v>
      </c>
      <c r="H129" s="155">
        <f t="shared" ca="1" si="78"/>
        <v>0</v>
      </c>
      <c r="I129" s="155">
        <f t="shared" ca="1" si="78"/>
        <v>0</v>
      </c>
      <c r="J129" s="155">
        <f t="shared" ca="1" si="78"/>
        <v>0</v>
      </c>
      <c r="K129" s="155">
        <f t="shared" ca="1" si="78"/>
        <v>0</v>
      </c>
      <c r="L129" s="155">
        <f t="shared" ca="1" si="78"/>
        <v>0</v>
      </c>
      <c r="M129" s="155">
        <f t="shared" ca="1" si="78"/>
        <v>0</v>
      </c>
      <c r="N129" s="155">
        <f t="shared" ca="1" si="78"/>
        <v>0</v>
      </c>
      <c r="O129" s="155">
        <f t="shared" ca="1" si="78"/>
        <v>0</v>
      </c>
      <c r="P129" s="155">
        <f t="shared" ca="1" si="78"/>
        <v>0</v>
      </c>
      <c r="Q129" s="155">
        <f t="shared" ca="1" si="78"/>
        <v>0</v>
      </c>
      <c r="R129" s="155">
        <f t="shared" ca="1" si="78"/>
        <v>0</v>
      </c>
      <c r="S129" s="155">
        <f t="shared" ca="1" si="78"/>
        <v>0</v>
      </c>
      <c r="T129" s="155">
        <f t="shared" ca="1" si="78"/>
        <v>0</v>
      </c>
      <c r="U129" s="155">
        <f t="shared" ca="1" si="78"/>
        <v>0</v>
      </c>
      <c r="V129" s="155">
        <f t="shared" ca="1" si="78"/>
        <v>0</v>
      </c>
      <c r="W129" s="155">
        <f t="shared" ca="1" si="78"/>
        <v>0</v>
      </c>
      <c r="X129" s="155">
        <f t="shared" ca="1" si="78"/>
        <v>0</v>
      </c>
      <c r="Y129" s="155">
        <f t="shared" ca="1" si="61"/>
        <v>0</v>
      </c>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c r="CA129" s="146"/>
      <c r="CB129" s="146"/>
    </row>
    <row r="130" spans="3:80">
      <c r="C130" s="60" t="s">
        <v>837</v>
      </c>
      <c r="E130" s="155">
        <f t="shared" ref="E130:X130" ca="1" si="79">E93-E92</f>
        <v>0</v>
      </c>
      <c r="F130" s="155">
        <f t="shared" ca="1" si="79"/>
        <v>0</v>
      </c>
      <c r="G130" s="155">
        <f t="shared" ca="1" si="79"/>
        <v>0</v>
      </c>
      <c r="H130" s="155">
        <f t="shared" ca="1" si="79"/>
        <v>0</v>
      </c>
      <c r="I130" s="155">
        <f t="shared" ca="1" si="79"/>
        <v>0</v>
      </c>
      <c r="J130" s="155">
        <f t="shared" ca="1" si="79"/>
        <v>0</v>
      </c>
      <c r="K130" s="155">
        <f t="shared" ca="1" si="79"/>
        <v>0</v>
      </c>
      <c r="L130" s="155">
        <f t="shared" ca="1" si="79"/>
        <v>0</v>
      </c>
      <c r="M130" s="155">
        <f t="shared" ca="1" si="79"/>
        <v>0</v>
      </c>
      <c r="N130" s="155">
        <f t="shared" ca="1" si="79"/>
        <v>0</v>
      </c>
      <c r="O130" s="155">
        <f t="shared" ca="1" si="79"/>
        <v>0</v>
      </c>
      <c r="P130" s="155">
        <f t="shared" ca="1" si="79"/>
        <v>0</v>
      </c>
      <c r="Q130" s="155">
        <f t="shared" ca="1" si="79"/>
        <v>0</v>
      </c>
      <c r="R130" s="155">
        <f t="shared" ca="1" si="79"/>
        <v>0</v>
      </c>
      <c r="S130" s="155">
        <f t="shared" ca="1" si="79"/>
        <v>0</v>
      </c>
      <c r="T130" s="155">
        <f t="shared" ca="1" si="79"/>
        <v>0</v>
      </c>
      <c r="U130" s="155">
        <f t="shared" ca="1" si="79"/>
        <v>0</v>
      </c>
      <c r="V130" s="155">
        <f t="shared" ca="1" si="79"/>
        <v>0</v>
      </c>
      <c r="W130" s="155">
        <f t="shared" ca="1" si="79"/>
        <v>0</v>
      </c>
      <c r="X130" s="155">
        <f t="shared" ca="1" si="79"/>
        <v>0</v>
      </c>
      <c r="Y130" s="155">
        <f t="shared" ca="1" si="61"/>
        <v>0</v>
      </c>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c r="CA130" s="146"/>
      <c r="CB130" s="146"/>
    </row>
    <row r="131" spans="3:80">
      <c r="C131" s="60" t="s">
        <v>840</v>
      </c>
      <c r="E131" s="155">
        <f t="shared" ref="E131:X131" ca="1" si="80">E94-E83</f>
        <v>3.8058202058346285E-6</v>
      </c>
      <c r="F131" s="155">
        <f t="shared" ca="1" si="80"/>
        <v>1.1443355548784728E-5</v>
      </c>
      <c r="G131" s="155">
        <f t="shared" ca="1" si="80"/>
        <v>2.5135704118790098E-5</v>
      </c>
      <c r="H131" s="155">
        <f t="shared" ca="1" si="80"/>
        <v>4.4736385207804971E-5</v>
      </c>
      <c r="I131" s="155">
        <f t="shared" ca="1" si="80"/>
        <v>7.0760069510605178E-5</v>
      </c>
      <c r="J131" s="155">
        <f t="shared" ca="1" si="80"/>
        <v>1.1045630541332147E-4</v>
      </c>
      <c r="K131" s="155">
        <f t="shared" ca="1" si="80"/>
        <v>1.654914094958021E-4</v>
      </c>
      <c r="L131" s="155">
        <f t="shared" ca="1" si="80"/>
        <v>2.4515160287842674E-4</v>
      </c>
      <c r="M131" s="155">
        <f t="shared" ca="1" si="80"/>
        <v>3.430562122920533E-4</v>
      </c>
      <c r="N131" s="155">
        <f t="shared" ca="1" si="80"/>
        <v>4.6583676569639243E-4</v>
      </c>
      <c r="O131" s="155">
        <f t="shared" ca="1" si="80"/>
        <v>5.8847446207441201E-4</v>
      </c>
      <c r="P131" s="155">
        <f t="shared" ca="1" si="80"/>
        <v>7.2165890240363795E-4</v>
      </c>
      <c r="Q131" s="155">
        <f t="shared" ca="1" si="80"/>
        <v>8.5035092839969018E-4</v>
      </c>
      <c r="R131" s="155">
        <f t="shared" ca="1" si="80"/>
        <v>9.7338950767028587E-4</v>
      </c>
      <c r="S131" s="155">
        <f t="shared" ca="1" si="80"/>
        <v>1.0759498952288005E-3</v>
      </c>
      <c r="T131" s="155">
        <f t="shared" ca="1" si="80"/>
        <v>1.1406084642572312E-3</v>
      </c>
      <c r="U131" s="155">
        <f t="shared" ca="1" si="80"/>
        <v>1.1868126394976031E-3</v>
      </c>
      <c r="V131" s="155">
        <f t="shared" ca="1" si="80"/>
        <v>1.2022041193539557E-3</v>
      </c>
      <c r="W131" s="155">
        <f t="shared" ca="1" si="80"/>
        <v>1.2236929042928613E-3</v>
      </c>
      <c r="X131" s="155">
        <f t="shared" ca="1" si="80"/>
        <v>1.230570578004353E-3</v>
      </c>
      <c r="Y131" s="155">
        <f t="shared" ca="1" si="61"/>
        <v>1.1679586031550646E-2</v>
      </c>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c r="CA131" s="146"/>
      <c r="CB131" s="146"/>
    </row>
    <row r="132" spans="3:80">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c r="CA132" s="146"/>
      <c r="CB132" s="146"/>
    </row>
    <row r="133" spans="3:80" ht="15">
      <c r="C133" s="159" t="s">
        <v>298</v>
      </c>
      <c r="D133" s="160"/>
      <c r="E133" s="160">
        <f t="shared" ref="E133:X133" ca="1" si="81">SUM(E100:E131)</f>
        <v>1.2707374510373209E-3</v>
      </c>
      <c r="F133" s="160">
        <f t="shared" ca="1" si="81"/>
        <v>3.6778502242144533E-3</v>
      </c>
      <c r="G133" s="160">
        <f t="shared" ca="1" si="81"/>
        <v>7.7061247084311436E-3</v>
      </c>
      <c r="H133" s="160">
        <f t="shared" ca="1" si="81"/>
        <v>1.4030503713136576E-2</v>
      </c>
      <c r="I133" s="160">
        <f t="shared" ca="1" si="81"/>
        <v>2.3156957765525597E-2</v>
      </c>
      <c r="J133" s="160">
        <f t="shared" ca="1" si="81"/>
        <v>3.531337990845438E-2</v>
      </c>
      <c r="K133" s="160">
        <f t="shared" ca="1" si="81"/>
        <v>5.2030637169717349E-2</v>
      </c>
      <c r="L133" s="160">
        <f t="shared" ca="1" si="81"/>
        <v>7.4874517986175254E-2</v>
      </c>
      <c r="M133" s="160">
        <f t="shared" ca="1" si="81"/>
        <v>0.10296361381074412</v>
      </c>
      <c r="N133" s="160">
        <f t="shared" ca="1" si="81"/>
        <v>0.13892201623784772</v>
      </c>
      <c r="O133" s="160">
        <f t="shared" ca="1" si="81"/>
        <v>0.1779771627758458</v>
      </c>
      <c r="P133" s="160">
        <f t="shared" ca="1" si="81"/>
        <v>0.21665218070872905</v>
      </c>
      <c r="Q133" s="160">
        <f t="shared" ca="1" si="81"/>
        <v>0.25241529282031444</v>
      </c>
      <c r="R133" s="160">
        <f t="shared" ca="1" si="81"/>
        <v>0.28911224092988758</v>
      </c>
      <c r="S133" s="160">
        <f t="shared" ca="1" si="81"/>
        <v>0.32341618975917336</v>
      </c>
      <c r="T133" s="160">
        <f t="shared" ca="1" si="81"/>
        <v>0.34709705826613602</v>
      </c>
      <c r="U133" s="160">
        <f t="shared" ca="1" si="81"/>
        <v>0.35655388604953797</v>
      </c>
      <c r="V133" s="160">
        <f t="shared" ca="1" si="81"/>
        <v>0.36785423987375182</v>
      </c>
      <c r="W133" s="160">
        <f t="shared" ca="1" si="81"/>
        <v>0.37444585539921765</v>
      </c>
      <c r="X133" s="160">
        <f t="shared" ca="1" si="81"/>
        <v>0.37969111228164648</v>
      </c>
      <c r="Y133" s="160"/>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c r="CA133" s="146"/>
      <c r="CB133" s="146"/>
    </row>
    <row r="134" spans="3:80" ht="15">
      <c r="C134" s="159" t="s">
        <v>299</v>
      </c>
      <c r="D134" s="160"/>
      <c r="E134" s="160">
        <f ca="1">E133</f>
        <v>1.2707374510373209E-3</v>
      </c>
      <c r="F134" s="160">
        <f t="shared" ref="F134:X134" ca="1" si="82">E134+F133</f>
        <v>4.9485876752517737E-3</v>
      </c>
      <c r="G134" s="160">
        <f t="shared" ca="1" si="82"/>
        <v>1.2654712383682917E-2</v>
      </c>
      <c r="H134" s="160">
        <f t="shared" ca="1" si="82"/>
        <v>2.6685216096819495E-2</v>
      </c>
      <c r="I134" s="160">
        <f t="shared" ca="1" si="82"/>
        <v>4.9842173862345088E-2</v>
      </c>
      <c r="J134" s="160">
        <f t="shared" ca="1" si="82"/>
        <v>8.5155553770799475E-2</v>
      </c>
      <c r="K134" s="160">
        <f t="shared" ca="1" si="82"/>
        <v>0.13718619094051682</v>
      </c>
      <c r="L134" s="160">
        <f t="shared" ca="1" si="82"/>
        <v>0.21206070892669207</v>
      </c>
      <c r="M134" s="160">
        <f t="shared" ca="1" si="82"/>
        <v>0.31502432273743619</v>
      </c>
      <c r="N134" s="160">
        <f t="shared" ca="1" si="82"/>
        <v>0.45394633897528391</v>
      </c>
      <c r="O134" s="160">
        <f t="shared" ca="1" si="82"/>
        <v>0.63192350175112977</v>
      </c>
      <c r="P134" s="160">
        <f t="shared" ca="1" si="82"/>
        <v>0.84857568245985882</v>
      </c>
      <c r="Q134" s="160">
        <f t="shared" ca="1" si="82"/>
        <v>1.1009909752801732</v>
      </c>
      <c r="R134" s="160">
        <f t="shared" ca="1" si="82"/>
        <v>1.3901032162100608</v>
      </c>
      <c r="S134" s="160">
        <f t="shared" ca="1" si="82"/>
        <v>1.7135194059692342</v>
      </c>
      <c r="T134" s="160">
        <f t="shared" ca="1" si="82"/>
        <v>2.0606164642353701</v>
      </c>
      <c r="U134" s="160">
        <f t="shared" ca="1" si="82"/>
        <v>2.4171703502849082</v>
      </c>
      <c r="V134" s="160">
        <f t="shared" ca="1" si="82"/>
        <v>2.7850245901586601</v>
      </c>
      <c r="W134" s="160">
        <f t="shared" ca="1" si="82"/>
        <v>3.1594704455578779</v>
      </c>
      <c r="X134" s="160">
        <f t="shared" ca="1" si="82"/>
        <v>3.5391615578395244</v>
      </c>
      <c r="Y134" s="160">
        <f ca="1">SUM(Y100:Y131)</f>
        <v>3.5391615578395244</v>
      </c>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c r="CA134" s="146"/>
      <c r="CB134" s="146"/>
    </row>
    <row r="139" spans="3:80">
      <c r="E139" s="150"/>
      <c r="F139" s="150"/>
      <c r="G139" s="150"/>
      <c r="H139" s="150"/>
      <c r="I139" s="150"/>
      <c r="J139" s="150"/>
      <c r="K139" s="150"/>
      <c r="L139" s="150"/>
      <c r="M139" s="150"/>
      <c r="N139" s="150"/>
      <c r="O139" s="150"/>
      <c r="P139" s="150"/>
      <c r="Q139" s="150"/>
      <c r="R139" s="150"/>
      <c r="S139" s="150"/>
      <c r="T139" s="150"/>
      <c r="U139" s="150"/>
      <c r="V139" s="150"/>
      <c r="W139" s="150"/>
      <c r="X139" s="150"/>
      <c r="Y139" s="150"/>
    </row>
    <row r="140" spans="3:80">
      <c r="E140" s="150"/>
      <c r="F140" s="150"/>
      <c r="G140" s="150"/>
      <c r="H140" s="150"/>
      <c r="I140" s="150"/>
      <c r="J140" s="150"/>
      <c r="K140" s="150"/>
      <c r="L140" s="150"/>
      <c r="M140" s="150"/>
      <c r="N140" s="150"/>
      <c r="O140" s="150"/>
      <c r="P140" s="150"/>
      <c r="Q140" s="150"/>
      <c r="R140" s="150"/>
      <c r="S140" s="150"/>
      <c r="T140" s="150"/>
      <c r="U140" s="150"/>
      <c r="V140" s="150"/>
      <c r="W140" s="150"/>
      <c r="X140" s="150"/>
      <c r="Y140" s="150"/>
    </row>
    <row r="141" spans="3:80" customFormat="1"/>
    <row r="142" spans="3:80" customFormat="1"/>
    <row r="143" spans="3:80" customFormat="1"/>
    <row r="144" spans="3:80" customFormat="1"/>
    <row r="145" spans="5:27" customFormat="1"/>
    <row r="146" spans="5:27" customFormat="1"/>
    <row r="147" spans="5:27" customFormat="1"/>
    <row r="148" spans="5:27">
      <c r="E148" s="150"/>
      <c r="F148" s="150"/>
      <c r="G148" s="150"/>
      <c r="H148" s="150"/>
      <c r="I148" s="150"/>
      <c r="J148" s="150"/>
      <c r="K148" s="150"/>
      <c r="L148" s="150"/>
      <c r="M148" s="150"/>
      <c r="N148" s="150"/>
      <c r="O148" s="150"/>
      <c r="P148" s="150"/>
      <c r="Q148" s="150"/>
      <c r="R148" s="150"/>
      <c r="S148" s="150"/>
      <c r="T148" s="150"/>
      <c r="U148" s="150"/>
      <c r="V148" s="150"/>
      <c r="W148" s="150"/>
      <c r="X148" s="150"/>
      <c r="Y148" s="150"/>
    </row>
    <row r="149" spans="5:27">
      <c r="E149" s="150"/>
      <c r="F149" s="150"/>
      <c r="G149" s="150"/>
      <c r="H149" s="150"/>
      <c r="I149" s="150"/>
      <c r="J149" s="150"/>
      <c r="K149" s="150"/>
      <c r="L149" s="150"/>
      <c r="M149" s="150"/>
      <c r="N149" s="150"/>
      <c r="O149" s="150"/>
      <c r="P149" s="150"/>
      <c r="Q149" s="150"/>
      <c r="R149" s="150"/>
      <c r="S149" s="150"/>
      <c r="T149" s="150"/>
      <c r="U149" s="150"/>
      <c r="V149" s="150"/>
      <c r="W149" s="150"/>
      <c r="X149" s="150"/>
      <c r="Y149" s="150"/>
      <c r="AA149" s="150">
        <f>SUM(E149:Y149)</f>
        <v>0</v>
      </c>
    </row>
  </sheetData>
  <mergeCells count="1">
    <mergeCell ref="B1:T6"/>
  </mergeCells>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sheetPr codeName="Sheet8"/>
  <dimension ref="A5:C12"/>
  <sheetViews>
    <sheetView workbookViewId="0">
      <selection activeCell="C12" sqref="C12"/>
    </sheetView>
  </sheetViews>
  <sheetFormatPr defaultRowHeight="12.75"/>
  <cols>
    <col min="1" max="1" width="19.140625" customWidth="1"/>
  </cols>
  <sheetData>
    <row r="5" spans="1:3">
      <c r="A5" t="s">
        <v>338</v>
      </c>
      <c r="B5" t="s">
        <v>339</v>
      </c>
      <c r="C5" t="s">
        <v>340</v>
      </c>
    </row>
    <row r="6" spans="1:3">
      <c r="A6" t="s">
        <v>216</v>
      </c>
      <c r="B6" s="173">
        <f>1-C6</f>
        <v>0.93947792028510224</v>
      </c>
      <c r="C6" s="173">
        <f>SUM([2]SATS!$C$51:$C$53)</f>
        <v>6.05220797148978E-2</v>
      </c>
    </row>
    <row r="7" spans="1:3">
      <c r="A7" t="s">
        <v>217</v>
      </c>
      <c r="B7" s="173">
        <f>1-C7</f>
        <v>0.94428650477247589</v>
      </c>
      <c r="C7" s="173">
        <f>SUM([2]SATS!$D$51:$D$53)</f>
        <v>5.571349522752414E-2</v>
      </c>
    </row>
    <row r="8" spans="1:3">
      <c r="A8" t="s">
        <v>218</v>
      </c>
      <c r="B8" s="173">
        <f>1-C8</f>
        <v>0.94428650477247589</v>
      </c>
      <c r="C8" s="173">
        <f>SUM([2]SATS!$E$51:$E$53)</f>
        <v>5.571349522752414E-2</v>
      </c>
    </row>
    <row r="11" spans="1:3">
      <c r="B11" t="s">
        <v>343</v>
      </c>
      <c r="C11" t="s">
        <v>344</v>
      </c>
    </row>
    <row r="12" spans="1:3">
      <c r="B12" s="173">
        <v>0.5</v>
      </c>
      <c r="C12" s="173">
        <v>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A12"/>
  <sheetViews>
    <sheetView workbookViewId="0">
      <selection sqref="A1:EA12"/>
    </sheetView>
  </sheetViews>
  <sheetFormatPr defaultRowHeight="12.75"/>
  <sheetData>
    <row r="1" spans="1:131" ht="13.5" thickBot="1">
      <c r="A1" s="161" t="s">
        <v>300</v>
      </c>
      <c r="B1" s="162"/>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c r="BP1" s="163"/>
      <c r="BQ1" s="163"/>
      <c r="BR1" s="163"/>
      <c r="BS1" s="163"/>
      <c r="BT1" s="163"/>
      <c r="BU1" s="163"/>
      <c r="BV1" s="163"/>
      <c r="BW1" s="163"/>
      <c r="BX1" s="163"/>
      <c r="BY1" s="163"/>
      <c r="BZ1" s="163"/>
      <c r="CA1" s="163"/>
      <c r="CB1" s="163"/>
      <c r="CC1" s="163"/>
      <c r="CD1" s="163"/>
      <c r="CE1" s="163"/>
      <c r="CF1" s="163"/>
      <c r="CG1" s="163"/>
      <c r="CH1" s="163"/>
      <c r="CI1" s="163"/>
      <c r="CJ1" s="163"/>
      <c r="CK1" s="163"/>
      <c r="CL1" s="163"/>
      <c r="CM1" s="163"/>
      <c r="CN1" s="163"/>
      <c r="CO1" s="163"/>
      <c r="CP1" s="163"/>
      <c r="CQ1" s="163"/>
      <c r="CR1" s="163"/>
      <c r="CS1" s="163"/>
      <c r="CT1" s="163"/>
      <c r="CU1" s="163"/>
      <c r="CV1" s="163"/>
      <c r="CW1" s="163"/>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row>
    <row r="2" spans="1:131" ht="13.5" thickBot="1">
      <c r="A2" s="164"/>
      <c r="B2" s="165"/>
      <c r="C2" s="166"/>
      <c r="D2" s="166"/>
      <c r="E2" s="166"/>
      <c r="F2" s="166"/>
      <c r="G2" s="166"/>
      <c r="H2" s="166"/>
      <c r="I2" s="166"/>
      <c r="J2" s="166"/>
      <c r="K2" s="166"/>
      <c r="L2" s="166"/>
      <c r="M2" s="166"/>
      <c r="N2" s="166"/>
      <c r="O2" s="167" t="s">
        <v>848</v>
      </c>
      <c r="P2" s="168"/>
      <c r="Q2" s="168"/>
      <c r="R2" s="168"/>
      <c r="S2" s="168"/>
      <c r="T2" s="168"/>
      <c r="U2" s="168"/>
      <c r="V2" s="168"/>
      <c r="W2" s="168"/>
      <c r="X2" s="168"/>
      <c r="Y2" s="168"/>
      <c r="Z2" s="169"/>
      <c r="AA2" s="166"/>
      <c r="AB2" s="167" t="s">
        <v>849</v>
      </c>
      <c r="AC2" s="168"/>
      <c r="AD2" s="168"/>
      <c r="AE2" s="168"/>
      <c r="AF2" s="168"/>
      <c r="AG2" s="168"/>
      <c r="AH2" s="168"/>
      <c r="AI2" s="168"/>
      <c r="AJ2" s="168"/>
      <c r="AK2" s="168"/>
      <c r="AL2" s="168"/>
      <c r="AM2" s="169"/>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row>
    <row r="3" spans="1:131" ht="191.25">
      <c r="A3" s="170" t="s">
        <v>301</v>
      </c>
      <c r="B3" s="171" t="s">
        <v>302</v>
      </c>
      <c r="C3" s="172" t="s">
        <v>303</v>
      </c>
      <c r="D3" s="172" t="s">
        <v>304</v>
      </c>
      <c r="E3" s="172" t="s">
        <v>305</v>
      </c>
      <c r="F3" s="172" t="s">
        <v>306</v>
      </c>
      <c r="G3" s="172" t="s">
        <v>307</v>
      </c>
      <c r="H3" s="172" t="s">
        <v>308</v>
      </c>
      <c r="I3" s="172" t="s">
        <v>309</v>
      </c>
      <c r="J3" s="172" t="s">
        <v>310</v>
      </c>
      <c r="K3" s="172" t="s">
        <v>311</v>
      </c>
      <c r="L3" s="172" t="s">
        <v>312</v>
      </c>
      <c r="M3" s="172" t="s">
        <v>313</v>
      </c>
      <c r="N3" s="172" t="s">
        <v>850</v>
      </c>
      <c r="O3" s="172" t="s">
        <v>314</v>
      </c>
      <c r="P3" s="172" t="s">
        <v>315</v>
      </c>
      <c r="Q3" s="172" t="s">
        <v>316</v>
      </c>
      <c r="R3" s="172" t="s">
        <v>317</v>
      </c>
      <c r="S3" s="172" t="s">
        <v>318</v>
      </c>
      <c r="T3" s="172" t="s">
        <v>319</v>
      </c>
      <c r="U3" s="172" t="s">
        <v>320</v>
      </c>
      <c r="V3" s="172" t="s">
        <v>321</v>
      </c>
      <c r="W3" s="172" t="s">
        <v>322</v>
      </c>
      <c r="X3" s="172" t="s">
        <v>323</v>
      </c>
      <c r="Y3" s="172" t="s">
        <v>324</v>
      </c>
      <c r="Z3" s="172" t="s">
        <v>325</v>
      </c>
      <c r="AA3" s="172"/>
      <c r="AB3" s="172" t="s">
        <v>314</v>
      </c>
      <c r="AC3" s="172" t="s">
        <v>315</v>
      </c>
      <c r="AD3" s="172" t="s">
        <v>316</v>
      </c>
      <c r="AE3" s="172" t="s">
        <v>317</v>
      </c>
      <c r="AF3" s="172" t="s">
        <v>318</v>
      </c>
      <c r="AG3" s="172" t="s">
        <v>319</v>
      </c>
      <c r="AH3" s="172" t="s">
        <v>320</v>
      </c>
      <c r="AI3" s="172" t="s">
        <v>321</v>
      </c>
      <c r="AJ3" s="172" t="s">
        <v>322</v>
      </c>
      <c r="AK3" s="172" t="s">
        <v>323</v>
      </c>
      <c r="AL3" s="172" t="s">
        <v>324</v>
      </c>
      <c r="AM3" s="172" t="s">
        <v>325</v>
      </c>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c r="CR3" s="163"/>
      <c r="CS3" s="163"/>
      <c r="CT3" s="163"/>
      <c r="CU3" s="163"/>
      <c r="CV3" s="163"/>
      <c r="CW3" s="163"/>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row>
    <row r="4" spans="1:131">
      <c r="A4" s="60" t="s">
        <v>336</v>
      </c>
      <c r="B4" s="60"/>
      <c r="C4" s="197">
        <v>256.71911903766988</v>
      </c>
      <c r="D4" s="197">
        <v>639.71</v>
      </c>
      <c r="E4" s="197">
        <v>127.94200000000001</v>
      </c>
      <c r="F4" s="197">
        <v>767.65200000000004</v>
      </c>
      <c r="G4" s="197">
        <v>574.45316335298548</v>
      </c>
      <c r="H4" s="197">
        <v>170.88619257901507</v>
      </c>
      <c r="I4" s="197">
        <v>26194.509957839393</v>
      </c>
      <c r="J4" s="197">
        <v>108.80483319928889</v>
      </c>
      <c r="K4" s="197">
        <v>153.66426901335223</v>
      </c>
      <c r="L4" s="218">
        <v>0.29747628437030688</v>
      </c>
      <c r="M4" s="197">
        <v>2.4388544818404685</v>
      </c>
      <c r="N4" s="197">
        <v>4.968121669622351E-2</v>
      </c>
      <c r="O4" s="197">
        <v>16.974252130941522</v>
      </c>
      <c r="P4" s="197">
        <v>15.206074488924425</v>
      </c>
      <c r="Q4" s="197">
        <v>17.49279380043361</v>
      </c>
      <c r="R4" s="197">
        <v>15.170697763662981</v>
      </c>
      <c r="S4" s="197">
        <v>14.470189705989108</v>
      </c>
      <c r="T4" s="197">
        <v>14.108154860005159</v>
      </c>
      <c r="U4" s="197">
        <v>11.940214963652727</v>
      </c>
      <c r="V4" s="197">
        <v>12.486980601275031</v>
      </c>
      <c r="W4" s="197">
        <v>11.71460881818879</v>
      </c>
      <c r="X4" s="197">
        <v>14.143273661343647</v>
      </c>
      <c r="Y4" s="197">
        <v>14.49630311882791</v>
      </c>
      <c r="Z4" s="197">
        <v>16.854538800706795</v>
      </c>
      <c r="AA4" s="197"/>
      <c r="AB4" s="197">
        <v>8.5173958524754561</v>
      </c>
      <c r="AC4" s="197">
        <v>7.1343627239134708</v>
      </c>
      <c r="AD4" s="197">
        <v>6.8115668777676479</v>
      </c>
      <c r="AE4" s="197">
        <v>7.085639007701217</v>
      </c>
      <c r="AF4" s="197">
        <v>7.0806549609780305</v>
      </c>
      <c r="AG4" s="197">
        <v>5.8706617390262847</v>
      </c>
      <c r="AH4" s="197">
        <v>6.3834149282792385</v>
      </c>
      <c r="AI4" s="197">
        <v>5.011663443002754</v>
      </c>
      <c r="AJ4" s="197">
        <v>6.1745694461951501</v>
      </c>
      <c r="AK4" s="197">
        <v>5.7606510854867894</v>
      </c>
      <c r="AL4" s="197">
        <v>7.5441375579403838</v>
      </c>
      <c r="AM4" s="163">
        <v>8.2863187009517336</v>
      </c>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row>
    <row r="5" spans="1:131">
      <c r="A5" s="60" t="s">
        <v>334</v>
      </c>
      <c r="B5" s="60"/>
      <c r="C5" s="197">
        <v>256.71911903766988</v>
      </c>
      <c r="D5" s="197">
        <v>707.87969999999996</v>
      </c>
      <c r="E5" s="197">
        <v>141.57594</v>
      </c>
      <c r="F5" s="197">
        <v>849.4556399999999</v>
      </c>
      <c r="G5" s="197">
        <v>635.66887017298836</v>
      </c>
      <c r="H5" s="197">
        <v>170.88619257901507</v>
      </c>
      <c r="I5" s="197">
        <v>28985.887121668195</v>
      </c>
      <c r="J5" s="197">
        <v>121.57032169160931</v>
      </c>
      <c r="K5" s="197">
        <v>171.21013342853448</v>
      </c>
      <c r="L5" s="218">
        <v>0.26882894632312387</v>
      </c>
      <c r="M5" s="197">
        <v>2.4388544818404685</v>
      </c>
      <c r="N5" s="197">
        <v>4.968121669622351E-2</v>
      </c>
      <c r="O5" s="197">
        <v>16.974252130941522</v>
      </c>
      <c r="P5" s="197">
        <v>15.206074488924425</v>
      </c>
      <c r="Q5" s="197">
        <v>17.49279380043361</v>
      </c>
      <c r="R5" s="197">
        <v>15.170697763662981</v>
      </c>
      <c r="S5" s="197">
        <v>14.470189705989108</v>
      </c>
      <c r="T5" s="197">
        <v>14.108154860005159</v>
      </c>
      <c r="U5" s="197">
        <v>11.940214963652727</v>
      </c>
      <c r="V5" s="197">
        <v>12.486980601275031</v>
      </c>
      <c r="W5" s="197">
        <v>11.71460881818879</v>
      </c>
      <c r="X5" s="197">
        <v>14.143273661343647</v>
      </c>
      <c r="Y5" s="197">
        <v>14.49630311882791</v>
      </c>
      <c r="Z5" s="197">
        <v>16.854538800706795</v>
      </c>
      <c r="AA5" s="197"/>
      <c r="AB5" s="197">
        <v>8.5173958524754561</v>
      </c>
      <c r="AC5" s="197">
        <v>7.1343627239134708</v>
      </c>
      <c r="AD5" s="197">
        <v>6.8115668777676479</v>
      </c>
      <c r="AE5" s="197">
        <v>7.085639007701217</v>
      </c>
      <c r="AF5" s="197">
        <v>7.0806549609780305</v>
      </c>
      <c r="AG5" s="197">
        <v>5.8706617390262847</v>
      </c>
      <c r="AH5" s="197">
        <v>6.3834149282792385</v>
      </c>
      <c r="AI5" s="197">
        <v>5.011663443002754</v>
      </c>
      <c r="AJ5" s="197">
        <v>6.1745694461951501</v>
      </c>
      <c r="AK5" s="197">
        <v>5.7606510854867894</v>
      </c>
      <c r="AL5" s="197">
        <v>7.5441375579403838</v>
      </c>
      <c r="AM5" s="163">
        <v>8.2863187009517336</v>
      </c>
      <c r="AN5" s="163"/>
      <c r="AO5" s="163"/>
      <c r="AP5" s="163"/>
      <c r="AQ5" s="163"/>
      <c r="AR5" s="163"/>
      <c r="AS5" s="163"/>
      <c r="AT5" s="163"/>
      <c r="AU5" s="163"/>
      <c r="AV5" s="163"/>
      <c r="AW5" s="163"/>
      <c r="AX5" s="163"/>
      <c r="AY5" s="163"/>
      <c r="AZ5" s="163"/>
      <c r="BA5" s="163"/>
      <c r="BB5" s="163"/>
      <c r="BC5" s="163"/>
      <c r="BD5" s="163"/>
      <c r="BE5" s="163"/>
      <c r="BF5" s="163"/>
      <c r="BG5" s="163"/>
      <c r="BH5" s="163"/>
      <c r="BI5" s="163"/>
      <c r="BJ5" s="163"/>
      <c r="BK5" s="163"/>
      <c r="BL5" s="163"/>
      <c r="BM5" s="163"/>
      <c r="BN5" s="163"/>
      <c r="BO5" s="163"/>
      <c r="BP5" s="163"/>
      <c r="BQ5" s="163"/>
      <c r="BR5" s="163"/>
      <c r="BS5" s="163"/>
      <c r="BT5" s="163"/>
      <c r="BU5" s="163"/>
      <c r="BV5" s="163"/>
      <c r="BW5" s="163"/>
      <c r="BX5" s="163"/>
      <c r="BY5" s="163"/>
      <c r="BZ5" s="163"/>
      <c r="CA5" s="163"/>
      <c r="CB5" s="163"/>
      <c r="CC5" s="163"/>
      <c r="CD5" s="163"/>
      <c r="CE5" s="163"/>
      <c r="CF5" s="163"/>
      <c r="CG5" s="163"/>
      <c r="CH5" s="163"/>
      <c r="CI5" s="163"/>
      <c r="CJ5" s="163"/>
      <c r="CK5" s="163"/>
      <c r="CL5" s="163"/>
      <c r="CM5" s="163"/>
      <c r="CN5" s="163"/>
      <c r="CO5" s="163"/>
      <c r="CP5" s="163"/>
      <c r="CQ5" s="163"/>
      <c r="CR5" s="163"/>
      <c r="CS5" s="163"/>
      <c r="CT5" s="163"/>
      <c r="CU5" s="163"/>
      <c r="CV5" s="163"/>
      <c r="CW5" s="163"/>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row>
    <row r="6" spans="1:131">
      <c r="A6" s="60" t="s">
        <v>332</v>
      </c>
      <c r="B6" s="60"/>
      <c r="C6" s="197">
        <v>256.71911903766988</v>
      </c>
      <c r="D6" s="197">
        <v>786.69</v>
      </c>
      <c r="E6" s="197">
        <v>157.33800000000002</v>
      </c>
      <c r="F6" s="197">
        <v>944.02800000000002</v>
      </c>
      <c r="G6" s="197">
        <v>706.4397290618565</v>
      </c>
      <c r="H6" s="197">
        <v>170.88619257901507</v>
      </c>
      <c r="I6" s="197">
        <v>32212.970000051075</v>
      </c>
      <c r="J6" s="197">
        <v>136.32837369603826</v>
      </c>
      <c r="K6" s="197">
        <v>191.49472963945871</v>
      </c>
      <c r="L6" s="218">
        <v>0.24189776643217659</v>
      </c>
      <c r="M6" s="197">
        <v>2.4388544818404685</v>
      </c>
      <c r="N6" s="197">
        <v>4.968121669622351E-2</v>
      </c>
      <c r="O6" s="197">
        <v>16.974252130941522</v>
      </c>
      <c r="P6" s="197">
        <v>15.206074488924425</v>
      </c>
      <c r="Q6" s="197">
        <v>17.49279380043361</v>
      </c>
      <c r="R6" s="197">
        <v>15.170697763662981</v>
      </c>
      <c r="S6" s="197">
        <v>14.470189705989108</v>
      </c>
      <c r="T6" s="197">
        <v>14.108154860005159</v>
      </c>
      <c r="U6" s="197">
        <v>11.940214963652727</v>
      </c>
      <c r="V6" s="197">
        <v>12.486980601275031</v>
      </c>
      <c r="W6" s="197">
        <v>11.71460881818879</v>
      </c>
      <c r="X6" s="197">
        <v>14.143273661343647</v>
      </c>
      <c r="Y6" s="197">
        <v>14.49630311882791</v>
      </c>
      <c r="Z6" s="197">
        <v>16.854538800706795</v>
      </c>
      <c r="AA6" s="197"/>
      <c r="AB6" s="197">
        <v>8.5173958524754561</v>
      </c>
      <c r="AC6" s="197">
        <v>7.1343627239134708</v>
      </c>
      <c r="AD6" s="197">
        <v>6.8115668777676479</v>
      </c>
      <c r="AE6" s="197">
        <v>7.085639007701217</v>
      </c>
      <c r="AF6" s="197">
        <v>7.0806549609780305</v>
      </c>
      <c r="AG6" s="197">
        <v>5.8706617390262847</v>
      </c>
      <c r="AH6" s="197">
        <v>6.3834149282792385</v>
      </c>
      <c r="AI6" s="197">
        <v>5.011663443002754</v>
      </c>
      <c r="AJ6" s="197">
        <v>6.1745694461951501</v>
      </c>
      <c r="AK6" s="197">
        <v>5.7606510854867894</v>
      </c>
      <c r="AL6" s="197">
        <v>7.5441375579403838</v>
      </c>
      <c r="AM6" s="163">
        <v>8.2863187009517336</v>
      </c>
      <c r="AN6" s="163"/>
      <c r="AO6" s="163"/>
      <c r="AP6" s="163"/>
      <c r="AQ6" s="163"/>
      <c r="AR6" s="163"/>
      <c r="AS6" s="163"/>
      <c r="AT6" s="163"/>
      <c r="AU6" s="163"/>
      <c r="AV6" s="163"/>
      <c r="AW6" s="163"/>
      <c r="AX6" s="163"/>
      <c r="AY6" s="163"/>
      <c r="AZ6" s="163"/>
      <c r="BA6" s="163"/>
      <c r="BB6" s="163"/>
      <c r="BC6" s="163"/>
      <c r="BD6" s="163"/>
      <c r="BE6" s="163"/>
      <c r="BF6" s="163"/>
      <c r="BG6" s="163"/>
      <c r="BH6" s="163"/>
      <c r="BI6" s="163"/>
      <c r="BJ6" s="163"/>
      <c r="BK6" s="163"/>
      <c r="BL6" s="163"/>
      <c r="BM6" s="163"/>
      <c r="BN6" s="163"/>
      <c r="BO6" s="163"/>
      <c r="BP6" s="163"/>
      <c r="BQ6" s="163"/>
      <c r="BR6" s="163"/>
      <c r="BS6" s="163"/>
      <c r="BT6" s="163"/>
      <c r="BU6" s="163"/>
      <c r="BV6" s="163"/>
      <c r="BW6" s="163"/>
      <c r="BX6" s="163"/>
      <c r="BY6" s="163"/>
      <c r="BZ6" s="163"/>
      <c r="CA6" s="163"/>
      <c r="CB6" s="163"/>
      <c r="CC6" s="163"/>
      <c r="CD6" s="163"/>
      <c r="CE6" s="163"/>
      <c r="CF6" s="163"/>
      <c r="CG6" s="163"/>
      <c r="CH6" s="163"/>
      <c r="CI6" s="163"/>
      <c r="CJ6" s="163"/>
      <c r="CK6" s="163"/>
      <c r="CL6" s="163"/>
      <c r="CM6" s="163"/>
      <c r="CN6" s="163"/>
      <c r="CO6" s="163"/>
      <c r="CP6" s="163"/>
      <c r="CQ6" s="163"/>
      <c r="CR6" s="163"/>
      <c r="CS6" s="163"/>
      <c r="CT6" s="163"/>
      <c r="CU6" s="163"/>
      <c r="CV6" s="163"/>
      <c r="CW6" s="163"/>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row>
    <row r="7" spans="1:131">
      <c r="A7" s="60" t="s">
        <v>330</v>
      </c>
      <c r="B7" s="60"/>
      <c r="C7" s="197">
        <v>256.71911903766988</v>
      </c>
      <c r="D7" s="197">
        <v>815.90999999999985</v>
      </c>
      <c r="E7" s="197">
        <v>163.18199999999999</v>
      </c>
      <c r="F7" s="197">
        <v>979.09199999999987</v>
      </c>
      <c r="G7" s="197">
        <v>732.67899596900838</v>
      </c>
      <c r="H7" s="197">
        <v>170.88619257901507</v>
      </c>
      <c r="I7" s="197">
        <v>33409.455252693777</v>
      </c>
      <c r="J7" s="197">
        <v>141.80012395672006</v>
      </c>
      <c r="K7" s="197">
        <v>199.0155219887227</v>
      </c>
      <c r="L7" s="218">
        <v>0.23323473652060772</v>
      </c>
      <c r="M7" s="197">
        <v>2.4388544818404685</v>
      </c>
      <c r="N7" s="197">
        <v>4.968121669622351E-2</v>
      </c>
      <c r="O7" s="197">
        <v>16.974252130941522</v>
      </c>
      <c r="P7" s="197">
        <v>15.206074488924425</v>
      </c>
      <c r="Q7" s="197">
        <v>17.49279380043361</v>
      </c>
      <c r="R7" s="197">
        <v>15.170697763662981</v>
      </c>
      <c r="S7" s="197">
        <v>14.470189705989108</v>
      </c>
      <c r="T7" s="197">
        <v>14.108154860005159</v>
      </c>
      <c r="U7" s="197">
        <v>11.940214963652727</v>
      </c>
      <c r="V7" s="197">
        <v>12.486980601275031</v>
      </c>
      <c r="W7" s="197">
        <v>11.71460881818879</v>
      </c>
      <c r="X7" s="197">
        <v>14.143273661343647</v>
      </c>
      <c r="Y7" s="197">
        <v>14.49630311882791</v>
      </c>
      <c r="Z7" s="197">
        <v>16.854538800706795</v>
      </c>
      <c r="AA7" s="197"/>
      <c r="AB7" s="197">
        <v>8.5173958524754561</v>
      </c>
      <c r="AC7" s="197">
        <v>7.1343627239134708</v>
      </c>
      <c r="AD7" s="197">
        <v>6.8115668777676479</v>
      </c>
      <c r="AE7" s="197">
        <v>7.085639007701217</v>
      </c>
      <c r="AF7" s="197">
        <v>7.0806549609780305</v>
      </c>
      <c r="AG7" s="197">
        <v>5.8706617390262847</v>
      </c>
      <c r="AH7" s="197">
        <v>6.3834149282792385</v>
      </c>
      <c r="AI7" s="197">
        <v>5.011663443002754</v>
      </c>
      <c r="AJ7" s="197">
        <v>6.1745694461951501</v>
      </c>
      <c r="AK7" s="197">
        <v>5.7606510854867894</v>
      </c>
      <c r="AL7" s="197">
        <v>7.5441375579403838</v>
      </c>
      <c r="AM7" s="163">
        <v>8.2863187009517336</v>
      </c>
      <c r="AN7" s="163"/>
      <c r="AO7" s="163"/>
      <c r="AP7" s="163"/>
      <c r="AQ7" s="163"/>
      <c r="AR7" s="163"/>
      <c r="AS7" s="163"/>
      <c r="AT7" s="163"/>
      <c r="AU7" s="163"/>
      <c r="AV7" s="163"/>
      <c r="AW7" s="163"/>
      <c r="AX7" s="163"/>
      <c r="AY7" s="163"/>
      <c r="AZ7" s="163"/>
      <c r="BA7" s="163"/>
      <c r="BB7" s="163"/>
      <c r="BC7" s="163"/>
      <c r="BD7" s="163"/>
      <c r="BE7" s="163"/>
      <c r="BF7" s="163"/>
      <c r="BG7" s="163"/>
      <c r="BH7" s="163"/>
      <c r="BI7" s="163"/>
      <c r="BJ7" s="163"/>
      <c r="BK7" s="163"/>
      <c r="BL7" s="163"/>
      <c r="BM7" s="163"/>
      <c r="BN7" s="163"/>
      <c r="BO7" s="163"/>
      <c r="BP7" s="163"/>
      <c r="BQ7" s="163"/>
      <c r="BR7" s="163"/>
      <c r="BS7" s="163"/>
      <c r="BT7" s="163"/>
      <c r="BU7" s="163"/>
      <c r="BV7" s="163"/>
      <c r="BW7" s="163"/>
      <c r="BX7" s="163"/>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row>
    <row r="8" spans="1:131">
      <c r="A8" s="60" t="s">
        <v>337</v>
      </c>
      <c r="B8" s="60"/>
      <c r="C8" s="197">
        <v>123.26393620193372</v>
      </c>
      <c r="D8" s="197">
        <v>639.71</v>
      </c>
      <c r="E8" s="197">
        <v>127.94200000000001</v>
      </c>
      <c r="F8" s="197">
        <v>767.65200000000004</v>
      </c>
      <c r="G8" s="197">
        <v>574.45316335298548</v>
      </c>
      <c r="H8" s="197">
        <v>83.943160899879317</v>
      </c>
      <c r="I8" s="197">
        <v>54554.736179960695</v>
      </c>
      <c r="J8" s="197">
        <v>237.51158416899568</v>
      </c>
      <c r="K8" s="197">
        <v>330.93935548279683</v>
      </c>
      <c r="L8" s="218">
        <v>0.14612707572174788</v>
      </c>
      <c r="M8" s="197">
        <v>1.1710160207776132</v>
      </c>
      <c r="N8" s="197">
        <v>2.6003504756367E-2</v>
      </c>
      <c r="O8" s="197">
        <v>9.5801057048135423</v>
      </c>
      <c r="P8" s="197">
        <v>8.6342007160070811</v>
      </c>
      <c r="Q8" s="197">
        <v>9.6636255305245111</v>
      </c>
      <c r="R8" s="197">
        <v>7.5829951097516659</v>
      </c>
      <c r="S8" s="197">
        <v>6.2992889771455163</v>
      </c>
      <c r="T8" s="197">
        <v>5.3277443895094008</v>
      </c>
      <c r="U8" s="197">
        <v>4.5493859040886901</v>
      </c>
      <c r="V8" s="197">
        <v>4.6407140882725599</v>
      </c>
      <c r="W8" s="197">
        <v>4.6083035410272188</v>
      </c>
      <c r="X8" s="197">
        <v>6.1817868545251882</v>
      </c>
      <c r="Y8" s="197">
        <v>6.8405158734017002</v>
      </c>
      <c r="Z8" s="197">
        <v>9.3262936742320619</v>
      </c>
      <c r="AA8" s="197"/>
      <c r="AB8" s="197">
        <v>5.0373145672789033</v>
      </c>
      <c r="AC8" s="197">
        <v>4.2423234681170268</v>
      </c>
      <c r="AD8" s="197">
        <v>3.8879301977025569</v>
      </c>
      <c r="AE8" s="197">
        <v>3.6214340353903349</v>
      </c>
      <c r="AF8" s="197">
        <v>3.0766776757997669</v>
      </c>
      <c r="AG8" s="197">
        <v>2.3223611632597421</v>
      </c>
      <c r="AH8" s="197">
        <v>2.4391610121885132</v>
      </c>
      <c r="AI8" s="197">
        <v>2.0192428843559047</v>
      </c>
      <c r="AJ8" s="197">
        <v>2.421738657755153</v>
      </c>
      <c r="AK8" s="197">
        <v>2.5529545707092698</v>
      </c>
      <c r="AL8" s="197">
        <v>3.5557830241620025</v>
      </c>
      <c r="AM8" s="163">
        <v>4.8520545819154153</v>
      </c>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3"/>
      <c r="CD8" s="163"/>
      <c r="CE8" s="163"/>
      <c r="CF8" s="163"/>
      <c r="CG8" s="163"/>
      <c r="CH8" s="163"/>
      <c r="CI8" s="163"/>
      <c r="CJ8" s="163"/>
      <c r="CK8" s="163"/>
      <c r="CL8" s="163"/>
      <c r="CM8" s="163"/>
      <c r="CN8" s="163"/>
      <c r="CO8" s="163"/>
      <c r="CP8" s="163"/>
      <c r="CQ8" s="163"/>
      <c r="CR8" s="163"/>
      <c r="CS8" s="163"/>
      <c r="CT8" s="163"/>
      <c r="CU8" s="163"/>
      <c r="CV8" s="163"/>
      <c r="CW8" s="163"/>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row>
    <row r="9" spans="1:131">
      <c r="A9" s="60" t="s">
        <v>335</v>
      </c>
      <c r="B9" s="60"/>
      <c r="C9" s="197">
        <v>123.26393620193372</v>
      </c>
      <c r="D9" s="197">
        <v>707.87969999999996</v>
      </c>
      <c r="E9" s="197">
        <v>141.57594</v>
      </c>
      <c r="F9" s="197">
        <v>849.4556399999999</v>
      </c>
      <c r="G9" s="197">
        <v>635.66887017298836</v>
      </c>
      <c r="H9" s="197">
        <v>83.943160899879317</v>
      </c>
      <c r="I9" s="197">
        <v>60368.27668888984</v>
      </c>
      <c r="J9" s="197">
        <v>264.09798941298629</v>
      </c>
      <c r="K9" s="197">
        <v>367.48174569205361</v>
      </c>
      <c r="L9" s="218">
        <v>0.13205485566256431</v>
      </c>
      <c r="M9" s="197">
        <v>1.1710160207776132</v>
      </c>
      <c r="N9" s="197">
        <v>2.6003504756367E-2</v>
      </c>
      <c r="O9" s="197">
        <v>9.5801057048135423</v>
      </c>
      <c r="P9" s="197">
        <v>8.6342007160070811</v>
      </c>
      <c r="Q9" s="197">
        <v>9.6636255305245111</v>
      </c>
      <c r="R9" s="197">
        <v>7.5829951097516659</v>
      </c>
      <c r="S9" s="197">
        <v>6.2992889771455163</v>
      </c>
      <c r="T9" s="197">
        <v>5.3277443895094008</v>
      </c>
      <c r="U9" s="197">
        <v>4.5493859040886901</v>
      </c>
      <c r="V9" s="197">
        <v>4.6407140882725599</v>
      </c>
      <c r="W9" s="197">
        <v>4.6083035410272188</v>
      </c>
      <c r="X9" s="197">
        <v>6.1817868545251882</v>
      </c>
      <c r="Y9" s="197">
        <v>6.8405158734017002</v>
      </c>
      <c r="Z9" s="197">
        <v>9.3262936742320619</v>
      </c>
      <c r="AA9" s="197"/>
      <c r="AB9" s="197">
        <v>5.0373145672789033</v>
      </c>
      <c r="AC9" s="197">
        <v>4.2423234681170268</v>
      </c>
      <c r="AD9" s="197">
        <v>3.8879301977025569</v>
      </c>
      <c r="AE9" s="197">
        <v>3.6214340353903349</v>
      </c>
      <c r="AF9" s="197">
        <v>3.0766776757997669</v>
      </c>
      <c r="AG9" s="197">
        <v>2.3223611632597421</v>
      </c>
      <c r="AH9" s="197">
        <v>2.4391610121885132</v>
      </c>
      <c r="AI9" s="197">
        <v>2.0192428843559047</v>
      </c>
      <c r="AJ9" s="197">
        <v>2.421738657755153</v>
      </c>
      <c r="AK9" s="197">
        <v>2.5529545707092698</v>
      </c>
      <c r="AL9" s="197">
        <v>3.5557830241620025</v>
      </c>
      <c r="AM9" s="163">
        <v>4.8520545819154153</v>
      </c>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row>
    <row r="10" spans="1:131">
      <c r="A10" s="60" t="s">
        <v>333</v>
      </c>
      <c r="B10" s="60"/>
      <c r="C10" s="197">
        <v>123.26393620193372</v>
      </c>
      <c r="D10" s="197">
        <v>786.69</v>
      </c>
      <c r="E10" s="197">
        <v>157.33800000000002</v>
      </c>
      <c r="F10" s="197">
        <v>944.02800000000002</v>
      </c>
      <c r="G10" s="197">
        <v>706.4397290618565</v>
      </c>
      <c r="H10" s="197">
        <v>83.943160899879317</v>
      </c>
      <c r="I10" s="197">
        <v>67089.252013276768</v>
      </c>
      <c r="J10" s="197">
        <v>294.83426334701369</v>
      </c>
      <c r="K10" s="197">
        <v>409.7280330471188</v>
      </c>
      <c r="L10" s="218">
        <v>0.11882565128571525</v>
      </c>
      <c r="M10" s="197">
        <v>1.1710160207776132</v>
      </c>
      <c r="N10" s="197">
        <v>2.6003504756367E-2</v>
      </c>
      <c r="O10" s="197">
        <v>9.5801057048135423</v>
      </c>
      <c r="P10" s="197">
        <v>8.6342007160070811</v>
      </c>
      <c r="Q10" s="197">
        <v>9.6636255305245111</v>
      </c>
      <c r="R10" s="197">
        <v>7.5829951097516659</v>
      </c>
      <c r="S10" s="197">
        <v>6.2992889771455163</v>
      </c>
      <c r="T10" s="197">
        <v>5.3277443895094008</v>
      </c>
      <c r="U10" s="197">
        <v>4.5493859040886901</v>
      </c>
      <c r="V10" s="197">
        <v>4.6407140882725599</v>
      </c>
      <c r="W10" s="197">
        <v>4.6083035410272188</v>
      </c>
      <c r="X10" s="197">
        <v>6.1817868545251882</v>
      </c>
      <c r="Y10" s="197">
        <v>6.8405158734017002</v>
      </c>
      <c r="Z10" s="197">
        <v>9.3262936742320619</v>
      </c>
      <c r="AA10" s="197"/>
      <c r="AB10" s="197">
        <v>5.0373145672789033</v>
      </c>
      <c r="AC10" s="197">
        <v>4.2423234681170268</v>
      </c>
      <c r="AD10" s="197">
        <v>3.8879301977025569</v>
      </c>
      <c r="AE10" s="197">
        <v>3.6214340353903349</v>
      </c>
      <c r="AF10" s="197">
        <v>3.0766776757997669</v>
      </c>
      <c r="AG10" s="197">
        <v>2.3223611632597421</v>
      </c>
      <c r="AH10" s="197">
        <v>2.4391610121885132</v>
      </c>
      <c r="AI10" s="197">
        <v>2.0192428843559047</v>
      </c>
      <c r="AJ10" s="197">
        <v>2.421738657755153</v>
      </c>
      <c r="AK10" s="197">
        <v>2.5529545707092698</v>
      </c>
      <c r="AL10" s="197">
        <v>3.5557830241620025</v>
      </c>
      <c r="AM10" s="163">
        <v>4.8520545819154153</v>
      </c>
      <c r="AN10" s="163"/>
      <c r="AO10" s="163"/>
      <c r="AP10" s="163"/>
      <c r="AQ10" s="163"/>
      <c r="AR10" s="163"/>
      <c r="AS10" s="163"/>
      <c r="AT10" s="163"/>
      <c r="AU10" s="163"/>
      <c r="AV10" s="163"/>
      <c r="AW10" s="163"/>
      <c r="AX10" s="163"/>
      <c r="AY10" s="163"/>
      <c r="AZ10" s="163"/>
      <c r="BA10" s="163"/>
      <c r="BB10" s="163"/>
      <c r="BC10" s="163"/>
      <c r="BD10" s="163"/>
      <c r="BE10" s="163"/>
      <c r="BF10" s="163"/>
      <c r="BG10" s="163"/>
      <c r="BH10" s="163"/>
      <c r="BI10" s="163"/>
      <c r="BJ10" s="163"/>
      <c r="BK10" s="163"/>
      <c r="BL10" s="163"/>
      <c r="BM10" s="163"/>
      <c r="BN10" s="163"/>
      <c r="BO10" s="163"/>
      <c r="BP10" s="163"/>
      <c r="BQ10" s="163"/>
      <c r="BR10" s="163"/>
      <c r="BS10" s="163"/>
      <c r="BT10" s="163"/>
      <c r="BU10" s="163"/>
      <c r="BV10" s="163"/>
      <c r="BW10" s="163"/>
      <c r="BX10" s="163"/>
      <c r="BY10" s="163"/>
      <c r="BZ10" s="163"/>
      <c r="CA10" s="163"/>
      <c r="CB10" s="163"/>
      <c r="CC10" s="163"/>
      <c r="CD10" s="163"/>
      <c r="CE10" s="163"/>
      <c r="CF10" s="163"/>
      <c r="CG10" s="163"/>
      <c r="CH10" s="163"/>
      <c r="CI10" s="163"/>
      <c r="CJ10" s="163"/>
      <c r="CK10" s="163"/>
      <c r="CL10" s="163"/>
      <c r="CM10" s="163"/>
      <c r="CN10" s="163"/>
      <c r="CO10" s="163"/>
      <c r="CP10" s="163"/>
      <c r="CQ10" s="163"/>
      <c r="CR10" s="163"/>
      <c r="CS10" s="163"/>
      <c r="CT10" s="163"/>
      <c r="CU10" s="163"/>
      <c r="CV10" s="163"/>
      <c r="CW10" s="163"/>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row>
    <row r="11" spans="1:131">
      <c r="A11" s="60" t="s">
        <v>331</v>
      </c>
      <c r="B11" s="60"/>
      <c r="C11" s="197">
        <v>123.26393620193372</v>
      </c>
      <c r="D11" s="197">
        <v>815.90999999999985</v>
      </c>
      <c r="E11" s="197">
        <v>163.18199999999999</v>
      </c>
      <c r="F11" s="197">
        <v>979.09199999999987</v>
      </c>
      <c r="G11" s="197">
        <v>732.67899596900838</v>
      </c>
      <c r="H11" s="197">
        <v>83.943160899879317</v>
      </c>
      <c r="I11" s="197">
        <v>69581.145826377149</v>
      </c>
      <c r="J11" s="197">
        <v>306.23015860882941</v>
      </c>
      <c r="K11" s="197">
        <v>425.39142370183015</v>
      </c>
      <c r="L11" s="218">
        <v>0.11457017515407257</v>
      </c>
      <c r="M11" s="197">
        <v>1.1710160207776132</v>
      </c>
      <c r="N11" s="197">
        <v>2.6003504756367E-2</v>
      </c>
      <c r="O11" s="197">
        <v>9.5801057048135423</v>
      </c>
      <c r="P11" s="197">
        <v>8.6342007160070811</v>
      </c>
      <c r="Q11" s="197">
        <v>9.6636255305245111</v>
      </c>
      <c r="R11" s="197">
        <v>7.5829951097516659</v>
      </c>
      <c r="S11" s="197">
        <v>6.2992889771455163</v>
      </c>
      <c r="T11" s="197">
        <v>5.3277443895094008</v>
      </c>
      <c r="U11" s="197">
        <v>4.5493859040886901</v>
      </c>
      <c r="V11" s="197">
        <v>4.6407140882725599</v>
      </c>
      <c r="W11" s="197">
        <v>4.6083035410272188</v>
      </c>
      <c r="X11" s="197">
        <v>6.1817868545251882</v>
      </c>
      <c r="Y11" s="197">
        <v>6.8405158734017002</v>
      </c>
      <c r="Z11" s="197">
        <v>9.3262936742320619</v>
      </c>
      <c r="AA11" s="197"/>
      <c r="AB11" s="197">
        <v>5.0373145672789033</v>
      </c>
      <c r="AC11" s="197">
        <v>4.2423234681170268</v>
      </c>
      <c r="AD11" s="197">
        <v>3.8879301977025569</v>
      </c>
      <c r="AE11" s="197">
        <v>3.6214340353903349</v>
      </c>
      <c r="AF11" s="197">
        <v>3.0766776757997669</v>
      </c>
      <c r="AG11" s="197">
        <v>2.3223611632597421</v>
      </c>
      <c r="AH11" s="197">
        <v>2.4391610121885132</v>
      </c>
      <c r="AI11" s="197">
        <v>2.0192428843559047</v>
      </c>
      <c r="AJ11" s="197">
        <v>2.421738657755153</v>
      </c>
      <c r="AK11" s="197">
        <v>2.5529545707092698</v>
      </c>
      <c r="AL11" s="197">
        <v>3.5557830241620025</v>
      </c>
      <c r="AM11" s="163">
        <v>4.8520545819154153</v>
      </c>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c r="BP11" s="163"/>
      <c r="BQ11" s="163"/>
      <c r="BR11" s="163"/>
      <c r="BS11" s="163"/>
      <c r="BT11" s="163"/>
      <c r="BU11" s="163"/>
      <c r="BV11" s="163"/>
      <c r="BW11" s="163"/>
      <c r="BX11" s="163"/>
      <c r="BY11" s="163"/>
      <c r="BZ11" s="163"/>
      <c r="CA11" s="163"/>
      <c r="CB11" s="163"/>
      <c r="CC11" s="163"/>
      <c r="CD11" s="163"/>
      <c r="CE11" s="163"/>
      <c r="CF11" s="163"/>
      <c r="CG11" s="163"/>
      <c r="CH11" s="163"/>
      <c r="CI11" s="163"/>
      <c r="CJ11" s="163"/>
      <c r="CK11" s="163"/>
      <c r="CL11" s="163"/>
      <c r="CM11" s="163"/>
      <c r="CN11" s="163"/>
      <c r="CO11" s="163"/>
      <c r="CP11" s="163"/>
      <c r="CQ11" s="163"/>
      <c r="CR11" s="163"/>
      <c r="CS11" s="163"/>
      <c r="CT11" s="163"/>
      <c r="CU11" s="163"/>
      <c r="CV11" s="163"/>
      <c r="CW11" s="163"/>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row>
    <row r="12" spans="1:131">
      <c r="A12" s="60"/>
      <c r="B12" s="60"/>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c r="BP12" s="163"/>
      <c r="BQ12" s="163"/>
      <c r="BR12" s="163"/>
      <c r="BS12" s="163"/>
      <c r="BT12" s="163"/>
      <c r="BU12" s="163"/>
      <c r="BV12" s="163"/>
      <c r="BW12" s="163"/>
      <c r="BX12" s="163"/>
      <c r="BY12" s="163"/>
      <c r="BZ12" s="163"/>
      <c r="CA12" s="163"/>
      <c r="CB12" s="163"/>
      <c r="CC12" s="163"/>
      <c r="CD12" s="163"/>
      <c r="CE12" s="163"/>
      <c r="CF12" s="163"/>
      <c r="CG12" s="163"/>
      <c r="CH12" s="163"/>
      <c r="CI12" s="163"/>
      <c r="CJ12" s="163"/>
      <c r="CK12" s="163"/>
      <c r="CL12" s="163"/>
      <c r="CM12" s="163"/>
      <c r="CN12" s="163"/>
      <c r="CO12" s="163"/>
      <c r="CP12" s="163"/>
      <c r="CQ12" s="163"/>
      <c r="CR12" s="163"/>
      <c r="CS12" s="163"/>
      <c r="CT12" s="163"/>
      <c r="CU12" s="163"/>
      <c r="CV12" s="163"/>
      <c r="CW12" s="163"/>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9"/>
  <dimension ref="A1:EA108"/>
  <sheetViews>
    <sheetView workbookViewId="0">
      <selection activeCell="E8" sqref="E8"/>
    </sheetView>
  </sheetViews>
  <sheetFormatPr defaultRowHeight="12.75"/>
  <cols>
    <col min="1" max="1" width="37.28515625" customWidth="1"/>
    <col min="2" max="2" width="35.28515625" customWidth="1"/>
  </cols>
  <sheetData>
    <row r="1" spans="1:105" s="60" customFormat="1">
      <c r="A1" s="116" t="s">
        <v>189</v>
      </c>
      <c r="B1" s="117"/>
      <c r="C1" s="117"/>
      <c r="D1" s="117"/>
      <c r="E1" s="117"/>
      <c r="F1" s="117"/>
      <c r="G1" s="117"/>
      <c r="H1" s="117"/>
      <c r="I1" s="118"/>
      <c r="J1" s="118"/>
      <c r="K1" s="118"/>
      <c r="L1" s="118"/>
      <c r="M1" s="118"/>
      <c r="N1" s="119"/>
      <c r="O1" s="119"/>
      <c r="P1" s="119"/>
      <c r="Q1" s="119"/>
      <c r="R1" s="119"/>
      <c r="S1" s="117"/>
      <c r="T1" s="117"/>
      <c r="U1" s="117"/>
      <c r="V1" s="119"/>
      <c r="W1" s="117"/>
      <c r="X1" s="117"/>
      <c r="Y1" s="117"/>
      <c r="Z1" s="117"/>
      <c r="AA1" s="117"/>
      <c r="AB1" s="117"/>
      <c r="AC1" s="117"/>
      <c r="AD1" s="117"/>
      <c r="AE1" s="117"/>
      <c r="AF1" s="117"/>
      <c r="AG1" s="117"/>
      <c r="AH1" s="117"/>
      <c r="AI1" s="117"/>
      <c r="AJ1" s="117"/>
      <c r="AK1" s="117"/>
      <c r="AL1" s="117"/>
      <c r="AM1" s="117"/>
      <c r="AN1" s="117"/>
      <c r="AO1" s="117"/>
      <c r="AP1" s="120"/>
      <c r="AQ1" s="117"/>
      <c r="AR1" s="117"/>
      <c r="AS1" s="117"/>
      <c r="AT1" s="117"/>
      <c r="AU1" s="117"/>
      <c r="AV1" s="120"/>
      <c r="AW1" s="117"/>
      <c r="AX1" s="117"/>
      <c r="AY1" s="117"/>
      <c r="AZ1" s="117"/>
      <c r="BA1" s="117"/>
      <c r="BB1" s="117"/>
      <c r="BC1" s="117"/>
      <c r="BD1" s="117"/>
      <c r="BE1" s="117"/>
      <c r="BF1" s="117"/>
      <c r="BG1" s="117"/>
      <c r="BH1" s="117"/>
      <c r="BI1" s="117"/>
      <c r="BJ1" s="117"/>
      <c r="BK1" s="117"/>
      <c r="BL1" s="117"/>
      <c r="BM1" s="121"/>
      <c r="BN1" s="117"/>
      <c r="BO1" s="117"/>
      <c r="BP1" s="117"/>
      <c r="BQ1" s="117"/>
      <c r="BR1" s="117"/>
      <c r="BS1" s="117"/>
      <c r="BT1" s="117"/>
      <c r="BU1" s="117"/>
      <c r="BV1" s="117"/>
      <c r="BW1" s="117"/>
      <c r="BX1" s="117"/>
      <c r="BY1" s="117"/>
      <c r="BZ1" s="117"/>
      <c r="CA1" s="117"/>
      <c r="CB1" s="117"/>
      <c r="CC1" s="117"/>
      <c r="CD1" s="117"/>
      <c r="CE1" s="117"/>
      <c r="CF1" s="117"/>
      <c r="CG1" s="117"/>
      <c r="CH1" s="117"/>
      <c r="CI1" s="117"/>
      <c r="CJ1" s="117"/>
      <c r="CK1" s="117"/>
      <c r="CL1" s="117"/>
      <c r="CM1" s="117"/>
      <c r="CN1" s="117"/>
      <c r="CO1" s="117"/>
      <c r="CP1" s="120"/>
      <c r="CQ1" s="117"/>
      <c r="CR1" s="117"/>
      <c r="CS1" s="117"/>
      <c r="CT1" s="117"/>
      <c r="CU1" s="117"/>
      <c r="CV1" s="117"/>
      <c r="CW1" s="117"/>
      <c r="CX1" s="117"/>
      <c r="CY1" s="117"/>
      <c r="CZ1" s="117"/>
      <c r="DA1" s="117"/>
    </row>
    <row r="2" spans="1:105" s="60" customFormat="1">
      <c r="A2" s="8" t="s">
        <v>3</v>
      </c>
      <c r="B2" s="117"/>
      <c r="C2" s="117"/>
      <c r="D2" s="117"/>
      <c r="E2" s="117"/>
      <c r="F2" s="117"/>
      <c r="G2" s="117"/>
      <c r="H2" s="117"/>
      <c r="I2" s="118"/>
      <c r="J2" s="118"/>
      <c r="K2" s="118"/>
      <c r="L2" s="118"/>
      <c r="M2" s="118"/>
      <c r="N2" s="119"/>
      <c r="O2" s="119"/>
      <c r="P2" s="119"/>
      <c r="Q2" s="119"/>
      <c r="R2" s="119"/>
      <c r="S2" s="117"/>
      <c r="T2" s="117"/>
      <c r="U2" s="117"/>
      <c r="V2" s="119"/>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20"/>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row>
    <row r="3" spans="1:105" s="60" customFormat="1">
      <c r="A3" s="122" t="s">
        <v>190</v>
      </c>
      <c r="C3" s="122">
        <v>2012</v>
      </c>
      <c r="J3" s="123"/>
      <c r="K3" s="124"/>
      <c r="CO3" s="124"/>
      <c r="CP3" s="124"/>
    </row>
    <row r="4" spans="1:105" s="60" customFormat="1"/>
    <row r="5" spans="1:105" s="60" customFormat="1">
      <c r="A5" s="125">
        <v>1</v>
      </c>
      <c r="B5" s="125">
        <v>2</v>
      </c>
      <c r="C5" s="125">
        <v>3</v>
      </c>
      <c r="D5" s="125">
        <v>4</v>
      </c>
      <c r="E5" s="125">
        <v>5</v>
      </c>
      <c r="F5" s="125">
        <v>6</v>
      </c>
      <c r="G5" s="125">
        <v>7</v>
      </c>
      <c r="H5" s="125">
        <v>8</v>
      </c>
      <c r="I5" s="125">
        <v>9</v>
      </c>
      <c r="J5" s="125">
        <v>10</v>
      </c>
      <c r="K5" s="125">
        <v>11</v>
      </c>
      <c r="L5" s="125">
        <v>12</v>
      </c>
      <c r="M5" s="125">
        <v>13</v>
      </c>
      <c r="N5" s="125">
        <v>14</v>
      </c>
      <c r="O5" s="125">
        <v>15</v>
      </c>
      <c r="P5" s="125">
        <v>16</v>
      </c>
      <c r="Q5" s="125">
        <v>17</v>
      </c>
      <c r="R5" s="125">
        <v>18</v>
      </c>
      <c r="S5" s="125">
        <v>19</v>
      </c>
      <c r="T5" s="125">
        <v>20</v>
      </c>
      <c r="U5" s="125">
        <v>21</v>
      </c>
      <c r="V5" s="125">
        <v>22</v>
      </c>
      <c r="W5" s="125">
        <v>23</v>
      </c>
      <c r="X5" s="125">
        <v>24</v>
      </c>
      <c r="Y5" s="125">
        <v>25</v>
      </c>
      <c r="Z5" s="125">
        <v>26</v>
      </c>
      <c r="AA5" s="125">
        <v>27</v>
      </c>
      <c r="AB5" s="125">
        <v>28</v>
      </c>
      <c r="AC5" s="125">
        <v>29</v>
      </c>
      <c r="AD5" s="125">
        <v>30</v>
      </c>
      <c r="AE5" s="125">
        <v>31</v>
      </c>
      <c r="AF5" s="125">
        <v>32</v>
      </c>
      <c r="AG5" s="125">
        <v>33</v>
      </c>
      <c r="AH5" s="125">
        <v>34</v>
      </c>
      <c r="AI5" s="125">
        <v>35</v>
      </c>
      <c r="AJ5" s="125">
        <v>36</v>
      </c>
      <c r="AK5" s="125">
        <v>37</v>
      </c>
      <c r="AL5" s="125">
        <v>38</v>
      </c>
      <c r="AM5" s="125">
        <v>39</v>
      </c>
      <c r="AN5" s="125">
        <v>40</v>
      </c>
      <c r="AO5" s="125">
        <v>41</v>
      </c>
      <c r="AP5" s="125">
        <v>42</v>
      </c>
      <c r="AQ5" s="125">
        <v>43</v>
      </c>
      <c r="AR5" s="125">
        <v>44</v>
      </c>
      <c r="AS5" s="125">
        <v>45</v>
      </c>
      <c r="AT5" s="125">
        <v>46</v>
      </c>
      <c r="AU5" s="125">
        <v>47</v>
      </c>
      <c r="AV5" s="125">
        <v>48</v>
      </c>
      <c r="AW5" s="125">
        <v>49</v>
      </c>
      <c r="AX5" s="125">
        <v>50</v>
      </c>
      <c r="AY5" s="125">
        <v>51</v>
      </c>
      <c r="AZ5" s="125">
        <v>52</v>
      </c>
      <c r="BA5" s="125">
        <v>53</v>
      </c>
      <c r="BB5" s="125">
        <v>54</v>
      </c>
      <c r="BC5" s="125">
        <v>55</v>
      </c>
      <c r="BD5" s="125">
        <v>56</v>
      </c>
      <c r="BE5" s="125">
        <v>57</v>
      </c>
      <c r="BF5" s="125">
        <v>58</v>
      </c>
      <c r="BG5" s="125">
        <v>59</v>
      </c>
      <c r="BH5" s="125">
        <v>60</v>
      </c>
      <c r="BI5" s="125">
        <v>61</v>
      </c>
      <c r="BJ5" s="125">
        <v>62</v>
      </c>
      <c r="BK5" s="125">
        <v>63</v>
      </c>
      <c r="BL5" s="125">
        <v>64</v>
      </c>
      <c r="BM5" s="125">
        <v>65</v>
      </c>
      <c r="BN5" s="125">
        <v>66</v>
      </c>
      <c r="BO5" s="125">
        <v>67</v>
      </c>
      <c r="BP5" s="125">
        <v>68</v>
      </c>
      <c r="BQ5" s="125">
        <v>69</v>
      </c>
      <c r="BR5" s="125">
        <v>70</v>
      </c>
      <c r="BS5" s="125">
        <v>71</v>
      </c>
      <c r="BT5" s="125">
        <v>72</v>
      </c>
      <c r="BU5" s="125">
        <v>73</v>
      </c>
      <c r="BV5" s="125">
        <v>74</v>
      </c>
      <c r="BW5" s="125">
        <v>75</v>
      </c>
      <c r="BX5" s="125">
        <v>76</v>
      </c>
      <c r="BY5" s="125">
        <v>77</v>
      </c>
      <c r="BZ5" s="125">
        <v>78</v>
      </c>
      <c r="CA5" s="125">
        <v>79</v>
      </c>
      <c r="CB5" s="125">
        <v>80</v>
      </c>
      <c r="CC5" s="125">
        <v>81</v>
      </c>
      <c r="CD5" s="125">
        <v>82</v>
      </c>
      <c r="CE5" s="125">
        <v>83</v>
      </c>
      <c r="CF5" s="125">
        <v>84</v>
      </c>
      <c r="CG5" s="125">
        <v>85</v>
      </c>
      <c r="CH5" s="125">
        <v>86</v>
      </c>
      <c r="CI5" s="125">
        <v>87</v>
      </c>
      <c r="CJ5" s="125">
        <v>88</v>
      </c>
      <c r="CK5" s="125">
        <v>89</v>
      </c>
      <c r="CL5" s="125">
        <v>90</v>
      </c>
      <c r="CM5" s="125">
        <v>91</v>
      </c>
      <c r="CN5" s="125">
        <v>92</v>
      </c>
      <c r="CO5" s="125">
        <v>93</v>
      </c>
      <c r="CP5" s="125">
        <v>94</v>
      </c>
      <c r="CQ5" s="125">
        <v>95</v>
      </c>
      <c r="CR5" s="125">
        <v>96</v>
      </c>
      <c r="CS5" s="125">
        <v>97</v>
      </c>
      <c r="CT5" s="125">
        <v>98</v>
      </c>
      <c r="CU5" s="125">
        <v>99</v>
      </c>
      <c r="CV5" s="125">
        <v>100</v>
      </c>
      <c r="CW5" s="125">
        <v>101</v>
      </c>
      <c r="CX5" s="125">
        <v>102</v>
      </c>
      <c r="CY5" s="125">
        <v>103</v>
      </c>
      <c r="CZ5" s="125">
        <v>104</v>
      </c>
      <c r="DA5" s="125">
        <v>105</v>
      </c>
    </row>
    <row r="6" spans="1:105" s="60" customFormat="1">
      <c r="A6" s="126" t="s">
        <v>191</v>
      </c>
      <c r="B6" s="127"/>
      <c r="C6" s="127"/>
      <c r="D6" s="127"/>
      <c r="E6" s="127"/>
      <c r="F6" s="127"/>
      <c r="G6" s="128"/>
      <c r="H6" s="129"/>
      <c r="I6" s="253" t="s">
        <v>192</v>
      </c>
      <c r="J6" s="254"/>
      <c r="K6" s="254"/>
      <c r="L6" s="254"/>
      <c r="M6" s="254"/>
      <c r="N6" s="255"/>
      <c r="O6" s="256" t="s">
        <v>193</v>
      </c>
      <c r="P6" s="257"/>
      <c r="Q6" s="190" t="s">
        <v>624</v>
      </c>
      <c r="R6" s="258" t="s">
        <v>625</v>
      </c>
      <c r="S6" s="258"/>
      <c r="T6" s="258"/>
      <c r="U6" s="130"/>
      <c r="V6" s="130"/>
      <c r="W6" s="130"/>
      <c r="X6" s="131"/>
      <c r="Y6" s="132"/>
      <c r="Z6" s="130"/>
      <c r="AA6" s="130"/>
      <c r="AB6" s="130"/>
      <c r="AC6" s="130"/>
      <c r="AD6" s="130"/>
      <c r="AE6" s="133"/>
      <c r="AF6" s="133"/>
      <c r="AG6" s="133"/>
      <c r="AH6" s="133"/>
      <c r="AI6" s="133"/>
      <c r="AJ6" s="133"/>
      <c r="AK6" s="133"/>
      <c r="AL6" s="133"/>
      <c r="AM6" s="133"/>
      <c r="AN6" s="133"/>
      <c r="AO6" s="133"/>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row>
    <row r="7" spans="1:105" s="60" customFormat="1" ht="38.25">
      <c r="A7" s="134" t="s">
        <v>194</v>
      </c>
      <c r="B7" s="134" t="s">
        <v>195</v>
      </c>
      <c r="C7" s="134" t="s">
        <v>196</v>
      </c>
      <c r="D7" s="134" t="s">
        <v>197</v>
      </c>
      <c r="E7" s="134" t="s">
        <v>198</v>
      </c>
      <c r="F7" s="134" t="s">
        <v>199</v>
      </c>
      <c r="G7" s="135" t="s">
        <v>200</v>
      </c>
      <c r="H7" s="135" t="s">
        <v>201</v>
      </c>
      <c r="I7" s="135" t="s">
        <v>202</v>
      </c>
      <c r="J7" s="135" t="s">
        <v>203</v>
      </c>
      <c r="K7" s="135" t="s">
        <v>204</v>
      </c>
      <c r="L7" s="135" t="s">
        <v>205</v>
      </c>
      <c r="M7" s="135" t="s">
        <v>206</v>
      </c>
      <c r="N7" s="135" t="s">
        <v>207</v>
      </c>
      <c r="O7" s="136" t="s">
        <v>208</v>
      </c>
      <c r="P7" s="135" t="s">
        <v>200</v>
      </c>
      <c r="Q7" s="191" t="s">
        <v>626</v>
      </c>
      <c r="R7" s="192" t="s">
        <v>627</v>
      </c>
      <c r="S7" s="192" t="s">
        <v>628</v>
      </c>
      <c r="T7" s="192" t="s">
        <v>629</v>
      </c>
      <c r="U7" s="137"/>
      <c r="V7" s="137"/>
      <c r="W7" s="137"/>
      <c r="X7" s="137"/>
      <c r="Y7" s="137"/>
      <c r="Z7" s="137"/>
      <c r="AA7" s="137"/>
      <c r="AB7" s="137"/>
      <c r="AC7" s="137"/>
      <c r="AD7" s="137"/>
      <c r="AE7" s="133"/>
      <c r="AF7" s="133"/>
      <c r="AG7" s="133"/>
      <c r="AH7" s="133"/>
      <c r="AI7" s="133"/>
      <c r="AJ7" s="133"/>
      <c r="AK7" s="133"/>
      <c r="AL7" s="133"/>
      <c r="AM7" s="133"/>
      <c r="AN7" s="133"/>
      <c r="AO7" s="133"/>
      <c r="AP7" s="117"/>
      <c r="AQ7" s="117"/>
      <c r="AR7" s="117"/>
      <c r="AS7" s="117"/>
      <c r="AT7" s="117"/>
      <c r="AU7" s="117"/>
      <c r="AV7" s="117"/>
      <c r="AW7" s="117"/>
      <c r="AX7" s="117"/>
      <c r="AY7" s="117"/>
      <c r="AZ7" s="117"/>
      <c r="BA7" s="117"/>
      <c r="BB7" s="117"/>
      <c r="BC7" s="117"/>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117"/>
      <c r="CB7" s="117"/>
      <c r="CC7" s="117"/>
      <c r="CD7" s="117"/>
      <c r="CE7" s="117"/>
      <c r="CF7" s="117"/>
      <c r="CG7" s="117"/>
      <c r="CH7" s="117"/>
      <c r="CI7" s="117"/>
      <c r="CJ7" s="117"/>
      <c r="CK7" s="117"/>
      <c r="CL7" s="117"/>
      <c r="CM7" s="117"/>
      <c r="CN7" s="117"/>
      <c r="CO7" s="117"/>
      <c r="CP7" s="117"/>
      <c r="CQ7" s="117"/>
      <c r="CR7" s="117"/>
      <c r="CS7" s="117"/>
      <c r="CT7" s="117"/>
      <c r="CU7" s="117"/>
      <c r="CV7" s="117"/>
      <c r="CW7" s="117"/>
      <c r="CX7" s="117"/>
      <c r="CY7" s="117"/>
      <c r="CZ7" s="117"/>
      <c r="DA7" s="117"/>
    </row>
    <row r="8" spans="1:105">
      <c r="A8" s="7" t="str">
        <f>"Single Family "&amp;B8</f>
        <v>Single Family GFHX DHW &amp; Shower Preheat, Electric Resistance</v>
      </c>
      <c r="B8" s="2" t="s">
        <v>327</v>
      </c>
      <c r="C8" s="138">
        <f>Savings!D16</f>
        <v>238.83152818662796</v>
      </c>
      <c r="D8">
        <v>40</v>
      </c>
      <c r="E8" s="138">
        <f>Cost!D19</f>
        <v>815.90999999999985</v>
      </c>
      <c r="G8" s="141" t="s">
        <v>632</v>
      </c>
      <c r="Q8" t="s">
        <v>630</v>
      </c>
    </row>
    <row r="9" spans="1:105">
      <c r="A9" s="7" t="str">
        <f t="shared" ref="A9:A11" si="0">"Single Family "&amp;B9</f>
        <v>Single Family GFHX DHW &amp; Shower Preheat, Heat Pump</v>
      </c>
      <c r="B9" s="2" t="s">
        <v>326</v>
      </c>
      <c r="C9" s="138">
        <f>Savings!D17</f>
        <v>114.58894767084345</v>
      </c>
      <c r="D9">
        <v>40</v>
      </c>
      <c r="E9" s="138">
        <f>Cost!D19</f>
        <v>815.90999999999985</v>
      </c>
      <c r="G9" s="141" t="s">
        <v>633</v>
      </c>
      <c r="Q9" t="s">
        <v>630</v>
      </c>
    </row>
    <row r="10" spans="1:105">
      <c r="A10" s="7" t="str">
        <f t="shared" si="0"/>
        <v>Single Family GFHX DHW Preheat, Electric Resistance</v>
      </c>
      <c r="B10" s="2" t="s">
        <v>328</v>
      </c>
      <c r="C10" s="138">
        <f>Savings!D18</f>
        <v>238.83152818662796</v>
      </c>
      <c r="D10">
        <v>40</v>
      </c>
      <c r="E10" s="138">
        <f>Cost!D33</f>
        <v>786.69</v>
      </c>
      <c r="G10" s="141" t="s">
        <v>632</v>
      </c>
      <c r="Q10" t="s">
        <v>630</v>
      </c>
    </row>
    <row r="11" spans="1:105">
      <c r="A11" s="7" t="str">
        <f t="shared" si="0"/>
        <v>Single Family GFHX DHW  Preheat, Heat Pump</v>
      </c>
      <c r="B11" s="2" t="s">
        <v>329</v>
      </c>
      <c r="C11" s="138">
        <f>Savings!D19</f>
        <v>114.58894767084345</v>
      </c>
      <c r="D11">
        <v>40</v>
      </c>
      <c r="E11" s="138">
        <f>Cost!D33</f>
        <v>786.69</v>
      </c>
      <c r="G11" s="141" t="s">
        <v>633</v>
      </c>
      <c r="Q11" t="s">
        <v>630</v>
      </c>
    </row>
    <row r="12" spans="1:105">
      <c r="A12" s="7" t="str">
        <f>"Multifamily "&amp;B12</f>
        <v>Multifamily GFHX DHW &amp; Shower Preheat, Electric Resistance</v>
      </c>
      <c r="B12" s="2" t="s">
        <v>327</v>
      </c>
      <c r="C12" s="138">
        <f>Savings!D16</f>
        <v>238.83152818662796</v>
      </c>
      <c r="D12">
        <v>40</v>
      </c>
      <c r="E12" s="138">
        <f>Cost!D22</f>
        <v>707.87969999999996</v>
      </c>
      <c r="G12" s="141" t="s">
        <v>632</v>
      </c>
      <c r="Q12" t="s">
        <v>630</v>
      </c>
    </row>
    <row r="13" spans="1:105">
      <c r="A13" s="7" t="str">
        <f t="shared" ref="A13:A15" si="1">"Multifamily "&amp;B13</f>
        <v>Multifamily GFHX DHW &amp; Shower Preheat, Heat Pump</v>
      </c>
      <c r="B13" s="2" t="s">
        <v>326</v>
      </c>
      <c r="C13" s="138">
        <f>Savings!D17</f>
        <v>114.58894767084345</v>
      </c>
      <c r="D13">
        <v>40</v>
      </c>
      <c r="E13" s="138">
        <f>Cost!D22</f>
        <v>707.87969999999996</v>
      </c>
      <c r="G13" s="141" t="s">
        <v>633</v>
      </c>
      <c r="Q13" t="s">
        <v>630</v>
      </c>
    </row>
    <row r="14" spans="1:105">
      <c r="A14" s="7" t="str">
        <f t="shared" si="1"/>
        <v>Multifamily GFHX DHW Preheat, Electric Resistance</v>
      </c>
      <c r="B14" s="2" t="s">
        <v>328</v>
      </c>
      <c r="C14" s="138">
        <f>Savings!D18</f>
        <v>238.83152818662796</v>
      </c>
      <c r="D14">
        <v>40</v>
      </c>
      <c r="E14" s="138">
        <f>Cost!D39</f>
        <v>639.71</v>
      </c>
      <c r="G14" s="141" t="s">
        <v>632</v>
      </c>
      <c r="Q14" t="s">
        <v>630</v>
      </c>
    </row>
    <row r="15" spans="1:105">
      <c r="A15" s="7" t="str">
        <f t="shared" si="1"/>
        <v>Multifamily GFHX DHW  Preheat, Heat Pump</v>
      </c>
      <c r="B15" s="2" t="s">
        <v>329</v>
      </c>
      <c r="C15" s="138">
        <f>Savings!D19</f>
        <v>114.58894767084345</v>
      </c>
      <c r="D15">
        <v>40</v>
      </c>
      <c r="E15" s="138">
        <f>Cost!D39</f>
        <v>639.71</v>
      </c>
      <c r="G15" s="141" t="s">
        <v>633</v>
      </c>
      <c r="Q15" t="s">
        <v>630</v>
      </c>
    </row>
    <row r="18" spans="1:131">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row>
    <row r="19" spans="1:131">
      <c r="A19" s="198" t="s">
        <v>634</v>
      </c>
      <c r="B19" s="199"/>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row>
    <row r="20" spans="1:131">
      <c r="A20" s="60" t="s">
        <v>635</v>
      </c>
      <c r="B20" s="60" t="s">
        <v>636</v>
      </c>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row>
    <row r="21" spans="1:131">
      <c r="A21" s="60" t="s">
        <v>637</v>
      </c>
      <c r="B21" s="60" t="s">
        <v>864</v>
      </c>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row>
    <row r="22" spans="1:131">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row>
    <row r="23" spans="1:131" ht="13.5" thickBot="1">
      <c r="A23" s="161" t="s">
        <v>638</v>
      </c>
      <c r="B23" s="200"/>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162"/>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row>
    <row r="24" spans="1:131">
      <c r="A24" s="60"/>
      <c r="B24" s="201" t="s">
        <v>639</v>
      </c>
      <c r="C24" s="202"/>
      <c r="D24" s="202" t="s">
        <v>639</v>
      </c>
      <c r="E24" s="203"/>
      <c r="F24" s="60"/>
      <c r="G24" s="201" t="s">
        <v>640</v>
      </c>
      <c r="H24" s="202"/>
      <c r="I24" s="202"/>
      <c r="J24" s="202"/>
      <c r="K24" s="202"/>
      <c r="L24" s="202"/>
      <c r="M24" s="202"/>
      <c r="N24" s="202"/>
      <c r="O24" s="203"/>
      <c r="P24" s="60"/>
      <c r="Q24" s="201" t="s">
        <v>641</v>
      </c>
      <c r="R24" s="202"/>
      <c r="S24" s="202"/>
      <c r="T24" s="202"/>
      <c r="U24" s="203"/>
      <c r="V24" s="60"/>
      <c r="W24" s="201" t="s">
        <v>642</v>
      </c>
      <c r="X24" s="203"/>
      <c r="Y24" s="60"/>
      <c r="Z24" s="201" t="s">
        <v>643</v>
      </c>
      <c r="AA24" s="202"/>
      <c r="AB24" s="203"/>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row>
    <row r="25" spans="1:131">
      <c r="A25" s="60"/>
      <c r="B25" s="204" t="s">
        <v>644</v>
      </c>
      <c r="C25" s="205" t="s">
        <v>144</v>
      </c>
      <c r="D25" s="205" t="s">
        <v>644</v>
      </c>
      <c r="E25" s="206" t="s">
        <v>144</v>
      </c>
      <c r="F25" s="60"/>
      <c r="G25" s="204" t="s">
        <v>645</v>
      </c>
      <c r="H25" s="205" t="s">
        <v>845</v>
      </c>
      <c r="I25" s="205"/>
      <c r="J25" s="205"/>
      <c r="K25" s="205" t="s">
        <v>646</v>
      </c>
      <c r="L25" s="205"/>
      <c r="M25" s="205"/>
      <c r="N25" s="205"/>
      <c r="O25" s="206"/>
      <c r="P25" s="60"/>
      <c r="Q25" s="204"/>
      <c r="R25" s="205" t="s">
        <v>647</v>
      </c>
      <c r="S25" s="205" t="s">
        <v>648</v>
      </c>
      <c r="T25" s="205" t="s">
        <v>649</v>
      </c>
      <c r="U25" s="206" t="s">
        <v>650</v>
      </c>
      <c r="V25" s="60"/>
      <c r="W25" s="204" t="s">
        <v>651</v>
      </c>
      <c r="X25" s="206">
        <v>20</v>
      </c>
      <c r="Y25" s="60"/>
      <c r="Z25" s="204"/>
      <c r="AA25" s="205" t="s">
        <v>144</v>
      </c>
      <c r="AB25" s="206" t="s">
        <v>145</v>
      </c>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row>
    <row r="26" spans="1:131">
      <c r="A26" s="60"/>
      <c r="B26" s="204" t="s">
        <v>652</v>
      </c>
      <c r="C26" s="205" t="s">
        <v>653</v>
      </c>
      <c r="D26" s="205" t="s">
        <v>652</v>
      </c>
      <c r="E26" s="206" t="s">
        <v>653</v>
      </c>
      <c r="F26" s="60"/>
      <c r="G26" s="204" t="s">
        <v>654</v>
      </c>
      <c r="H26" s="205" t="s">
        <v>655</v>
      </c>
      <c r="I26" s="205"/>
      <c r="J26" s="205"/>
      <c r="K26" s="205" t="s">
        <v>656</v>
      </c>
      <c r="L26" s="205"/>
      <c r="M26" s="205"/>
      <c r="N26" s="205"/>
      <c r="O26" s="206"/>
      <c r="P26" s="60"/>
      <c r="Q26" s="204" t="s">
        <v>657</v>
      </c>
      <c r="R26" s="205">
        <v>4.3096045197740109E-2</v>
      </c>
      <c r="S26" s="205">
        <v>4.387844424080023E-2</v>
      </c>
      <c r="T26" s="205">
        <v>5.3289007766645871E-2</v>
      </c>
      <c r="U26" s="206">
        <v>5.447903102274565E-2</v>
      </c>
      <c r="V26" s="60"/>
      <c r="W26" s="204" t="s">
        <v>658</v>
      </c>
      <c r="X26" s="206">
        <v>2016</v>
      </c>
      <c r="Y26" s="60"/>
      <c r="Z26" s="204" t="s">
        <v>659</v>
      </c>
      <c r="AA26" s="205">
        <v>4.03890184699085E-3</v>
      </c>
      <c r="AB26" s="206">
        <v>0.01</v>
      </c>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row>
    <row r="27" spans="1:131">
      <c r="A27" s="60"/>
      <c r="B27" s="204" t="s">
        <v>660</v>
      </c>
      <c r="C27" s="205" t="s">
        <v>661</v>
      </c>
      <c r="D27" s="205" t="s">
        <v>660</v>
      </c>
      <c r="E27" s="206" t="s">
        <v>661</v>
      </c>
      <c r="F27" s="60"/>
      <c r="G27" s="204" t="s">
        <v>662</v>
      </c>
      <c r="H27" s="205" t="s">
        <v>663</v>
      </c>
      <c r="I27" s="205"/>
      <c r="J27" s="205"/>
      <c r="K27" s="205" t="s">
        <v>664</v>
      </c>
      <c r="L27" s="205"/>
      <c r="M27" s="205"/>
      <c r="N27" s="205"/>
      <c r="O27" s="206"/>
      <c r="P27" s="60"/>
      <c r="Q27" s="204" t="s">
        <v>665</v>
      </c>
      <c r="R27" s="205">
        <v>12</v>
      </c>
      <c r="S27" s="205">
        <v>12</v>
      </c>
      <c r="T27" s="205">
        <v>1</v>
      </c>
      <c r="U27" s="206">
        <v>1</v>
      </c>
      <c r="V27" s="60"/>
      <c r="W27" s="204" t="s">
        <v>666</v>
      </c>
      <c r="X27" s="206">
        <v>2016</v>
      </c>
      <c r="Y27" s="60"/>
      <c r="Z27" s="204" t="s">
        <v>667</v>
      </c>
      <c r="AA27" s="205">
        <v>26</v>
      </c>
      <c r="AB27" s="206">
        <v>0</v>
      </c>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row>
    <row r="28" spans="1:131" ht="13.5" thickBot="1">
      <c r="A28" s="60"/>
      <c r="B28" s="207" t="s">
        <v>668</v>
      </c>
      <c r="C28" s="208" t="s">
        <v>661</v>
      </c>
      <c r="D28" s="208" t="s">
        <v>668</v>
      </c>
      <c r="E28" s="209" t="s">
        <v>661</v>
      </c>
      <c r="F28" s="60"/>
      <c r="G28" s="204" t="s">
        <v>669</v>
      </c>
      <c r="H28" s="205" t="s">
        <v>670</v>
      </c>
      <c r="I28" s="205"/>
      <c r="J28" s="205"/>
      <c r="K28" s="205" t="s">
        <v>656</v>
      </c>
      <c r="L28" s="205"/>
      <c r="M28" s="205"/>
      <c r="N28" s="205"/>
      <c r="O28" s="206"/>
      <c r="P28" s="60"/>
      <c r="Q28" s="204"/>
      <c r="R28" s="205" t="s">
        <v>647</v>
      </c>
      <c r="S28" s="205" t="s">
        <v>648</v>
      </c>
      <c r="T28" s="205" t="s">
        <v>649</v>
      </c>
      <c r="U28" s="206" t="s">
        <v>650</v>
      </c>
      <c r="V28" s="60"/>
      <c r="W28" s="204" t="s">
        <v>671</v>
      </c>
      <c r="X28" s="206">
        <v>2012</v>
      </c>
      <c r="Y28" s="60"/>
      <c r="Z28" s="204" t="s">
        <v>672</v>
      </c>
      <c r="AA28" s="205">
        <v>0.9</v>
      </c>
      <c r="AB28" s="206" t="s">
        <v>673</v>
      </c>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row>
    <row r="29" spans="1:131">
      <c r="A29" s="60"/>
      <c r="B29" s="60"/>
      <c r="C29" s="60"/>
      <c r="D29" s="60"/>
      <c r="E29" s="60"/>
      <c r="F29" s="60"/>
      <c r="G29" s="204" t="s">
        <v>674</v>
      </c>
      <c r="H29" s="205" t="s">
        <v>663</v>
      </c>
      <c r="I29" s="205"/>
      <c r="J29" s="205"/>
      <c r="K29" s="205"/>
      <c r="L29" s="205"/>
      <c r="M29" s="205"/>
      <c r="N29" s="205"/>
      <c r="O29" s="206"/>
      <c r="P29" s="60"/>
      <c r="Q29" s="204" t="s">
        <v>675</v>
      </c>
      <c r="R29" s="205">
        <v>0.35</v>
      </c>
      <c r="S29" s="205">
        <v>0.19500000000000001</v>
      </c>
      <c r="T29" s="205">
        <v>0.45499999999999996</v>
      </c>
      <c r="U29" s="206">
        <v>0</v>
      </c>
      <c r="V29" s="60"/>
      <c r="W29" s="204" t="s">
        <v>676</v>
      </c>
      <c r="X29" s="206">
        <v>0.04</v>
      </c>
      <c r="Y29" s="60"/>
      <c r="Z29" s="204" t="s">
        <v>677</v>
      </c>
      <c r="AA29" s="205">
        <v>4.7399348199455904E-2</v>
      </c>
      <c r="AB29" s="206">
        <v>0</v>
      </c>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row>
    <row r="30" spans="1:131">
      <c r="A30" s="60"/>
      <c r="B30" s="60" t="s">
        <v>678</v>
      </c>
      <c r="C30" s="60" t="s">
        <v>144</v>
      </c>
      <c r="D30" s="60"/>
      <c r="E30" s="60"/>
      <c r="F30" s="60"/>
      <c r="G30" s="204" t="s">
        <v>679</v>
      </c>
      <c r="H30" s="205" t="s">
        <v>680</v>
      </c>
      <c r="I30" s="205"/>
      <c r="J30" s="205"/>
      <c r="K30" s="205" t="s">
        <v>681</v>
      </c>
      <c r="L30" s="205"/>
      <c r="M30" s="205"/>
      <c r="N30" s="205"/>
      <c r="O30" s="206"/>
      <c r="P30" s="60"/>
      <c r="Q30" s="204" t="s">
        <v>682</v>
      </c>
      <c r="R30" s="205">
        <v>1</v>
      </c>
      <c r="S30" s="205">
        <v>0</v>
      </c>
      <c r="T30" s="205">
        <v>0</v>
      </c>
      <c r="U30" s="206">
        <v>0</v>
      </c>
      <c r="V30" s="60"/>
      <c r="W30" s="204" t="s">
        <v>683</v>
      </c>
      <c r="X30" s="206">
        <v>0</v>
      </c>
      <c r="Y30" s="60"/>
      <c r="Z30" s="204" t="s">
        <v>684</v>
      </c>
      <c r="AA30" s="205">
        <v>31</v>
      </c>
      <c r="AB30" s="206">
        <v>0</v>
      </c>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row>
    <row r="31" spans="1:131">
      <c r="A31" s="60"/>
      <c r="B31" s="60" t="s">
        <v>685</v>
      </c>
      <c r="C31" s="60" t="s">
        <v>686</v>
      </c>
      <c r="D31" s="60"/>
      <c r="E31" s="60"/>
      <c r="F31" s="60"/>
      <c r="G31" s="204" t="s">
        <v>687</v>
      </c>
      <c r="H31" s="205" t="s">
        <v>681</v>
      </c>
      <c r="I31" s="205"/>
      <c r="J31" s="205"/>
      <c r="K31" s="205" t="s">
        <v>688</v>
      </c>
      <c r="L31" s="205"/>
      <c r="M31" s="205"/>
      <c r="N31" s="205"/>
      <c r="O31" s="206"/>
      <c r="P31" s="60"/>
      <c r="Q31" s="204" t="s">
        <v>689</v>
      </c>
      <c r="R31" s="205">
        <v>1</v>
      </c>
      <c r="S31" s="205">
        <v>0</v>
      </c>
      <c r="T31" s="205">
        <v>0</v>
      </c>
      <c r="U31" s="206">
        <v>0</v>
      </c>
      <c r="V31" s="60"/>
      <c r="W31" s="204" t="s">
        <v>690</v>
      </c>
      <c r="X31" s="206">
        <v>0.2</v>
      </c>
      <c r="Y31" s="60"/>
      <c r="Z31" s="204" t="s">
        <v>691</v>
      </c>
      <c r="AA31" s="205">
        <v>0.7</v>
      </c>
      <c r="AB31" s="206" t="s">
        <v>673</v>
      </c>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row>
    <row r="32" spans="1:131">
      <c r="A32" s="60"/>
      <c r="B32" s="60" t="s">
        <v>692</v>
      </c>
      <c r="C32" s="60" t="s">
        <v>693</v>
      </c>
      <c r="D32" s="60"/>
      <c r="E32" s="60"/>
      <c r="F32" s="60"/>
      <c r="G32" s="204" t="s">
        <v>694</v>
      </c>
      <c r="H32" s="205" t="s">
        <v>688</v>
      </c>
      <c r="I32" s="205"/>
      <c r="J32" s="205"/>
      <c r="K32" s="205" t="s">
        <v>695</v>
      </c>
      <c r="L32" s="205"/>
      <c r="M32" s="205"/>
      <c r="N32" s="205"/>
      <c r="O32" s="206"/>
      <c r="P32" s="60"/>
      <c r="Q32" s="204" t="s">
        <v>696</v>
      </c>
      <c r="R32" s="205"/>
      <c r="S32" s="205">
        <v>0.3</v>
      </c>
      <c r="T32" s="205">
        <v>0.7</v>
      </c>
      <c r="U32" s="206">
        <v>0</v>
      </c>
      <c r="V32" s="60"/>
      <c r="W32" s="204" t="s">
        <v>697</v>
      </c>
      <c r="X32" s="206">
        <v>0</v>
      </c>
      <c r="Y32" s="60"/>
      <c r="Z32" s="204" t="s">
        <v>698</v>
      </c>
      <c r="AA32" s="205">
        <v>0</v>
      </c>
      <c r="AB32" s="206">
        <v>0</v>
      </c>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row>
    <row r="33" spans="1:131" ht="13.5" thickBot="1">
      <c r="A33" s="60"/>
      <c r="B33" s="60" t="s">
        <v>699</v>
      </c>
      <c r="C33" s="60" t="s">
        <v>700</v>
      </c>
      <c r="D33" s="60"/>
      <c r="E33" s="60"/>
      <c r="F33" s="60"/>
      <c r="G33" s="207" t="s">
        <v>701</v>
      </c>
      <c r="H33" s="208" t="s">
        <v>695</v>
      </c>
      <c r="I33" s="208"/>
      <c r="J33" s="208"/>
      <c r="K33" s="208"/>
      <c r="L33" s="208"/>
      <c r="M33" s="208"/>
      <c r="N33" s="208"/>
      <c r="O33" s="209"/>
      <c r="P33" s="60"/>
      <c r="Q33" s="207" t="s">
        <v>702</v>
      </c>
      <c r="R33" s="208"/>
      <c r="S33" s="208">
        <v>20</v>
      </c>
      <c r="T33" s="208"/>
      <c r="U33" s="209"/>
      <c r="V33" s="60"/>
      <c r="W33" s="207" t="s">
        <v>703</v>
      </c>
      <c r="X33" s="209">
        <v>2018</v>
      </c>
      <c r="Y33" s="60"/>
      <c r="Z33" s="207" t="s">
        <v>704</v>
      </c>
      <c r="AA33" s="208">
        <v>0</v>
      </c>
      <c r="AB33" s="209">
        <v>0</v>
      </c>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c r="EA33" s="60"/>
    </row>
    <row r="34" spans="1:131">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row>
    <row r="35" spans="1:131">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row>
    <row r="36" spans="1:131">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row>
    <row r="37" spans="1:131">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row>
    <row r="38" spans="1:131">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row>
    <row r="39" spans="1:131">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row>
    <row r="40" spans="1:131">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row>
    <row r="41" spans="1:131" ht="13.5" thickBot="1">
      <c r="A41" s="161" t="s">
        <v>705</v>
      </c>
      <c r="B41" s="162"/>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c r="BC41" s="163"/>
      <c r="BD41" s="163"/>
      <c r="BE41" s="163"/>
      <c r="BF41" s="163"/>
      <c r="BG41" s="163"/>
      <c r="BH41" s="163"/>
      <c r="BI41" s="163"/>
      <c r="BJ41" s="163"/>
      <c r="BK41" s="163"/>
      <c r="BL41" s="163"/>
      <c r="BM41" s="163"/>
      <c r="BN41" s="163"/>
      <c r="BO41" s="163"/>
      <c r="BP41" s="163"/>
      <c r="BQ41" s="163"/>
      <c r="BR41" s="163"/>
      <c r="BS41" s="163"/>
      <c r="BT41" s="163"/>
      <c r="BU41" s="163"/>
      <c r="BV41" s="163"/>
      <c r="BW41" s="163"/>
      <c r="BX41" s="163"/>
      <c r="BY41" s="163"/>
      <c r="BZ41" s="163"/>
      <c r="CA41" s="163"/>
      <c r="CB41" s="163"/>
      <c r="CC41" s="163"/>
      <c r="CD41" s="163"/>
      <c r="CE41" s="163"/>
      <c r="CF41" s="163"/>
      <c r="CG41" s="163"/>
      <c r="CH41" s="163"/>
      <c r="CI41" s="163"/>
      <c r="CJ41" s="163"/>
      <c r="CK41" s="163"/>
      <c r="CL41" s="163"/>
      <c r="CM41" s="163"/>
      <c r="CN41" s="163"/>
      <c r="CO41" s="163"/>
      <c r="CP41" s="163"/>
      <c r="CQ41" s="163"/>
      <c r="CR41" s="163"/>
      <c r="CS41" s="163"/>
      <c r="CT41" s="163"/>
      <c r="CU41" s="163"/>
      <c r="CV41" s="163"/>
      <c r="CW41" s="163"/>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c r="DV41" s="60"/>
      <c r="DW41" s="60"/>
      <c r="DX41" s="60"/>
      <c r="DY41" s="60"/>
      <c r="DZ41" s="60"/>
      <c r="EA41" s="60"/>
    </row>
    <row r="42" spans="1:131" ht="26.25" thickBot="1">
      <c r="A42" s="210" t="s">
        <v>706</v>
      </c>
      <c r="B42" s="211"/>
      <c r="C42" s="212" t="s">
        <v>707</v>
      </c>
      <c r="D42" s="213"/>
      <c r="E42" s="213"/>
      <c r="F42" s="213"/>
      <c r="G42" s="213"/>
      <c r="H42" s="213"/>
      <c r="I42" s="213"/>
      <c r="J42" s="213"/>
      <c r="K42" s="214"/>
      <c r="L42" s="212" t="s">
        <v>47</v>
      </c>
      <c r="M42" s="213"/>
      <c r="N42" s="213"/>
      <c r="O42" s="213"/>
      <c r="P42" s="213"/>
      <c r="Q42" s="214"/>
      <c r="R42" s="212" t="s">
        <v>708</v>
      </c>
      <c r="S42" s="213"/>
      <c r="T42" s="213"/>
      <c r="U42" s="214"/>
      <c r="V42" s="212" t="s">
        <v>709</v>
      </c>
      <c r="W42" s="213"/>
      <c r="X42" s="213"/>
      <c r="Y42" s="214"/>
      <c r="Z42" s="212" t="s">
        <v>710</v>
      </c>
      <c r="AA42" s="213"/>
      <c r="AB42" s="213"/>
      <c r="AC42" s="214"/>
      <c r="AD42" s="212" t="s">
        <v>711</v>
      </c>
      <c r="AE42" s="213"/>
      <c r="AF42" s="213"/>
      <c r="AG42" s="214"/>
      <c r="AH42" s="212" t="s">
        <v>712</v>
      </c>
      <c r="AI42" s="213"/>
      <c r="AJ42" s="213"/>
      <c r="AK42" s="213"/>
      <c r="AL42" s="214"/>
      <c r="AM42" s="212" t="s">
        <v>713</v>
      </c>
      <c r="AN42" s="213"/>
      <c r="AO42" s="213"/>
      <c r="AP42" s="213"/>
      <c r="AQ42" s="213"/>
      <c r="AR42" s="213"/>
      <c r="AS42" s="214"/>
      <c r="AT42" s="212" t="s">
        <v>714</v>
      </c>
      <c r="AU42" s="213"/>
      <c r="AV42" s="213"/>
      <c r="AW42" s="213"/>
      <c r="AX42" s="213"/>
      <c r="AY42" s="213"/>
      <c r="AZ42" s="214"/>
      <c r="BA42" s="212" t="s">
        <v>715</v>
      </c>
      <c r="BB42" s="213"/>
      <c r="BC42" s="213"/>
      <c r="BD42" s="213"/>
      <c r="BE42" s="213"/>
      <c r="BF42" s="214"/>
      <c r="BG42" s="212" t="s">
        <v>716</v>
      </c>
      <c r="BH42" s="214"/>
      <c r="BI42" s="212" t="s">
        <v>717</v>
      </c>
      <c r="BJ42" s="213"/>
      <c r="BK42" s="213"/>
      <c r="BL42" s="213"/>
      <c r="BM42" s="214"/>
      <c r="BN42" s="212" t="s">
        <v>718</v>
      </c>
      <c r="BO42" s="213"/>
      <c r="BP42" s="213"/>
      <c r="BQ42" s="213"/>
      <c r="BR42" s="213"/>
      <c r="BS42" s="213"/>
      <c r="BT42" s="213"/>
      <c r="BU42" s="213"/>
      <c r="BV42" s="213"/>
      <c r="BW42" s="213"/>
      <c r="BX42" s="213"/>
      <c r="BY42" s="213"/>
      <c r="BZ42" s="213"/>
      <c r="CA42" s="213"/>
      <c r="CB42" s="213"/>
      <c r="CC42" s="214"/>
      <c r="CD42" s="212" t="s">
        <v>719</v>
      </c>
      <c r="CE42" s="214"/>
      <c r="CF42" s="212" t="s">
        <v>720</v>
      </c>
      <c r="CG42" s="213"/>
      <c r="CH42" s="213"/>
      <c r="CI42" s="213"/>
      <c r="CJ42" s="213"/>
      <c r="CK42" s="214"/>
      <c r="CL42" s="215"/>
      <c r="CM42" s="212" t="s">
        <v>193</v>
      </c>
      <c r="CN42" s="213"/>
      <c r="CO42" s="213"/>
      <c r="CP42" s="214"/>
      <c r="CQ42" s="212" t="s">
        <v>721</v>
      </c>
      <c r="CR42" s="213"/>
      <c r="CS42" s="213"/>
      <c r="CT42" s="213"/>
      <c r="CU42" s="214"/>
      <c r="CV42" s="212" t="s">
        <v>722</v>
      </c>
      <c r="CW42" s="214"/>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row>
    <row r="43" spans="1:131" ht="204">
      <c r="A43" s="170" t="s">
        <v>301</v>
      </c>
      <c r="B43" s="171" t="s">
        <v>302</v>
      </c>
      <c r="C43" s="172" t="s">
        <v>608</v>
      </c>
      <c r="D43" s="172" t="s">
        <v>723</v>
      </c>
      <c r="E43" s="172" t="s">
        <v>724</v>
      </c>
      <c r="F43" s="172" t="s">
        <v>725</v>
      </c>
      <c r="G43" s="172" t="s">
        <v>726</v>
      </c>
      <c r="H43" s="172" t="s">
        <v>727</v>
      </c>
      <c r="I43" s="172" t="s">
        <v>728</v>
      </c>
      <c r="J43" s="172" t="s">
        <v>729</v>
      </c>
      <c r="K43" s="172" t="s">
        <v>730</v>
      </c>
      <c r="L43" s="172" t="s">
        <v>731</v>
      </c>
      <c r="M43" s="172" t="s">
        <v>732</v>
      </c>
      <c r="N43" s="172" t="s">
        <v>733</v>
      </c>
      <c r="O43" s="172" t="s">
        <v>734</v>
      </c>
      <c r="P43" s="172" t="s">
        <v>735</v>
      </c>
      <c r="Q43" s="172" t="s">
        <v>736</v>
      </c>
      <c r="R43" s="172" t="s">
        <v>737</v>
      </c>
      <c r="S43" s="172" t="s">
        <v>738</v>
      </c>
      <c r="T43" s="172" t="s">
        <v>739</v>
      </c>
      <c r="U43" s="172" t="s">
        <v>647</v>
      </c>
      <c r="V43" s="172" t="s">
        <v>737</v>
      </c>
      <c r="W43" s="172" t="s">
        <v>738</v>
      </c>
      <c r="X43" s="172" t="s">
        <v>739</v>
      </c>
      <c r="Y43" s="172" t="s">
        <v>647</v>
      </c>
      <c r="Z43" s="172" t="s">
        <v>737</v>
      </c>
      <c r="AA43" s="172" t="s">
        <v>738</v>
      </c>
      <c r="AB43" s="172" t="s">
        <v>739</v>
      </c>
      <c r="AC43" s="172" t="s">
        <v>647</v>
      </c>
      <c r="AD43" s="172" t="s">
        <v>737</v>
      </c>
      <c r="AE43" s="172" t="s">
        <v>738</v>
      </c>
      <c r="AF43" s="172" t="s">
        <v>739</v>
      </c>
      <c r="AG43" s="172" t="s">
        <v>647</v>
      </c>
      <c r="AH43" s="172" t="s">
        <v>737</v>
      </c>
      <c r="AI43" s="172" t="s">
        <v>738</v>
      </c>
      <c r="AJ43" s="172" t="s">
        <v>739</v>
      </c>
      <c r="AK43" s="172" t="s">
        <v>647</v>
      </c>
      <c r="AL43" s="172" t="s">
        <v>740</v>
      </c>
      <c r="AM43" s="172" t="s">
        <v>741</v>
      </c>
      <c r="AN43" s="172" t="s">
        <v>742</v>
      </c>
      <c r="AO43" s="172" t="s">
        <v>743</v>
      </c>
      <c r="AP43" s="172" t="s">
        <v>744</v>
      </c>
      <c r="AQ43" s="172" t="s">
        <v>745</v>
      </c>
      <c r="AR43" s="172" t="s">
        <v>746</v>
      </c>
      <c r="AS43" s="172" t="s">
        <v>747</v>
      </c>
      <c r="AT43" s="172" t="s">
        <v>748</v>
      </c>
      <c r="AU43" s="172" t="s">
        <v>749</v>
      </c>
      <c r="AV43" s="172" t="s">
        <v>750</v>
      </c>
      <c r="AW43" s="172" t="s">
        <v>751</v>
      </c>
      <c r="AX43" s="172" t="s">
        <v>752</v>
      </c>
      <c r="AY43" s="172" t="s">
        <v>753</v>
      </c>
      <c r="AZ43" s="172" t="s">
        <v>754</v>
      </c>
      <c r="BA43" s="172" t="s">
        <v>755</v>
      </c>
      <c r="BB43" s="172" t="s">
        <v>756</v>
      </c>
      <c r="BC43" s="172" t="s">
        <v>757</v>
      </c>
      <c r="BD43" s="172" t="s">
        <v>758</v>
      </c>
      <c r="BE43" s="172" t="s">
        <v>759</v>
      </c>
      <c r="BF43" s="172" t="s">
        <v>760</v>
      </c>
      <c r="BG43" s="172" t="s">
        <v>761</v>
      </c>
      <c r="BH43" s="172" t="s">
        <v>762</v>
      </c>
      <c r="BI43" s="172" t="s">
        <v>763</v>
      </c>
      <c r="BJ43" s="172" t="s">
        <v>764</v>
      </c>
      <c r="BK43" s="172" t="s">
        <v>765</v>
      </c>
      <c r="BL43" s="172" t="s">
        <v>766</v>
      </c>
      <c r="BM43" s="172" t="s">
        <v>767</v>
      </c>
      <c r="BN43" s="172" t="s">
        <v>768</v>
      </c>
      <c r="BO43" s="172" t="s">
        <v>769</v>
      </c>
      <c r="BP43" s="172" t="s">
        <v>770</v>
      </c>
      <c r="BQ43" s="172" t="s">
        <v>771</v>
      </c>
      <c r="BR43" s="172" t="s">
        <v>772</v>
      </c>
      <c r="BS43" s="172" t="s">
        <v>773</v>
      </c>
      <c r="BT43" s="172" t="s">
        <v>774</v>
      </c>
      <c r="BU43" s="172" t="s">
        <v>775</v>
      </c>
      <c r="BV43" s="172" t="s">
        <v>776</v>
      </c>
      <c r="BW43" s="172" t="s">
        <v>777</v>
      </c>
      <c r="BX43" s="172" t="s">
        <v>778</v>
      </c>
      <c r="BY43" s="172" t="s">
        <v>779</v>
      </c>
      <c r="BZ43" s="172" t="s">
        <v>780</v>
      </c>
      <c r="CA43" s="172" t="s">
        <v>781</v>
      </c>
      <c r="CB43" s="172" t="s">
        <v>782</v>
      </c>
      <c r="CC43" s="172" t="s">
        <v>783</v>
      </c>
      <c r="CD43" s="172" t="s">
        <v>312</v>
      </c>
      <c r="CE43" s="172" t="s">
        <v>311</v>
      </c>
      <c r="CF43" s="172" t="s">
        <v>784</v>
      </c>
      <c r="CG43" s="172" t="s">
        <v>785</v>
      </c>
      <c r="CH43" s="172" t="s">
        <v>786</v>
      </c>
      <c r="CI43" s="172" t="s">
        <v>787</v>
      </c>
      <c r="CJ43" s="172" t="s">
        <v>788</v>
      </c>
      <c r="CK43" s="172" t="s">
        <v>789</v>
      </c>
      <c r="CL43" s="172"/>
      <c r="CM43" s="172" t="s">
        <v>790</v>
      </c>
      <c r="CN43" s="172" t="s">
        <v>791</v>
      </c>
      <c r="CO43" s="172" t="s">
        <v>792</v>
      </c>
      <c r="CP43" s="172" t="s">
        <v>793</v>
      </c>
      <c r="CQ43" s="172" t="s">
        <v>794</v>
      </c>
      <c r="CR43" s="172" t="s">
        <v>795</v>
      </c>
      <c r="CS43" s="172" t="s">
        <v>796</v>
      </c>
      <c r="CT43" s="172" t="s">
        <v>797</v>
      </c>
      <c r="CU43" s="172" t="s">
        <v>798</v>
      </c>
      <c r="CV43" s="172" t="s">
        <v>799</v>
      </c>
      <c r="CW43" s="216" t="s">
        <v>800</v>
      </c>
      <c r="CX43" s="60"/>
      <c r="CY43" s="60"/>
      <c r="CZ43" s="60"/>
      <c r="DA43" s="60"/>
      <c r="DB43" s="60"/>
      <c r="DC43" s="60"/>
      <c r="DD43" s="60"/>
      <c r="DE43" s="60"/>
      <c r="DF43" s="60"/>
      <c r="DG43" s="60"/>
      <c r="DH43" s="60"/>
      <c r="DI43" s="60"/>
      <c r="DJ43" s="60"/>
      <c r="DK43" s="60"/>
      <c r="DL43" s="60"/>
      <c r="DM43" s="60"/>
      <c r="DN43" s="60"/>
      <c r="DO43" s="60"/>
      <c r="DP43" s="60"/>
      <c r="DQ43" s="60"/>
      <c r="DR43" s="60"/>
      <c r="DS43" s="60"/>
      <c r="DT43" s="60"/>
      <c r="DU43" s="60"/>
      <c r="DV43" s="60"/>
      <c r="DW43" s="60"/>
      <c r="DX43" s="60"/>
      <c r="DY43" s="60"/>
      <c r="DZ43" s="60"/>
      <c r="EA43" s="60"/>
    </row>
    <row r="44" spans="1:131">
      <c r="A44" s="60" t="s">
        <v>330</v>
      </c>
      <c r="B44" s="60" t="s">
        <v>327</v>
      </c>
      <c r="C44" s="163">
        <v>40</v>
      </c>
      <c r="D44" s="163">
        <v>238.83152818662796</v>
      </c>
      <c r="E44" s="163">
        <v>0</v>
      </c>
      <c r="F44" s="163">
        <v>815.90999999999985</v>
      </c>
      <c r="G44" s="163">
        <v>0</v>
      </c>
      <c r="H44" s="163">
        <v>0</v>
      </c>
      <c r="I44" s="163" t="s">
        <v>632</v>
      </c>
      <c r="J44" s="163"/>
      <c r="K44" s="163"/>
      <c r="L44" s="163">
        <v>256.71911903766988</v>
      </c>
      <c r="M44" s="163">
        <v>4.968121669622351E-2</v>
      </c>
      <c r="N44" s="163">
        <v>4.9322639953332748E-2</v>
      </c>
      <c r="O44" s="163">
        <v>0</v>
      </c>
      <c r="P44" s="163">
        <v>0</v>
      </c>
      <c r="Q44" s="163">
        <v>0</v>
      </c>
      <c r="R44" s="163">
        <v>111.71711869561041</v>
      </c>
      <c r="S44" s="163">
        <v>258.16126922772207</v>
      </c>
      <c r="T44" s="163">
        <v>0</v>
      </c>
      <c r="U44" s="163">
        <v>199.61860804567596</v>
      </c>
      <c r="V44" s="163" t="s">
        <v>801</v>
      </c>
      <c r="W44" s="163" t="s">
        <v>801</v>
      </c>
      <c r="X44" s="163" t="s">
        <v>801</v>
      </c>
      <c r="Y44" s="163" t="s">
        <v>801</v>
      </c>
      <c r="Z44" s="163">
        <v>0</v>
      </c>
      <c r="AA44" s="163">
        <v>0</v>
      </c>
      <c r="AB44" s="163">
        <v>0</v>
      </c>
      <c r="AC44" s="163">
        <v>0</v>
      </c>
      <c r="AD44" s="163">
        <v>0</v>
      </c>
      <c r="AE44" s="163">
        <v>0</v>
      </c>
      <c r="AF44" s="163">
        <v>0</v>
      </c>
      <c r="AG44" s="163">
        <v>0</v>
      </c>
      <c r="AH44" s="163">
        <v>111.71711869561041</v>
      </c>
      <c r="AI44" s="163">
        <v>258.16126922772207</v>
      </c>
      <c r="AJ44" s="163">
        <v>0</v>
      </c>
      <c r="AK44" s="163">
        <v>199.61860804567596</v>
      </c>
      <c r="AL44" s="163">
        <v>569.49699596900837</v>
      </c>
      <c r="AM44" s="163">
        <v>132.55177595998481</v>
      </c>
      <c r="AN44" s="163">
        <v>17.554782651035108</v>
      </c>
      <c r="AO44" s="163">
        <v>0</v>
      </c>
      <c r="AP44" s="163">
        <v>0</v>
      </c>
      <c r="AQ44" s="163">
        <v>150.10655861101992</v>
      </c>
      <c r="AR44" s="163">
        <v>111.71711869561041</v>
      </c>
      <c r="AS44" s="217">
        <v>1.3436307735433739</v>
      </c>
      <c r="AT44" s="163">
        <v>132.55177595998481</v>
      </c>
      <c r="AU44" s="163">
        <v>20.779633967995142</v>
      </c>
      <c r="AV44" s="163">
        <v>0</v>
      </c>
      <c r="AW44" s="163">
        <v>0</v>
      </c>
      <c r="AX44" s="163">
        <v>153.33140992797996</v>
      </c>
      <c r="AY44" s="163">
        <v>258.16126922772207</v>
      </c>
      <c r="AZ44" s="218">
        <v>0.59393653581989292</v>
      </c>
      <c r="BA44" s="163">
        <v>132.55177595998481</v>
      </c>
      <c r="BB44" s="163">
        <v>38.33441661903025</v>
      </c>
      <c r="BC44" s="163">
        <v>0</v>
      </c>
      <c r="BD44" s="163">
        <v>0</v>
      </c>
      <c r="BE44" s="163">
        <v>170.88619257901507</v>
      </c>
      <c r="BF44" s="163">
        <v>369.87838792333247</v>
      </c>
      <c r="BG44" s="163">
        <v>95.028316593340861</v>
      </c>
      <c r="BH44" s="218">
        <v>0.4620064274056368</v>
      </c>
      <c r="BI44" s="163">
        <v>32.020759365756398</v>
      </c>
      <c r="BJ44" s="163">
        <v>73.995104564256437</v>
      </c>
      <c r="BK44" s="163">
        <v>0</v>
      </c>
      <c r="BL44" s="163">
        <v>57.215398032002646</v>
      </c>
      <c r="BM44" s="163">
        <v>163.23126196201548</v>
      </c>
      <c r="BN44" s="163">
        <v>132.55177595998481</v>
      </c>
      <c r="BO44" s="163">
        <v>0</v>
      </c>
      <c r="BP44" s="163">
        <v>38.33441661903025</v>
      </c>
      <c r="BQ44" s="163">
        <v>0</v>
      </c>
      <c r="BR44" s="163">
        <v>0</v>
      </c>
      <c r="BS44" s="163">
        <v>0</v>
      </c>
      <c r="BT44" s="163">
        <v>0</v>
      </c>
      <c r="BU44" s="163">
        <v>0</v>
      </c>
      <c r="BV44" s="163">
        <v>0</v>
      </c>
      <c r="BW44" s="163">
        <v>0</v>
      </c>
      <c r="BX44" s="163">
        <v>569.49699596900837</v>
      </c>
      <c r="BY44" s="163"/>
      <c r="BZ44" s="163">
        <v>0</v>
      </c>
      <c r="CA44" s="163">
        <v>0</v>
      </c>
      <c r="CB44" s="163">
        <v>170.88619257901507</v>
      </c>
      <c r="CC44" s="163">
        <v>569.49699596900837</v>
      </c>
      <c r="CD44" s="218">
        <v>0.3000651343002248</v>
      </c>
      <c r="CE44" s="163">
        <v>152.2437146253435</v>
      </c>
      <c r="CF44" s="163">
        <v>2.4388544818404685</v>
      </c>
      <c r="CG44" s="163">
        <v>0</v>
      </c>
      <c r="CH44" s="163">
        <v>2.4388544818404685</v>
      </c>
      <c r="CI44" s="163">
        <v>0.1219415815428932</v>
      </c>
      <c r="CJ44" s="163">
        <v>0</v>
      </c>
      <c r="CK44" s="163">
        <v>0.1219415815428932</v>
      </c>
      <c r="CL44" s="163"/>
      <c r="CM44" s="163">
        <v>0</v>
      </c>
      <c r="CN44" s="163"/>
      <c r="CO44" s="163">
        <v>0</v>
      </c>
      <c r="CP44" s="163">
        <v>0</v>
      </c>
      <c r="CQ44" s="163">
        <v>0</v>
      </c>
      <c r="CR44" s="163">
        <v>0</v>
      </c>
      <c r="CS44" s="163">
        <v>0</v>
      </c>
      <c r="CT44" s="163">
        <v>0</v>
      </c>
      <c r="CU44" s="163">
        <v>0</v>
      </c>
      <c r="CV44" s="163">
        <v>9999</v>
      </c>
      <c r="CW44" s="217">
        <v>9999</v>
      </c>
      <c r="CX44" s="60"/>
      <c r="CY44" s="60"/>
      <c r="CZ44" s="60"/>
      <c r="DA44" s="60"/>
      <c r="DB44" s="60"/>
      <c r="DC44" s="60"/>
      <c r="DD44" s="60"/>
      <c r="DE44" s="60"/>
      <c r="DF44" s="60"/>
      <c r="DG44" s="60"/>
      <c r="DH44" s="60"/>
      <c r="DI44" s="60"/>
      <c r="DJ44" s="60"/>
      <c r="DK44" s="60"/>
      <c r="DL44" s="60"/>
      <c r="DM44" s="60"/>
      <c r="DN44" s="60"/>
      <c r="DO44" s="60"/>
      <c r="DP44" s="60"/>
      <c r="DQ44" s="60"/>
      <c r="DR44" s="60"/>
      <c r="DS44" s="60"/>
      <c r="DT44" s="60"/>
      <c r="DU44" s="60"/>
      <c r="DV44" s="60"/>
      <c r="DW44" s="60"/>
      <c r="DX44" s="60"/>
      <c r="DY44" s="60"/>
      <c r="DZ44" s="60"/>
      <c r="EA44" s="60"/>
    </row>
    <row r="45" spans="1:131">
      <c r="A45" s="60" t="s">
        <v>331</v>
      </c>
      <c r="B45" s="60" t="s">
        <v>326</v>
      </c>
      <c r="C45" s="163">
        <v>40</v>
      </c>
      <c r="D45" s="163">
        <v>114.58894767084345</v>
      </c>
      <c r="E45" s="163">
        <v>0</v>
      </c>
      <c r="F45" s="163">
        <v>815.90999999999985</v>
      </c>
      <c r="G45" s="163">
        <v>0</v>
      </c>
      <c r="H45" s="163">
        <v>0</v>
      </c>
      <c r="I45" s="163" t="s">
        <v>633</v>
      </c>
      <c r="J45" s="163"/>
      <c r="K45" s="163"/>
      <c r="L45" s="163">
        <v>123.26393620193372</v>
      </c>
      <c r="M45" s="163">
        <v>2.6003504756367E-2</v>
      </c>
      <c r="N45" s="163">
        <v>2.581582312014026E-2</v>
      </c>
      <c r="O45" s="163">
        <v>0</v>
      </c>
      <c r="P45" s="163">
        <v>0</v>
      </c>
      <c r="Q45" s="163">
        <v>0</v>
      </c>
      <c r="R45" s="163">
        <v>111.71711869561041</v>
      </c>
      <c r="S45" s="163">
        <v>258.16126922772207</v>
      </c>
      <c r="T45" s="163">
        <v>0</v>
      </c>
      <c r="U45" s="163">
        <v>199.61860804567596</v>
      </c>
      <c r="V45" s="163" t="s">
        <v>801</v>
      </c>
      <c r="W45" s="163" t="s">
        <v>801</v>
      </c>
      <c r="X45" s="163" t="s">
        <v>801</v>
      </c>
      <c r="Y45" s="163" t="s">
        <v>801</v>
      </c>
      <c r="Z45" s="163">
        <v>0</v>
      </c>
      <c r="AA45" s="163">
        <v>0</v>
      </c>
      <c r="AB45" s="163">
        <v>0</v>
      </c>
      <c r="AC45" s="163">
        <v>0</v>
      </c>
      <c r="AD45" s="163">
        <v>0</v>
      </c>
      <c r="AE45" s="163">
        <v>0</v>
      </c>
      <c r="AF45" s="163">
        <v>0</v>
      </c>
      <c r="AG45" s="163">
        <v>0</v>
      </c>
      <c r="AH45" s="163">
        <v>111.71711869561041</v>
      </c>
      <c r="AI45" s="163">
        <v>258.16126922772207</v>
      </c>
      <c r="AJ45" s="163">
        <v>0</v>
      </c>
      <c r="AK45" s="163">
        <v>199.61860804567596</v>
      </c>
      <c r="AL45" s="163">
        <v>569.49699596900837</v>
      </c>
      <c r="AM45" s="163">
        <v>63.878652597261983</v>
      </c>
      <c r="AN45" s="163">
        <v>9.1882990095506205</v>
      </c>
      <c r="AO45" s="163">
        <v>0</v>
      </c>
      <c r="AP45" s="163">
        <v>0</v>
      </c>
      <c r="AQ45" s="163">
        <v>73.066951606812609</v>
      </c>
      <c r="AR45" s="163">
        <v>111.71711869561041</v>
      </c>
      <c r="AS45" s="218">
        <v>0.6540354106866485</v>
      </c>
      <c r="AT45" s="163">
        <v>63.878652597261983</v>
      </c>
      <c r="AU45" s="163">
        <v>10.876209293066706</v>
      </c>
      <c r="AV45" s="163">
        <v>0</v>
      </c>
      <c r="AW45" s="163">
        <v>0</v>
      </c>
      <c r="AX45" s="163">
        <v>74.754861890328684</v>
      </c>
      <c r="AY45" s="163">
        <v>258.16126922772207</v>
      </c>
      <c r="AZ45" s="218">
        <v>0.2895665260476698</v>
      </c>
      <c r="BA45" s="163">
        <v>63.878652597261983</v>
      </c>
      <c r="BB45" s="163">
        <v>20.064508302617327</v>
      </c>
      <c r="BC45" s="163">
        <v>0</v>
      </c>
      <c r="BD45" s="163">
        <v>0</v>
      </c>
      <c r="BE45" s="163">
        <v>83.943160899879302</v>
      </c>
      <c r="BF45" s="163">
        <v>369.87838792333247</v>
      </c>
      <c r="BG45" s="163">
        <v>208.81953266178994</v>
      </c>
      <c r="BH45" s="218">
        <v>0.22694800139898644</v>
      </c>
      <c r="BI45" s="163">
        <v>66.688939105655791</v>
      </c>
      <c r="BJ45" s="163">
        <v>154.10799494279152</v>
      </c>
      <c r="BK45" s="163">
        <v>0</v>
      </c>
      <c r="BL45" s="163">
        <v>119.16126509300071</v>
      </c>
      <c r="BM45" s="163">
        <v>339.95819914144801</v>
      </c>
      <c r="BN45" s="163">
        <v>63.878652597261983</v>
      </c>
      <c r="BO45" s="163">
        <v>0</v>
      </c>
      <c r="BP45" s="163">
        <v>20.064508302617327</v>
      </c>
      <c r="BQ45" s="163">
        <v>0</v>
      </c>
      <c r="BR45" s="163">
        <v>0</v>
      </c>
      <c r="BS45" s="163">
        <v>0</v>
      </c>
      <c r="BT45" s="163">
        <v>0</v>
      </c>
      <c r="BU45" s="163">
        <v>0</v>
      </c>
      <c r="BV45" s="163">
        <v>0</v>
      </c>
      <c r="BW45" s="163">
        <v>0</v>
      </c>
      <c r="BX45" s="163">
        <v>569.49699596900837</v>
      </c>
      <c r="BY45" s="163"/>
      <c r="BZ45" s="163">
        <v>0</v>
      </c>
      <c r="CA45" s="163">
        <v>0</v>
      </c>
      <c r="CB45" s="163">
        <v>83.943160899879317</v>
      </c>
      <c r="CC45" s="163">
        <v>569.49699596900837</v>
      </c>
      <c r="CD45" s="218">
        <v>0.14739877733164977</v>
      </c>
      <c r="CE45" s="163">
        <v>327.98079775479061</v>
      </c>
      <c r="CF45" s="163">
        <v>1.1710160207776132</v>
      </c>
      <c r="CG45" s="163">
        <v>0</v>
      </c>
      <c r="CH45" s="163">
        <v>1.1710160207776132</v>
      </c>
      <c r="CI45" s="163">
        <v>5.8550369695918529E-2</v>
      </c>
      <c r="CJ45" s="163">
        <v>0</v>
      </c>
      <c r="CK45" s="163">
        <v>5.8550369695918529E-2</v>
      </c>
      <c r="CL45" s="163"/>
      <c r="CM45" s="163">
        <v>0</v>
      </c>
      <c r="CN45" s="163"/>
      <c r="CO45" s="163">
        <v>0</v>
      </c>
      <c r="CP45" s="163">
        <v>0</v>
      </c>
      <c r="CQ45" s="163">
        <v>0</v>
      </c>
      <c r="CR45" s="163">
        <v>0</v>
      </c>
      <c r="CS45" s="163">
        <v>0</v>
      </c>
      <c r="CT45" s="163">
        <v>0</v>
      </c>
      <c r="CU45" s="163">
        <v>0</v>
      </c>
      <c r="CV45" s="163">
        <v>9999</v>
      </c>
      <c r="CW45" s="217">
        <v>9999</v>
      </c>
      <c r="CX45" s="60"/>
      <c r="CY45" s="60"/>
      <c r="CZ45" s="60"/>
      <c r="DA45" s="60"/>
      <c r="DB45" s="60"/>
      <c r="DC45" s="60"/>
      <c r="DD45" s="60"/>
      <c r="DE45" s="60"/>
      <c r="DF45" s="60"/>
      <c r="DG45" s="60"/>
      <c r="DH45" s="60"/>
      <c r="DI45" s="60"/>
      <c r="DJ45" s="60"/>
      <c r="DK45" s="60"/>
      <c r="DL45" s="60"/>
      <c r="DM45" s="60"/>
      <c r="DN45" s="60"/>
      <c r="DO45" s="60"/>
      <c r="DP45" s="60"/>
      <c r="DQ45" s="60"/>
      <c r="DR45" s="60"/>
      <c r="DS45" s="60"/>
      <c r="DT45" s="60"/>
      <c r="DU45" s="60"/>
      <c r="DV45" s="60"/>
      <c r="DW45" s="60"/>
      <c r="DX45" s="60"/>
      <c r="DY45" s="60"/>
      <c r="DZ45" s="60"/>
      <c r="EA45" s="60"/>
    </row>
    <row r="46" spans="1:131">
      <c r="A46" s="60" t="s">
        <v>332</v>
      </c>
      <c r="B46" s="60" t="s">
        <v>328</v>
      </c>
      <c r="C46" s="163">
        <v>40</v>
      </c>
      <c r="D46" s="163">
        <v>238.83152818662796</v>
      </c>
      <c r="E46" s="163">
        <v>0</v>
      </c>
      <c r="F46" s="163">
        <v>786.69</v>
      </c>
      <c r="G46" s="163">
        <v>0</v>
      </c>
      <c r="H46" s="163">
        <v>0</v>
      </c>
      <c r="I46" s="163" t="s">
        <v>632</v>
      </c>
      <c r="J46" s="163"/>
      <c r="K46" s="163"/>
      <c r="L46" s="163">
        <v>256.71911903766988</v>
      </c>
      <c r="M46" s="163">
        <v>4.968121669622351E-2</v>
      </c>
      <c r="N46" s="163">
        <v>4.9322639953332748E-2</v>
      </c>
      <c r="O46" s="163">
        <v>0</v>
      </c>
      <c r="P46" s="163">
        <v>0</v>
      </c>
      <c r="Q46" s="163">
        <v>0</v>
      </c>
      <c r="R46" s="163">
        <v>107.71621883130466</v>
      </c>
      <c r="S46" s="163">
        <v>248.91579817474565</v>
      </c>
      <c r="T46" s="163">
        <v>0</v>
      </c>
      <c r="U46" s="163">
        <v>192.46971205580618</v>
      </c>
      <c r="V46" s="163" t="s">
        <v>801</v>
      </c>
      <c r="W46" s="163" t="s">
        <v>801</v>
      </c>
      <c r="X46" s="163" t="s">
        <v>801</v>
      </c>
      <c r="Y46" s="163" t="s">
        <v>801</v>
      </c>
      <c r="Z46" s="163">
        <v>0</v>
      </c>
      <c r="AA46" s="163">
        <v>0</v>
      </c>
      <c r="AB46" s="163">
        <v>0</v>
      </c>
      <c r="AC46" s="163">
        <v>0</v>
      </c>
      <c r="AD46" s="163">
        <v>0</v>
      </c>
      <c r="AE46" s="163">
        <v>0</v>
      </c>
      <c r="AF46" s="163">
        <v>0</v>
      </c>
      <c r="AG46" s="163">
        <v>0</v>
      </c>
      <c r="AH46" s="163">
        <v>107.71621883130466</v>
      </c>
      <c r="AI46" s="163">
        <v>248.91579817474565</v>
      </c>
      <c r="AJ46" s="163">
        <v>0</v>
      </c>
      <c r="AK46" s="163">
        <v>192.46971205580618</v>
      </c>
      <c r="AL46" s="163">
        <v>549.10172906185653</v>
      </c>
      <c r="AM46" s="163">
        <v>132.55177595998481</v>
      </c>
      <c r="AN46" s="163">
        <v>17.554782651035108</v>
      </c>
      <c r="AO46" s="163">
        <v>0</v>
      </c>
      <c r="AP46" s="163">
        <v>0</v>
      </c>
      <c r="AQ46" s="163">
        <v>150.10655861101992</v>
      </c>
      <c r="AR46" s="163">
        <v>107.71621883130466</v>
      </c>
      <c r="AS46" s="217">
        <v>1.3935372058139468</v>
      </c>
      <c r="AT46" s="163">
        <v>132.55177595998481</v>
      </c>
      <c r="AU46" s="163">
        <v>20.779633967995142</v>
      </c>
      <c r="AV46" s="163">
        <v>0</v>
      </c>
      <c r="AW46" s="163">
        <v>0</v>
      </c>
      <c r="AX46" s="163">
        <v>153.33140992797996</v>
      </c>
      <c r="AY46" s="163">
        <v>248.91579817474565</v>
      </c>
      <c r="AZ46" s="218">
        <v>0.61599710043448974</v>
      </c>
      <c r="BA46" s="163">
        <v>132.55177595998481</v>
      </c>
      <c r="BB46" s="163">
        <v>38.33441661903025</v>
      </c>
      <c r="BC46" s="163">
        <v>0</v>
      </c>
      <c r="BD46" s="163">
        <v>0</v>
      </c>
      <c r="BE46" s="163">
        <v>170.88619257901507</v>
      </c>
      <c r="BF46" s="163">
        <v>356.63201700605032</v>
      </c>
      <c r="BG46" s="163">
        <v>91.231594474436875</v>
      </c>
      <c r="BH46" s="218">
        <v>0.47916671647603631</v>
      </c>
      <c r="BI46" s="163">
        <v>30.874007164328063</v>
      </c>
      <c r="BJ46" s="163">
        <v>71.345134646780778</v>
      </c>
      <c r="BK46" s="163">
        <v>0</v>
      </c>
      <c r="BL46" s="163">
        <v>55.166355943420427</v>
      </c>
      <c r="BM46" s="163">
        <v>157.38549775452927</v>
      </c>
      <c r="BN46" s="163">
        <v>132.55177595998481</v>
      </c>
      <c r="BO46" s="163">
        <v>0</v>
      </c>
      <c r="BP46" s="163">
        <v>38.33441661903025</v>
      </c>
      <c r="BQ46" s="163">
        <v>0</v>
      </c>
      <c r="BR46" s="163">
        <v>0</v>
      </c>
      <c r="BS46" s="163">
        <v>0</v>
      </c>
      <c r="BT46" s="163">
        <v>0</v>
      </c>
      <c r="BU46" s="163">
        <v>0</v>
      </c>
      <c r="BV46" s="163">
        <v>0</v>
      </c>
      <c r="BW46" s="163">
        <v>0</v>
      </c>
      <c r="BX46" s="163">
        <v>549.10172906185653</v>
      </c>
      <c r="BY46" s="163"/>
      <c r="BZ46" s="163">
        <v>0</v>
      </c>
      <c r="CA46" s="163">
        <v>0</v>
      </c>
      <c r="CB46" s="163">
        <v>170.88619257901507</v>
      </c>
      <c r="CC46" s="163">
        <v>549.10172906185653</v>
      </c>
      <c r="CD46" s="218">
        <v>0.31121044341086873</v>
      </c>
      <c r="CE46" s="163">
        <v>146.39795041785732</v>
      </c>
      <c r="CF46" s="163">
        <v>2.4388544818404685</v>
      </c>
      <c r="CG46" s="163">
        <v>0</v>
      </c>
      <c r="CH46" s="163">
        <v>2.4388544818404685</v>
      </c>
      <c r="CI46" s="163">
        <v>0.1219415815428932</v>
      </c>
      <c r="CJ46" s="163">
        <v>0</v>
      </c>
      <c r="CK46" s="163">
        <v>0.1219415815428932</v>
      </c>
      <c r="CL46" s="163"/>
      <c r="CM46" s="163">
        <v>0</v>
      </c>
      <c r="CN46" s="163"/>
      <c r="CO46" s="163">
        <v>0</v>
      </c>
      <c r="CP46" s="163">
        <v>0</v>
      </c>
      <c r="CQ46" s="163">
        <v>0</v>
      </c>
      <c r="CR46" s="163">
        <v>0</v>
      </c>
      <c r="CS46" s="163">
        <v>0</v>
      </c>
      <c r="CT46" s="163">
        <v>0</v>
      </c>
      <c r="CU46" s="163">
        <v>0</v>
      </c>
      <c r="CV46" s="163">
        <v>9999</v>
      </c>
      <c r="CW46" s="217">
        <v>9999</v>
      </c>
      <c r="CX46" s="60"/>
      <c r="CY46" s="60"/>
      <c r="CZ46" s="60"/>
      <c r="DA46" s="60"/>
      <c r="DB46" s="60"/>
      <c r="DC46" s="60"/>
      <c r="DD46" s="60"/>
      <c r="DE46" s="60"/>
      <c r="DF46" s="60"/>
      <c r="DG46" s="60"/>
      <c r="DH46" s="60"/>
      <c r="DI46" s="60"/>
      <c r="DJ46" s="60"/>
      <c r="DK46" s="60"/>
      <c r="DL46" s="60"/>
      <c r="DM46" s="60"/>
      <c r="DN46" s="60"/>
      <c r="DO46" s="60"/>
      <c r="DP46" s="60"/>
      <c r="DQ46" s="60"/>
      <c r="DR46" s="60"/>
      <c r="DS46" s="60"/>
      <c r="DT46" s="60"/>
      <c r="DU46" s="60"/>
      <c r="DV46" s="60"/>
      <c r="DW46" s="60"/>
      <c r="DX46" s="60"/>
      <c r="DY46" s="60"/>
      <c r="DZ46" s="60"/>
      <c r="EA46" s="60"/>
    </row>
    <row r="47" spans="1:131">
      <c r="A47" s="60" t="s">
        <v>333</v>
      </c>
      <c r="B47" s="60" t="s">
        <v>329</v>
      </c>
      <c r="C47" s="163">
        <v>40</v>
      </c>
      <c r="D47" s="163">
        <v>114.58894767084345</v>
      </c>
      <c r="E47" s="163">
        <v>0</v>
      </c>
      <c r="F47" s="163">
        <v>786.69</v>
      </c>
      <c r="G47" s="163">
        <v>0</v>
      </c>
      <c r="H47" s="163">
        <v>0</v>
      </c>
      <c r="I47" s="163" t="s">
        <v>633</v>
      </c>
      <c r="J47" s="163"/>
      <c r="K47" s="163"/>
      <c r="L47" s="163">
        <v>123.26393620193372</v>
      </c>
      <c r="M47" s="163">
        <v>2.6003504756367E-2</v>
      </c>
      <c r="N47" s="163">
        <v>2.581582312014026E-2</v>
      </c>
      <c r="O47" s="163">
        <v>0</v>
      </c>
      <c r="P47" s="163">
        <v>0</v>
      </c>
      <c r="Q47" s="163">
        <v>0</v>
      </c>
      <c r="R47" s="163">
        <v>107.71621883130466</v>
      </c>
      <c r="S47" s="163">
        <v>248.91579817474565</v>
      </c>
      <c r="T47" s="163">
        <v>0</v>
      </c>
      <c r="U47" s="163">
        <v>192.46971205580618</v>
      </c>
      <c r="V47" s="163" t="s">
        <v>801</v>
      </c>
      <c r="W47" s="163" t="s">
        <v>801</v>
      </c>
      <c r="X47" s="163" t="s">
        <v>801</v>
      </c>
      <c r="Y47" s="163" t="s">
        <v>801</v>
      </c>
      <c r="Z47" s="163">
        <v>0</v>
      </c>
      <c r="AA47" s="163">
        <v>0</v>
      </c>
      <c r="AB47" s="163">
        <v>0</v>
      </c>
      <c r="AC47" s="163">
        <v>0</v>
      </c>
      <c r="AD47" s="163">
        <v>0</v>
      </c>
      <c r="AE47" s="163">
        <v>0</v>
      </c>
      <c r="AF47" s="163">
        <v>0</v>
      </c>
      <c r="AG47" s="163">
        <v>0</v>
      </c>
      <c r="AH47" s="163">
        <v>107.71621883130466</v>
      </c>
      <c r="AI47" s="163">
        <v>248.91579817474565</v>
      </c>
      <c r="AJ47" s="163">
        <v>0</v>
      </c>
      <c r="AK47" s="163">
        <v>192.46971205580618</v>
      </c>
      <c r="AL47" s="163">
        <v>549.10172906185653</v>
      </c>
      <c r="AM47" s="163">
        <v>63.878652597261983</v>
      </c>
      <c r="AN47" s="163">
        <v>9.1882990095506205</v>
      </c>
      <c r="AO47" s="163">
        <v>0</v>
      </c>
      <c r="AP47" s="163">
        <v>0</v>
      </c>
      <c r="AQ47" s="163">
        <v>73.066951606812609</v>
      </c>
      <c r="AR47" s="163">
        <v>107.71621883130466</v>
      </c>
      <c r="AS47" s="218">
        <v>0.67832822577297691</v>
      </c>
      <c r="AT47" s="163">
        <v>63.878652597261983</v>
      </c>
      <c r="AU47" s="163">
        <v>10.876209293066706</v>
      </c>
      <c r="AV47" s="163">
        <v>0</v>
      </c>
      <c r="AW47" s="163">
        <v>0</v>
      </c>
      <c r="AX47" s="163">
        <v>74.754861890328684</v>
      </c>
      <c r="AY47" s="163">
        <v>248.91579817474565</v>
      </c>
      <c r="AZ47" s="218">
        <v>0.30032188570790813</v>
      </c>
      <c r="BA47" s="163">
        <v>63.878652597261983</v>
      </c>
      <c r="BB47" s="163">
        <v>20.064508302617327</v>
      </c>
      <c r="BC47" s="163">
        <v>0</v>
      </c>
      <c r="BD47" s="163">
        <v>0</v>
      </c>
      <c r="BE47" s="163">
        <v>83.943160899879302</v>
      </c>
      <c r="BF47" s="163">
        <v>356.63201700605032</v>
      </c>
      <c r="BG47" s="163">
        <v>200.91218208035866</v>
      </c>
      <c r="BH47" s="218">
        <v>0.23537752332106288</v>
      </c>
      <c r="BI47" s="163">
        <v>64.300623236666283</v>
      </c>
      <c r="BJ47" s="163">
        <v>148.58896023034978</v>
      </c>
      <c r="BK47" s="163">
        <v>0</v>
      </c>
      <c r="BL47" s="163">
        <v>114.89376970010507</v>
      </c>
      <c r="BM47" s="163">
        <v>327.78335316712111</v>
      </c>
      <c r="BN47" s="163">
        <v>63.878652597261983</v>
      </c>
      <c r="BO47" s="163">
        <v>0</v>
      </c>
      <c r="BP47" s="163">
        <v>20.064508302617327</v>
      </c>
      <c r="BQ47" s="163">
        <v>0</v>
      </c>
      <c r="BR47" s="163">
        <v>0</v>
      </c>
      <c r="BS47" s="163">
        <v>0</v>
      </c>
      <c r="BT47" s="163">
        <v>0</v>
      </c>
      <c r="BU47" s="163">
        <v>0</v>
      </c>
      <c r="BV47" s="163">
        <v>0</v>
      </c>
      <c r="BW47" s="163">
        <v>0</v>
      </c>
      <c r="BX47" s="163">
        <v>549.10172906185653</v>
      </c>
      <c r="BY47" s="163"/>
      <c r="BZ47" s="163">
        <v>0</v>
      </c>
      <c r="CA47" s="163">
        <v>0</v>
      </c>
      <c r="CB47" s="163">
        <v>83.943160899879317</v>
      </c>
      <c r="CC47" s="163">
        <v>549.10172906185653</v>
      </c>
      <c r="CD47" s="218">
        <v>0.15287360512103412</v>
      </c>
      <c r="CE47" s="163">
        <v>315.80595178046372</v>
      </c>
      <c r="CF47" s="163">
        <v>1.1710160207776132</v>
      </c>
      <c r="CG47" s="163">
        <v>0</v>
      </c>
      <c r="CH47" s="163">
        <v>1.1710160207776132</v>
      </c>
      <c r="CI47" s="163">
        <v>5.8550369695918529E-2</v>
      </c>
      <c r="CJ47" s="163">
        <v>0</v>
      </c>
      <c r="CK47" s="163">
        <v>5.8550369695918529E-2</v>
      </c>
      <c r="CL47" s="163"/>
      <c r="CM47" s="163">
        <v>0</v>
      </c>
      <c r="CN47" s="163"/>
      <c r="CO47" s="163">
        <v>0</v>
      </c>
      <c r="CP47" s="163">
        <v>0</v>
      </c>
      <c r="CQ47" s="163">
        <v>0</v>
      </c>
      <c r="CR47" s="163">
        <v>0</v>
      </c>
      <c r="CS47" s="163">
        <v>0</v>
      </c>
      <c r="CT47" s="163">
        <v>0</v>
      </c>
      <c r="CU47" s="163">
        <v>0</v>
      </c>
      <c r="CV47" s="163">
        <v>9999</v>
      </c>
      <c r="CW47" s="217">
        <v>9999</v>
      </c>
      <c r="CX47" s="60"/>
      <c r="CY47" s="60"/>
      <c r="CZ47" s="60"/>
      <c r="DA47" s="60"/>
      <c r="DB47" s="60"/>
      <c r="DC47" s="60"/>
      <c r="DD47" s="60"/>
      <c r="DE47" s="60"/>
      <c r="DF47" s="60"/>
      <c r="DG47" s="60"/>
      <c r="DH47" s="60"/>
      <c r="DI47" s="60"/>
      <c r="DJ47" s="60"/>
      <c r="DK47" s="60"/>
      <c r="DL47" s="60"/>
      <c r="DM47" s="60"/>
      <c r="DN47" s="60"/>
      <c r="DO47" s="60"/>
      <c r="DP47" s="60"/>
      <c r="DQ47" s="60"/>
      <c r="DR47" s="60"/>
      <c r="DS47" s="60"/>
      <c r="DT47" s="60"/>
      <c r="DU47" s="60"/>
      <c r="DV47" s="60"/>
      <c r="DW47" s="60"/>
      <c r="DX47" s="60"/>
      <c r="DY47" s="60"/>
      <c r="DZ47" s="60"/>
      <c r="EA47" s="60"/>
    </row>
    <row r="48" spans="1:131">
      <c r="A48" s="60" t="s">
        <v>334</v>
      </c>
      <c r="B48" s="60" t="s">
        <v>327</v>
      </c>
      <c r="C48" s="163">
        <v>40</v>
      </c>
      <c r="D48" s="163">
        <v>238.83152818662796</v>
      </c>
      <c r="E48" s="163">
        <v>0</v>
      </c>
      <c r="F48" s="163">
        <v>707.87969999999996</v>
      </c>
      <c r="G48" s="163">
        <v>0</v>
      </c>
      <c r="H48" s="163">
        <v>0</v>
      </c>
      <c r="I48" s="163" t="s">
        <v>632</v>
      </c>
      <c r="J48" s="163"/>
      <c r="K48" s="163"/>
      <c r="L48" s="163">
        <v>256.71911903766988</v>
      </c>
      <c r="M48" s="163">
        <v>4.968121669622351E-2</v>
      </c>
      <c r="N48" s="163">
        <v>4.9322639953332748E-2</v>
      </c>
      <c r="O48" s="163">
        <v>0</v>
      </c>
      <c r="P48" s="163">
        <v>0</v>
      </c>
      <c r="Q48" s="163">
        <v>0</v>
      </c>
      <c r="R48" s="163">
        <v>96.925249680863217</v>
      </c>
      <c r="S48" s="163">
        <v>223.97950976521818</v>
      </c>
      <c r="T48" s="163">
        <v>0</v>
      </c>
      <c r="U48" s="163">
        <v>173.188170726907</v>
      </c>
      <c r="V48" s="163" t="s">
        <v>801</v>
      </c>
      <c r="W48" s="163" t="s">
        <v>801</v>
      </c>
      <c r="X48" s="163" t="s">
        <v>801</v>
      </c>
      <c r="Y48" s="163" t="s">
        <v>801</v>
      </c>
      <c r="Z48" s="163">
        <v>0</v>
      </c>
      <c r="AA48" s="163">
        <v>0</v>
      </c>
      <c r="AB48" s="163">
        <v>0</v>
      </c>
      <c r="AC48" s="163">
        <v>0</v>
      </c>
      <c r="AD48" s="163">
        <v>0</v>
      </c>
      <c r="AE48" s="163">
        <v>0</v>
      </c>
      <c r="AF48" s="163">
        <v>0</v>
      </c>
      <c r="AG48" s="163">
        <v>0</v>
      </c>
      <c r="AH48" s="163">
        <v>96.925249680863217</v>
      </c>
      <c r="AI48" s="163">
        <v>223.97950976521818</v>
      </c>
      <c r="AJ48" s="163">
        <v>0</v>
      </c>
      <c r="AK48" s="163">
        <v>173.188170726907</v>
      </c>
      <c r="AL48" s="163">
        <v>494.09293017298842</v>
      </c>
      <c r="AM48" s="163">
        <v>132.55177595998481</v>
      </c>
      <c r="AN48" s="163">
        <v>17.554782651035108</v>
      </c>
      <c r="AO48" s="163">
        <v>0</v>
      </c>
      <c r="AP48" s="163">
        <v>0</v>
      </c>
      <c r="AQ48" s="163">
        <v>150.10655861101992</v>
      </c>
      <c r="AR48" s="163">
        <v>96.925249680863217</v>
      </c>
      <c r="AS48" s="217">
        <v>1.5486837444862083</v>
      </c>
      <c r="AT48" s="163">
        <v>132.55177595998481</v>
      </c>
      <c r="AU48" s="163">
        <v>20.779633967995142</v>
      </c>
      <c r="AV48" s="163">
        <v>0</v>
      </c>
      <c r="AW48" s="163">
        <v>0</v>
      </c>
      <c r="AX48" s="163">
        <v>153.33140992797996</v>
      </c>
      <c r="AY48" s="163">
        <v>223.97950976521818</v>
      </c>
      <c r="AZ48" s="218">
        <v>0.68457784414612921</v>
      </c>
      <c r="BA48" s="163">
        <v>132.55177595998481</v>
      </c>
      <c r="BB48" s="163">
        <v>38.33441661903025</v>
      </c>
      <c r="BC48" s="163">
        <v>0</v>
      </c>
      <c r="BD48" s="163">
        <v>0</v>
      </c>
      <c r="BE48" s="163">
        <v>170.88619257901507</v>
      </c>
      <c r="BF48" s="163">
        <v>320.90475944608141</v>
      </c>
      <c r="BG48" s="163">
        <v>80.991320374249966</v>
      </c>
      <c r="BH48" s="218">
        <v>0.53251373670488511</v>
      </c>
      <c r="BI48" s="163">
        <v>27.78106106507315</v>
      </c>
      <c r="BJ48" s="163">
        <v>64.197806645848786</v>
      </c>
      <c r="BK48" s="163">
        <v>0</v>
      </c>
      <c r="BL48" s="163">
        <v>49.639811736925182</v>
      </c>
      <c r="BM48" s="163">
        <v>141.61867944784714</v>
      </c>
      <c r="BN48" s="163">
        <v>132.55177595998481</v>
      </c>
      <c r="BO48" s="163">
        <v>0</v>
      </c>
      <c r="BP48" s="163">
        <v>38.33441661903025</v>
      </c>
      <c r="BQ48" s="163">
        <v>0</v>
      </c>
      <c r="BR48" s="163">
        <v>0</v>
      </c>
      <c r="BS48" s="163">
        <v>0</v>
      </c>
      <c r="BT48" s="163">
        <v>0</v>
      </c>
      <c r="BU48" s="163">
        <v>0</v>
      </c>
      <c r="BV48" s="163">
        <v>0</v>
      </c>
      <c r="BW48" s="163">
        <v>0</v>
      </c>
      <c r="BX48" s="163">
        <v>494.09293017298842</v>
      </c>
      <c r="BY48" s="163"/>
      <c r="BZ48" s="163">
        <v>0</v>
      </c>
      <c r="CA48" s="163">
        <v>0</v>
      </c>
      <c r="CB48" s="163">
        <v>170.88619257901507</v>
      </c>
      <c r="CC48" s="163">
        <v>494.09293017298842</v>
      </c>
      <c r="CD48" s="218">
        <v>0.34585840465109585</v>
      </c>
      <c r="CE48" s="163">
        <v>130.63113211117516</v>
      </c>
      <c r="CF48" s="163">
        <v>2.4388544818404685</v>
      </c>
      <c r="CG48" s="163">
        <v>0</v>
      </c>
      <c r="CH48" s="163">
        <v>2.4388544818404685</v>
      </c>
      <c r="CI48" s="163">
        <v>0.1219415815428932</v>
      </c>
      <c r="CJ48" s="163">
        <v>0</v>
      </c>
      <c r="CK48" s="163">
        <v>0.1219415815428932</v>
      </c>
      <c r="CL48" s="163"/>
      <c r="CM48" s="163">
        <v>0</v>
      </c>
      <c r="CN48" s="163"/>
      <c r="CO48" s="163">
        <v>0</v>
      </c>
      <c r="CP48" s="163">
        <v>0</v>
      </c>
      <c r="CQ48" s="163">
        <v>0</v>
      </c>
      <c r="CR48" s="163">
        <v>0</v>
      </c>
      <c r="CS48" s="163">
        <v>0</v>
      </c>
      <c r="CT48" s="163">
        <v>0</v>
      </c>
      <c r="CU48" s="163">
        <v>0</v>
      </c>
      <c r="CV48" s="163">
        <v>9999</v>
      </c>
      <c r="CW48" s="217">
        <v>9999</v>
      </c>
      <c r="CX48" s="60"/>
      <c r="CY48" s="60"/>
      <c r="CZ48" s="60"/>
      <c r="DA48" s="60"/>
      <c r="DB48" s="60"/>
      <c r="DC48" s="60"/>
      <c r="DD48" s="60"/>
      <c r="DE48" s="60"/>
      <c r="DF48" s="60"/>
      <c r="DG48" s="60"/>
      <c r="DH48" s="60"/>
      <c r="DI48" s="60"/>
      <c r="DJ48" s="60"/>
      <c r="DK48" s="60"/>
      <c r="DL48" s="60"/>
      <c r="DM48" s="60"/>
      <c r="DN48" s="60"/>
      <c r="DO48" s="60"/>
      <c r="DP48" s="60"/>
      <c r="DQ48" s="60"/>
      <c r="DR48" s="60"/>
      <c r="DS48" s="60"/>
      <c r="DT48" s="60"/>
      <c r="DU48" s="60"/>
      <c r="DV48" s="60"/>
      <c r="DW48" s="60"/>
      <c r="DX48" s="60"/>
      <c r="DY48" s="60"/>
      <c r="DZ48" s="60"/>
      <c r="EA48" s="60"/>
    </row>
    <row r="49" spans="1:131">
      <c r="A49" s="60" t="s">
        <v>335</v>
      </c>
      <c r="B49" s="60" t="s">
        <v>326</v>
      </c>
      <c r="C49" s="163">
        <v>40</v>
      </c>
      <c r="D49" s="163">
        <v>114.58894767084345</v>
      </c>
      <c r="E49" s="163">
        <v>0</v>
      </c>
      <c r="F49" s="163">
        <v>707.87969999999996</v>
      </c>
      <c r="G49" s="163">
        <v>0</v>
      </c>
      <c r="H49" s="163">
        <v>0</v>
      </c>
      <c r="I49" s="163" t="s">
        <v>633</v>
      </c>
      <c r="J49" s="163"/>
      <c r="K49" s="163"/>
      <c r="L49" s="163">
        <v>123.26393620193372</v>
      </c>
      <c r="M49" s="163">
        <v>2.6003504756367E-2</v>
      </c>
      <c r="N49" s="163">
        <v>2.581582312014026E-2</v>
      </c>
      <c r="O49" s="163">
        <v>0</v>
      </c>
      <c r="P49" s="163">
        <v>0</v>
      </c>
      <c r="Q49" s="163">
        <v>0</v>
      </c>
      <c r="R49" s="163">
        <v>96.925249680863217</v>
      </c>
      <c r="S49" s="163">
        <v>223.97950976521818</v>
      </c>
      <c r="T49" s="163">
        <v>0</v>
      </c>
      <c r="U49" s="163">
        <v>173.188170726907</v>
      </c>
      <c r="V49" s="163" t="s">
        <v>801</v>
      </c>
      <c r="W49" s="163" t="s">
        <v>801</v>
      </c>
      <c r="X49" s="163" t="s">
        <v>801</v>
      </c>
      <c r="Y49" s="163" t="s">
        <v>801</v>
      </c>
      <c r="Z49" s="163">
        <v>0</v>
      </c>
      <c r="AA49" s="163">
        <v>0</v>
      </c>
      <c r="AB49" s="163">
        <v>0</v>
      </c>
      <c r="AC49" s="163">
        <v>0</v>
      </c>
      <c r="AD49" s="163">
        <v>0</v>
      </c>
      <c r="AE49" s="163">
        <v>0</v>
      </c>
      <c r="AF49" s="163">
        <v>0</v>
      </c>
      <c r="AG49" s="163">
        <v>0</v>
      </c>
      <c r="AH49" s="163">
        <v>96.925249680863217</v>
      </c>
      <c r="AI49" s="163">
        <v>223.97950976521818</v>
      </c>
      <c r="AJ49" s="163">
        <v>0</v>
      </c>
      <c r="AK49" s="163">
        <v>173.188170726907</v>
      </c>
      <c r="AL49" s="163">
        <v>494.09293017298842</v>
      </c>
      <c r="AM49" s="163">
        <v>63.878652597261983</v>
      </c>
      <c r="AN49" s="163">
        <v>9.1882990095506205</v>
      </c>
      <c r="AO49" s="163">
        <v>0</v>
      </c>
      <c r="AP49" s="163">
        <v>0</v>
      </c>
      <c r="AQ49" s="163">
        <v>73.066951606812609</v>
      </c>
      <c r="AR49" s="163">
        <v>96.925249680863217</v>
      </c>
      <c r="AS49" s="218">
        <v>0.75384847444183412</v>
      </c>
      <c r="AT49" s="163">
        <v>63.878652597261983</v>
      </c>
      <c r="AU49" s="163">
        <v>10.876209293066706</v>
      </c>
      <c r="AV49" s="163">
        <v>0</v>
      </c>
      <c r="AW49" s="163">
        <v>0</v>
      </c>
      <c r="AX49" s="163">
        <v>74.754861890328684</v>
      </c>
      <c r="AY49" s="163">
        <v>223.97950976521818</v>
      </c>
      <c r="AZ49" s="218">
        <v>0.33375759223997276</v>
      </c>
      <c r="BA49" s="163">
        <v>63.878652597261983</v>
      </c>
      <c r="BB49" s="163">
        <v>20.064508302617327</v>
      </c>
      <c r="BC49" s="163">
        <v>0</v>
      </c>
      <c r="BD49" s="163">
        <v>0</v>
      </c>
      <c r="BE49" s="163">
        <v>83.943160899879302</v>
      </c>
      <c r="BF49" s="163">
        <v>320.90475944608141</v>
      </c>
      <c r="BG49" s="163">
        <v>179.58498592951074</v>
      </c>
      <c r="BH49" s="218">
        <v>0.26158278563638282</v>
      </c>
      <c r="BI49" s="163">
        <v>57.859011664803596</v>
      </c>
      <c r="BJ49" s="163">
        <v>133.7033756513645</v>
      </c>
      <c r="BK49" s="163">
        <v>0</v>
      </c>
      <c r="BL49" s="163">
        <v>103.38375627906731</v>
      </c>
      <c r="BM49" s="163">
        <v>294.94614359523541</v>
      </c>
      <c r="BN49" s="163">
        <v>63.878652597261983</v>
      </c>
      <c r="BO49" s="163">
        <v>0</v>
      </c>
      <c r="BP49" s="163">
        <v>20.064508302617327</v>
      </c>
      <c r="BQ49" s="163">
        <v>0</v>
      </c>
      <c r="BR49" s="163">
        <v>0</v>
      </c>
      <c r="BS49" s="163">
        <v>0</v>
      </c>
      <c r="BT49" s="163">
        <v>0</v>
      </c>
      <c r="BU49" s="163">
        <v>0</v>
      </c>
      <c r="BV49" s="163">
        <v>0</v>
      </c>
      <c r="BW49" s="163">
        <v>0</v>
      </c>
      <c r="BX49" s="163">
        <v>494.09293017298842</v>
      </c>
      <c r="BY49" s="163"/>
      <c r="BZ49" s="163">
        <v>0</v>
      </c>
      <c r="CA49" s="163">
        <v>0</v>
      </c>
      <c r="CB49" s="163">
        <v>83.943160899879317</v>
      </c>
      <c r="CC49" s="163">
        <v>494.09293017298842</v>
      </c>
      <c r="CD49" s="218">
        <v>0.16989346694454768</v>
      </c>
      <c r="CE49" s="163">
        <v>282.96874220857802</v>
      </c>
      <c r="CF49" s="163">
        <v>1.1710160207776132</v>
      </c>
      <c r="CG49" s="163">
        <v>0</v>
      </c>
      <c r="CH49" s="163">
        <v>1.1710160207776132</v>
      </c>
      <c r="CI49" s="163">
        <v>5.8550369695918529E-2</v>
      </c>
      <c r="CJ49" s="163">
        <v>0</v>
      </c>
      <c r="CK49" s="163">
        <v>5.8550369695918529E-2</v>
      </c>
      <c r="CL49" s="163"/>
      <c r="CM49" s="163">
        <v>0</v>
      </c>
      <c r="CN49" s="163"/>
      <c r="CO49" s="163">
        <v>0</v>
      </c>
      <c r="CP49" s="163">
        <v>0</v>
      </c>
      <c r="CQ49" s="163">
        <v>0</v>
      </c>
      <c r="CR49" s="163">
        <v>0</v>
      </c>
      <c r="CS49" s="163">
        <v>0</v>
      </c>
      <c r="CT49" s="163">
        <v>0</v>
      </c>
      <c r="CU49" s="163">
        <v>0</v>
      </c>
      <c r="CV49" s="163">
        <v>9999</v>
      </c>
      <c r="CW49" s="217">
        <v>9999</v>
      </c>
      <c r="CX49" s="60"/>
      <c r="CY49" s="60"/>
      <c r="CZ49" s="60"/>
      <c r="DA49" s="60"/>
      <c r="DB49" s="60"/>
      <c r="DC49" s="60"/>
      <c r="DD49" s="60"/>
      <c r="DE49" s="60"/>
      <c r="DF49" s="60"/>
      <c r="DG49" s="60"/>
      <c r="DH49" s="60"/>
      <c r="DI49" s="60"/>
      <c r="DJ49" s="60"/>
      <c r="DK49" s="60"/>
      <c r="DL49" s="60"/>
      <c r="DM49" s="60"/>
      <c r="DN49" s="60"/>
      <c r="DO49" s="60"/>
      <c r="DP49" s="60"/>
      <c r="DQ49" s="60"/>
      <c r="DR49" s="60"/>
      <c r="DS49" s="60"/>
      <c r="DT49" s="60"/>
      <c r="DU49" s="60"/>
      <c r="DV49" s="60"/>
      <c r="DW49" s="60"/>
      <c r="DX49" s="60"/>
      <c r="DY49" s="60"/>
      <c r="DZ49" s="60"/>
      <c r="EA49" s="60"/>
    </row>
    <row r="50" spans="1:131">
      <c r="A50" s="60" t="s">
        <v>336</v>
      </c>
      <c r="B50" s="60" t="s">
        <v>328</v>
      </c>
      <c r="C50" s="163">
        <v>40</v>
      </c>
      <c r="D50" s="163">
        <v>238.83152818662796</v>
      </c>
      <c r="E50" s="163">
        <v>0</v>
      </c>
      <c r="F50" s="163">
        <v>639.71</v>
      </c>
      <c r="G50" s="163">
        <v>0</v>
      </c>
      <c r="H50" s="163">
        <v>0</v>
      </c>
      <c r="I50" s="163" t="s">
        <v>632</v>
      </c>
      <c r="J50" s="163"/>
      <c r="K50" s="163"/>
      <c r="L50" s="163">
        <v>256.71911903766988</v>
      </c>
      <c r="M50" s="163">
        <v>4.968121669622351E-2</v>
      </c>
      <c r="N50" s="163">
        <v>4.9322639953332748E-2</v>
      </c>
      <c r="O50" s="163">
        <v>0</v>
      </c>
      <c r="P50" s="163">
        <v>0</v>
      </c>
      <c r="Q50" s="163">
        <v>0</v>
      </c>
      <c r="R50" s="163">
        <v>87.591226974505716</v>
      </c>
      <c r="S50" s="163">
        <v>202.41000298766542</v>
      </c>
      <c r="T50" s="163">
        <v>0</v>
      </c>
      <c r="U50" s="163">
        <v>156.50993339081438</v>
      </c>
      <c r="V50" s="163" t="s">
        <v>801</v>
      </c>
      <c r="W50" s="163" t="s">
        <v>801</v>
      </c>
      <c r="X50" s="163" t="s">
        <v>801</v>
      </c>
      <c r="Y50" s="163" t="s">
        <v>801</v>
      </c>
      <c r="Z50" s="163">
        <v>0</v>
      </c>
      <c r="AA50" s="163">
        <v>0</v>
      </c>
      <c r="AB50" s="163">
        <v>0</v>
      </c>
      <c r="AC50" s="163">
        <v>0</v>
      </c>
      <c r="AD50" s="163">
        <v>0</v>
      </c>
      <c r="AE50" s="163">
        <v>0</v>
      </c>
      <c r="AF50" s="163">
        <v>0</v>
      </c>
      <c r="AG50" s="163">
        <v>0</v>
      </c>
      <c r="AH50" s="163">
        <v>87.591226974505716</v>
      </c>
      <c r="AI50" s="163">
        <v>202.41000298766542</v>
      </c>
      <c r="AJ50" s="163">
        <v>0</v>
      </c>
      <c r="AK50" s="163">
        <v>156.50993339081438</v>
      </c>
      <c r="AL50" s="163">
        <v>446.51116335298548</v>
      </c>
      <c r="AM50" s="163">
        <v>132.55177595998481</v>
      </c>
      <c r="AN50" s="163">
        <v>17.554782651035108</v>
      </c>
      <c r="AO50" s="163">
        <v>0</v>
      </c>
      <c r="AP50" s="163">
        <v>0</v>
      </c>
      <c r="AQ50" s="163">
        <v>150.10655861101992</v>
      </c>
      <c r="AR50" s="163">
        <v>87.591226974505716</v>
      </c>
      <c r="AS50" s="217">
        <v>1.7137168161225771</v>
      </c>
      <c r="AT50" s="163">
        <v>132.55177595998481</v>
      </c>
      <c r="AU50" s="163">
        <v>20.779633967995142</v>
      </c>
      <c r="AV50" s="163">
        <v>0</v>
      </c>
      <c r="AW50" s="163">
        <v>0</v>
      </c>
      <c r="AX50" s="163">
        <v>153.33140992797996</v>
      </c>
      <c r="AY50" s="163">
        <v>202.41000298766542</v>
      </c>
      <c r="AZ50" s="218">
        <v>0.75752881608980438</v>
      </c>
      <c r="BA50" s="163">
        <v>132.55177595998481</v>
      </c>
      <c r="BB50" s="163">
        <v>38.33441661903025</v>
      </c>
      <c r="BC50" s="163">
        <v>0</v>
      </c>
      <c r="BD50" s="163">
        <v>0</v>
      </c>
      <c r="BE50" s="163">
        <v>170.88619257901507</v>
      </c>
      <c r="BF50" s="163">
        <v>290.00122996217112</v>
      </c>
      <c r="BG50" s="163">
        <v>72.133640434857384</v>
      </c>
      <c r="BH50" s="218">
        <v>0.58926023383178794</v>
      </c>
      <c r="BI50" s="163">
        <v>25.105710156595741</v>
      </c>
      <c r="BJ50" s="163">
        <v>58.015477614933616</v>
      </c>
      <c r="BK50" s="163">
        <v>0</v>
      </c>
      <c r="BL50" s="163">
        <v>44.859435814063325</v>
      </c>
      <c r="BM50" s="163">
        <v>127.98062358559267</v>
      </c>
      <c r="BN50" s="163">
        <v>132.55177595998481</v>
      </c>
      <c r="BO50" s="163">
        <v>0</v>
      </c>
      <c r="BP50" s="163">
        <v>38.33441661903025</v>
      </c>
      <c r="BQ50" s="163">
        <v>0</v>
      </c>
      <c r="BR50" s="163">
        <v>0</v>
      </c>
      <c r="BS50" s="163">
        <v>0</v>
      </c>
      <c r="BT50" s="163">
        <v>0</v>
      </c>
      <c r="BU50" s="163">
        <v>0</v>
      </c>
      <c r="BV50" s="163">
        <v>0</v>
      </c>
      <c r="BW50" s="163">
        <v>0</v>
      </c>
      <c r="BX50" s="163">
        <v>446.51116335298548</v>
      </c>
      <c r="BY50" s="163"/>
      <c r="BZ50" s="163">
        <v>0</v>
      </c>
      <c r="CA50" s="163">
        <v>0</v>
      </c>
      <c r="CB50" s="163">
        <v>170.88619257901507</v>
      </c>
      <c r="CC50" s="163">
        <v>446.51116335298548</v>
      </c>
      <c r="CD50" s="218">
        <v>0.38271426697549887</v>
      </c>
      <c r="CE50" s="163">
        <v>116.9930762489207</v>
      </c>
      <c r="CF50" s="163">
        <v>2.4388544818404685</v>
      </c>
      <c r="CG50" s="163">
        <v>0</v>
      </c>
      <c r="CH50" s="163">
        <v>2.4388544818404685</v>
      </c>
      <c r="CI50" s="163">
        <v>0.1219415815428932</v>
      </c>
      <c r="CJ50" s="163">
        <v>0</v>
      </c>
      <c r="CK50" s="163">
        <v>0.1219415815428932</v>
      </c>
      <c r="CL50" s="163"/>
      <c r="CM50" s="163">
        <v>0</v>
      </c>
      <c r="CN50" s="163"/>
      <c r="CO50" s="163">
        <v>0</v>
      </c>
      <c r="CP50" s="163">
        <v>0</v>
      </c>
      <c r="CQ50" s="163">
        <v>0</v>
      </c>
      <c r="CR50" s="163">
        <v>0</v>
      </c>
      <c r="CS50" s="163">
        <v>0</v>
      </c>
      <c r="CT50" s="163">
        <v>0</v>
      </c>
      <c r="CU50" s="163">
        <v>0</v>
      </c>
      <c r="CV50" s="163">
        <v>9999</v>
      </c>
      <c r="CW50" s="217">
        <v>9999</v>
      </c>
      <c r="CX50" s="60"/>
      <c r="CY50" s="60"/>
      <c r="CZ50" s="60"/>
      <c r="DA50" s="60"/>
      <c r="DB50" s="60"/>
      <c r="DC50" s="60"/>
      <c r="DD50" s="60"/>
      <c r="DE50" s="60"/>
      <c r="DF50" s="60"/>
      <c r="DG50" s="60"/>
      <c r="DH50" s="60"/>
      <c r="DI50" s="60"/>
      <c r="DJ50" s="60"/>
      <c r="DK50" s="60"/>
      <c r="DL50" s="60"/>
      <c r="DM50" s="60"/>
      <c r="DN50" s="60"/>
      <c r="DO50" s="60"/>
      <c r="DP50" s="60"/>
      <c r="DQ50" s="60"/>
      <c r="DR50" s="60"/>
      <c r="DS50" s="60"/>
      <c r="DT50" s="60"/>
      <c r="DU50" s="60"/>
      <c r="DV50" s="60"/>
      <c r="DW50" s="60"/>
      <c r="DX50" s="60"/>
      <c r="DY50" s="60"/>
      <c r="DZ50" s="60"/>
      <c r="EA50" s="60"/>
    </row>
    <row r="51" spans="1:131">
      <c r="A51" s="60" t="s">
        <v>337</v>
      </c>
      <c r="B51" s="60" t="s">
        <v>329</v>
      </c>
      <c r="C51" s="163">
        <v>40</v>
      </c>
      <c r="D51" s="163">
        <v>114.58894767084345</v>
      </c>
      <c r="E51" s="163">
        <v>0</v>
      </c>
      <c r="F51" s="163">
        <v>639.71</v>
      </c>
      <c r="G51" s="163">
        <v>0</v>
      </c>
      <c r="H51" s="163">
        <v>0</v>
      </c>
      <c r="I51" s="163" t="s">
        <v>633</v>
      </c>
      <c r="J51" s="163"/>
      <c r="K51" s="163"/>
      <c r="L51" s="163">
        <v>123.26393620193372</v>
      </c>
      <c r="M51" s="163">
        <v>2.6003504756367E-2</v>
      </c>
      <c r="N51" s="163">
        <v>2.581582312014026E-2</v>
      </c>
      <c r="O51" s="163">
        <v>0</v>
      </c>
      <c r="P51" s="163">
        <v>0</v>
      </c>
      <c r="Q51" s="163">
        <v>0</v>
      </c>
      <c r="R51" s="163">
        <v>87.591226974505716</v>
      </c>
      <c r="S51" s="163">
        <v>202.41000298766542</v>
      </c>
      <c r="T51" s="163">
        <v>0</v>
      </c>
      <c r="U51" s="163">
        <v>156.50993339081438</v>
      </c>
      <c r="V51" s="163" t="s">
        <v>801</v>
      </c>
      <c r="W51" s="163" t="s">
        <v>801</v>
      </c>
      <c r="X51" s="163" t="s">
        <v>801</v>
      </c>
      <c r="Y51" s="163" t="s">
        <v>801</v>
      </c>
      <c r="Z51" s="163">
        <v>0</v>
      </c>
      <c r="AA51" s="163">
        <v>0</v>
      </c>
      <c r="AB51" s="163">
        <v>0</v>
      </c>
      <c r="AC51" s="163">
        <v>0</v>
      </c>
      <c r="AD51" s="163">
        <v>0</v>
      </c>
      <c r="AE51" s="163">
        <v>0</v>
      </c>
      <c r="AF51" s="163">
        <v>0</v>
      </c>
      <c r="AG51" s="163">
        <v>0</v>
      </c>
      <c r="AH51" s="163">
        <v>87.591226974505716</v>
      </c>
      <c r="AI51" s="163">
        <v>202.41000298766542</v>
      </c>
      <c r="AJ51" s="163">
        <v>0</v>
      </c>
      <c r="AK51" s="163">
        <v>156.50993339081438</v>
      </c>
      <c r="AL51" s="163">
        <v>446.51116335298548</v>
      </c>
      <c r="AM51" s="163">
        <v>63.878652597261983</v>
      </c>
      <c r="AN51" s="163">
        <v>9.1882990095506205</v>
      </c>
      <c r="AO51" s="163">
        <v>0</v>
      </c>
      <c r="AP51" s="163">
        <v>0</v>
      </c>
      <c r="AQ51" s="163">
        <v>73.066951606812609</v>
      </c>
      <c r="AR51" s="163">
        <v>87.591226974505716</v>
      </c>
      <c r="AS51" s="218">
        <v>0.83418116323543978</v>
      </c>
      <c r="AT51" s="163">
        <v>63.878652597261983</v>
      </c>
      <c r="AU51" s="163">
        <v>10.876209293066706</v>
      </c>
      <c r="AV51" s="163">
        <v>0</v>
      </c>
      <c r="AW51" s="163">
        <v>0</v>
      </c>
      <c r="AX51" s="163">
        <v>74.754861890328684</v>
      </c>
      <c r="AY51" s="163">
        <v>202.41000298766542</v>
      </c>
      <c r="AZ51" s="218">
        <v>0.36932395033304821</v>
      </c>
      <c r="BA51" s="163">
        <v>63.878652597261983</v>
      </c>
      <c r="BB51" s="163">
        <v>20.064508302617327</v>
      </c>
      <c r="BC51" s="163">
        <v>0</v>
      </c>
      <c r="BD51" s="163">
        <v>0</v>
      </c>
      <c r="BE51" s="163">
        <v>83.943160899879302</v>
      </c>
      <c r="BF51" s="163">
        <v>290.00122996217112</v>
      </c>
      <c r="BG51" s="163">
        <v>161.1372885670535</v>
      </c>
      <c r="BH51" s="218">
        <v>0.2894579478536321</v>
      </c>
      <c r="BI51" s="163">
        <v>52.287116514418358</v>
      </c>
      <c r="BJ51" s="163">
        <v>120.82757343929252</v>
      </c>
      <c r="BK51" s="163">
        <v>0</v>
      </c>
      <c r="BL51" s="163">
        <v>93.427771313801117</v>
      </c>
      <c r="BM51" s="163">
        <v>266.54246126751195</v>
      </c>
      <c r="BN51" s="163">
        <v>63.878652597261983</v>
      </c>
      <c r="BO51" s="163">
        <v>0</v>
      </c>
      <c r="BP51" s="163">
        <v>20.064508302617327</v>
      </c>
      <c r="BQ51" s="163">
        <v>0</v>
      </c>
      <c r="BR51" s="163">
        <v>0</v>
      </c>
      <c r="BS51" s="163">
        <v>0</v>
      </c>
      <c r="BT51" s="163">
        <v>0</v>
      </c>
      <c r="BU51" s="163">
        <v>0</v>
      </c>
      <c r="BV51" s="163">
        <v>0</v>
      </c>
      <c r="BW51" s="163">
        <v>0</v>
      </c>
      <c r="BX51" s="163">
        <v>446.51116335298548</v>
      </c>
      <c r="BY51" s="163"/>
      <c r="BZ51" s="163">
        <v>0</v>
      </c>
      <c r="CA51" s="163">
        <v>0</v>
      </c>
      <c r="CB51" s="163">
        <v>83.943160899879317</v>
      </c>
      <c r="CC51" s="163">
        <v>446.51116335298548</v>
      </c>
      <c r="CD51" s="218">
        <v>0.18799789969308961</v>
      </c>
      <c r="CE51" s="163">
        <v>254.56505988085459</v>
      </c>
      <c r="CF51" s="163">
        <v>1.1710160207776132</v>
      </c>
      <c r="CG51" s="163">
        <v>0</v>
      </c>
      <c r="CH51" s="163">
        <v>1.1710160207776132</v>
      </c>
      <c r="CI51" s="163">
        <v>5.8550369695918529E-2</v>
      </c>
      <c r="CJ51" s="163">
        <v>0</v>
      </c>
      <c r="CK51" s="163">
        <v>5.8550369695918529E-2</v>
      </c>
      <c r="CL51" s="163"/>
      <c r="CM51" s="163">
        <v>0</v>
      </c>
      <c r="CN51" s="163"/>
      <c r="CO51" s="163">
        <v>0</v>
      </c>
      <c r="CP51" s="163">
        <v>0</v>
      </c>
      <c r="CQ51" s="163">
        <v>0</v>
      </c>
      <c r="CR51" s="163">
        <v>0</v>
      </c>
      <c r="CS51" s="163">
        <v>0</v>
      </c>
      <c r="CT51" s="163">
        <v>0</v>
      </c>
      <c r="CU51" s="163">
        <v>0</v>
      </c>
      <c r="CV51" s="163">
        <v>9999</v>
      </c>
      <c r="CW51" s="217">
        <v>9999</v>
      </c>
      <c r="CX51" s="60"/>
      <c r="CY51" s="60"/>
      <c r="CZ51" s="60"/>
      <c r="DA51" s="60"/>
      <c r="DB51" s="60"/>
      <c r="DC51" s="60"/>
      <c r="DD51" s="60"/>
      <c r="DE51" s="60"/>
      <c r="DF51" s="60"/>
      <c r="DG51" s="60"/>
      <c r="DH51" s="60"/>
      <c r="DI51" s="60"/>
      <c r="DJ51" s="60"/>
      <c r="DK51" s="60"/>
      <c r="DL51" s="60"/>
      <c r="DM51" s="60"/>
      <c r="DN51" s="60"/>
      <c r="DO51" s="60"/>
      <c r="DP51" s="60"/>
      <c r="DQ51" s="60"/>
      <c r="DR51" s="60"/>
      <c r="DS51" s="60"/>
      <c r="DT51" s="60"/>
      <c r="DU51" s="60"/>
      <c r="DV51" s="60"/>
      <c r="DW51" s="60"/>
      <c r="DX51" s="60"/>
      <c r="DY51" s="60"/>
      <c r="DZ51" s="60"/>
      <c r="EA51" s="60"/>
    </row>
    <row r="52" spans="1:131">
      <c r="A52" s="60"/>
      <c r="B52" s="60"/>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3"/>
      <c r="BR52" s="163"/>
      <c r="BS52" s="163"/>
      <c r="BT52" s="163"/>
      <c r="BU52" s="163"/>
      <c r="BV52" s="163"/>
      <c r="BW52" s="163"/>
      <c r="BX52" s="163"/>
      <c r="BY52" s="163"/>
      <c r="BZ52" s="163"/>
      <c r="CA52" s="163"/>
      <c r="CB52" s="163"/>
      <c r="CC52" s="163"/>
      <c r="CD52" s="163"/>
      <c r="CE52" s="163"/>
      <c r="CF52" s="163"/>
      <c r="CG52" s="163"/>
      <c r="CH52" s="163"/>
      <c r="CI52" s="163"/>
      <c r="CJ52" s="163"/>
      <c r="CK52" s="163"/>
      <c r="CL52" s="163"/>
      <c r="CM52" s="163"/>
      <c r="CN52" s="163"/>
      <c r="CO52" s="163"/>
      <c r="CP52" s="163"/>
      <c r="CQ52" s="163"/>
      <c r="CR52" s="163"/>
      <c r="CS52" s="163"/>
      <c r="CT52" s="163"/>
      <c r="CU52" s="163"/>
      <c r="CV52" s="163"/>
      <c r="CW52" s="163"/>
      <c r="CX52" s="60"/>
      <c r="CY52" s="60"/>
      <c r="CZ52" s="60"/>
      <c r="DA52" s="60"/>
      <c r="DB52" s="60"/>
      <c r="DC52" s="60"/>
      <c r="DD52" s="60"/>
      <c r="DE52" s="60"/>
      <c r="DF52" s="60"/>
      <c r="DG52" s="60"/>
      <c r="DH52" s="60"/>
      <c r="DI52" s="60"/>
      <c r="DJ52" s="60"/>
      <c r="DK52" s="60"/>
      <c r="DL52" s="60"/>
      <c r="DM52" s="60"/>
      <c r="DN52" s="60"/>
      <c r="DO52" s="60"/>
      <c r="DP52" s="60"/>
      <c r="DQ52" s="60"/>
      <c r="DR52" s="60"/>
      <c r="DS52" s="60"/>
      <c r="DT52" s="60"/>
      <c r="DU52" s="60"/>
      <c r="DV52" s="60"/>
      <c r="DW52" s="60"/>
      <c r="DX52" s="60"/>
      <c r="DY52" s="60"/>
      <c r="DZ52" s="60"/>
      <c r="EA52" s="60"/>
    </row>
    <row r="53" spans="1:131">
      <c r="A53" s="60"/>
      <c r="B53" s="60"/>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3"/>
      <c r="BR53" s="163"/>
      <c r="BS53" s="163"/>
      <c r="BT53" s="163"/>
      <c r="BU53" s="163"/>
      <c r="BV53" s="163"/>
      <c r="BW53" s="163"/>
      <c r="BX53" s="163"/>
      <c r="BY53" s="163"/>
      <c r="BZ53" s="163"/>
      <c r="CA53" s="163"/>
      <c r="CB53" s="163"/>
      <c r="CC53" s="163"/>
      <c r="CD53" s="163"/>
      <c r="CE53" s="163"/>
      <c r="CF53" s="163"/>
      <c r="CG53" s="163"/>
      <c r="CH53" s="163"/>
      <c r="CI53" s="163"/>
      <c r="CJ53" s="163"/>
      <c r="CK53" s="163"/>
      <c r="CL53" s="163"/>
      <c r="CM53" s="163"/>
      <c r="CN53" s="163"/>
      <c r="CO53" s="163"/>
      <c r="CP53" s="163"/>
      <c r="CQ53" s="163"/>
      <c r="CR53" s="163"/>
      <c r="CS53" s="163"/>
      <c r="CT53" s="163"/>
      <c r="CU53" s="163"/>
      <c r="CV53" s="163"/>
      <c r="CW53" s="163"/>
      <c r="CX53" s="60"/>
      <c r="CY53" s="60"/>
      <c r="CZ53" s="60"/>
      <c r="DA53" s="60"/>
      <c r="DB53" s="60"/>
      <c r="DC53" s="60"/>
      <c r="DD53" s="60"/>
      <c r="DE53" s="60"/>
      <c r="DF53" s="60"/>
      <c r="DG53" s="60"/>
      <c r="DH53" s="60"/>
      <c r="DI53" s="60"/>
      <c r="DJ53" s="60"/>
      <c r="DK53" s="60"/>
      <c r="DL53" s="60"/>
      <c r="DM53" s="60"/>
      <c r="DN53" s="60"/>
      <c r="DO53" s="60"/>
      <c r="DP53" s="60"/>
      <c r="DQ53" s="60"/>
      <c r="DR53" s="60"/>
      <c r="DS53" s="60"/>
      <c r="DT53" s="60"/>
      <c r="DU53" s="60"/>
      <c r="DV53" s="60"/>
      <c r="DW53" s="60"/>
      <c r="DX53" s="60"/>
      <c r="DY53" s="60"/>
      <c r="DZ53" s="60"/>
      <c r="EA53" s="60"/>
    </row>
    <row r="54" spans="1:131" ht="13.5" thickBot="1">
      <c r="A54" s="161" t="s">
        <v>802</v>
      </c>
      <c r="B54" s="162"/>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3"/>
      <c r="BR54" s="163"/>
      <c r="BS54" s="163"/>
      <c r="BT54" s="163"/>
      <c r="BU54" s="163"/>
      <c r="BV54" s="163"/>
      <c r="BW54" s="163"/>
      <c r="BX54" s="163"/>
      <c r="BY54" s="163"/>
      <c r="BZ54" s="163"/>
      <c r="CA54" s="163"/>
      <c r="CB54" s="163"/>
      <c r="CC54" s="163"/>
      <c r="CD54" s="163"/>
      <c r="CE54" s="163"/>
      <c r="CF54" s="163"/>
      <c r="CG54" s="163"/>
      <c r="CH54" s="163"/>
      <c r="CI54" s="163"/>
      <c r="CJ54" s="163"/>
      <c r="CK54" s="163"/>
      <c r="CL54" s="163"/>
      <c r="CM54" s="163"/>
      <c r="CN54" s="163"/>
      <c r="CO54" s="163"/>
      <c r="CP54" s="163"/>
      <c r="CQ54" s="163"/>
      <c r="CR54" s="163"/>
      <c r="CS54" s="163"/>
      <c r="CT54" s="163"/>
      <c r="CU54" s="163"/>
      <c r="CV54" s="163"/>
      <c r="CW54" s="163"/>
      <c r="CX54" s="60"/>
      <c r="CY54" s="60"/>
      <c r="CZ54" s="60"/>
      <c r="DA54" s="60"/>
      <c r="DB54" s="60"/>
      <c r="DC54" s="60"/>
      <c r="DD54" s="60"/>
      <c r="DE54" s="60"/>
      <c r="DF54" s="60"/>
      <c r="DG54" s="60"/>
      <c r="DH54" s="60"/>
      <c r="DI54" s="60"/>
      <c r="DJ54" s="60"/>
      <c r="DK54" s="60"/>
      <c r="DL54" s="60"/>
      <c r="DM54" s="60"/>
      <c r="DN54" s="60"/>
      <c r="DO54" s="60"/>
      <c r="DP54" s="60"/>
      <c r="DQ54" s="60"/>
      <c r="DR54" s="60"/>
      <c r="DS54" s="60"/>
      <c r="DT54" s="60"/>
      <c r="DU54" s="60"/>
      <c r="DV54" s="60"/>
      <c r="DW54" s="60"/>
      <c r="DX54" s="60"/>
      <c r="DY54" s="60"/>
      <c r="DZ54" s="60"/>
      <c r="EA54" s="60"/>
    </row>
    <row r="55" spans="1:131" ht="26.25" thickBot="1">
      <c r="A55" s="210" t="s">
        <v>706</v>
      </c>
      <c r="B55" s="211"/>
      <c r="C55" s="212" t="s">
        <v>707</v>
      </c>
      <c r="D55" s="213"/>
      <c r="E55" s="213"/>
      <c r="F55" s="213"/>
      <c r="G55" s="213"/>
      <c r="H55" s="213"/>
      <c r="I55" s="213"/>
      <c r="J55" s="213"/>
      <c r="K55" s="214"/>
      <c r="L55" s="212" t="s">
        <v>47</v>
      </c>
      <c r="M55" s="213"/>
      <c r="N55" s="213"/>
      <c r="O55" s="213"/>
      <c r="P55" s="213"/>
      <c r="Q55" s="214"/>
      <c r="R55" s="212" t="s">
        <v>708</v>
      </c>
      <c r="S55" s="213"/>
      <c r="T55" s="213"/>
      <c r="U55" s="214"/>
      <c r="V55" s="212" t="s">
        <v>709</v>
      </c>
      <c r="W55" s="213"/>
      <c r="X55" s="213"/>
      <c r="Y55" s="214"/>
      <c r="Z55" s="212" t="s">
        <v>710</v>
      </c>
      <c r="AA55" s="213"/>
      <c r="AB55" s="213"/>
      <c r="AC55" s="214"/>
      <c r="AD55" s="212" t="s">
        <v>711</v>
      </c>
      <c r="AE55" s="213"/>
      <c r="AF55" s="213"/>
      <c r="AG55" s="214"/>
      <c r="AH55" s="212" t="s">
        <v>712</v>
      </c>
      <c r="AI55" s="213"/>
      <c r="AJ55" s="213"/>
      <c r="AK55" s="213"/>
      <c r="AL55" s="214"/>
      <c r="AM55" s="212" t="s">
        <v>713</v>
      </c>
      <c r="AN55" s="213"/>
      <c r="AO55" s="213"/>
      <c r="AP55" s="213"/>
      <c r="AQ55" s="213"/>
      <c r="AR55" s="213"/>
      <c r="AS55" s="214"/>
      <c r="AT55" s="212" t="s">
        <v>714</v>
      </c>
      <c r="AU55" s="213"/>
      <c r="AV55" s="213"/>
      <c r="AW55" s="213"/>
      <c r="AX55" s="213"/>
      <c r="AY55" s="213"/>
      <c r="AZ55" s="214"/>
      <c r="BA55" s="212" t="s">
        <v>715</v>
      </c>
      <c r="BB55" s="213"/>
      <c r="BC55" s="213"/>
      <c r="BD55" s="213"/>
      <c r="BE55" s="213"/>
      <c r="BF55" s="214"/>
      <c r="BG55" s="212" t="s">
        <v>716</v>
      </c>
      <c r="BH55" s="214"/>
      <c r="BI55" s="212" t="s">
        <v>717</v>
      </c>
      <c r="BJ55" s="213"/>
      <c r="BK55" s="213"/>
      <c r="BL55" s="213"/>
      <c r="BM55" s="214"/>
      <c r="BN55" s="212" t="s">
        <v>718</v>
      </c>
      <c r="BO55" s="213"/>
      <c r="BP55" s="213"/>
      <c r="BQ55" s="213"/>
      <c r="BR55" s="213"/>
      <c r="BS55" s="213"/>
      <c r="BT55" s="213"/>
      <c r="BU55" s="213"/>
      <c r="BV55" s="213"/>
      <c r="BW55" s="213"/>
      <c r="BX55" s="213"/>
      <c r="BY55" s="213"/>
      <c r="BZ55" s="213"/>
      <c r="CA55" s="213"/>
      <c r="CB55" s="213"/>
      <c r="CC55" s="214"/>
      <c r="CD55" s="212" t="s">
        <v>719</v>
      </c>
      <c r="CE55" s="214"/>
      <c r="CF55" s="212" t="s">
        <v>720</v>
      </c>
      <c r="CG55" s="213"/>
      <c r="CH55" s="213"/>
      <c r="CI55" s="213"/>
      <c r="CJ55" s="213"/>
      <c r="CK55" s="214"/>
      <c r="CL55" s="215"/>
      <c r="CM55" s="212" t="s">
        <v>193</v>
      </c>
      <c r="CN55" s="213"/>
      <c r="CO55" s="213"/>
      <c r="CP55" s="214"/>
      <c r="CQ55" s="212" t="s">
        <v>721</v>
      </c>
      <c r="CR55" s="213"/>
      <c r="CS55" s="213"/>
      <c r="CT55" s="213"/>
      <c r="CU55" s="214"/>
      <c r="CV55" s="212" t="s">
        <v>722</v>
      </c>
      <c r="CW55" s="214"/>
      <c r="CX55" s="60"/>
      <c r="CY55" s="60"/>
      <c r="CZ55" s="60"/>
      <c r="DA55" s="60"/>
      <c r="DB55" s="60"/>
      <c r="DC55" s="60"/>
      <c r="DD55" s="60"/>
      <c r="DE55" s="60"/>
      <c r="DF55" s="60"/>
      <c r="DG55" s="60"/>
      <c r="DH55" s="60"/>
      <c r="DI55" s="60"/>
      <c r="DJ55" s="60"/>
      <c r="DK55" s="60"/>
      <c r="DL55" s="60"/>
      <c r="DM55" s="60"/>
      <c r="DN55" s="60"/>
      <c r="DO55" s="60"/>
      <c r="DP55" s="60"/>
      <c r="DQ55" s="60"/>
      <c r="DR55" s="60"/>
      <c r="DS55" s="60"/>
      <c r="DT55" s="60"/>
      <c r="DU55" s="60"/>
      <c r="DV55" s="60"/>
      <c r="DW55" s="60"/>
      <c r="DX55" s="60"/>
      <c r="DY55" s="60"/>
      <c r="DZ55" s="60"/>
      <c r="EA55" s="60"/>
    </row>
    <row r="56" spans="1:131" ht="204">
      <c r="A56" s="170" t="s">
        <v>301</v>
      </c>
      <c r="B56" s="171" t="s">
        <v>302</v>
      </c>
      <c r="C56" s="172" t="s">
        <v>608</v>
      </c>
      <c r="D56" s="172" t="s">
        <v>723</v>
      </c>
      <c r="E56" s="172" t="s">
        <v>724</v>
      </c>
      <c r="F56" s="172" t="s">
        <v>725</v>
      </c>
      <c r="G56" s="172" t="s">
        <v>726</v>
      </c>
      <c r="H56" s="172" t="s">
        <v>727</v>
      </c>
      <c r="I56" s="172" t="s">
        <v>728</v>
      </c>
      <c r="J56" s="172" t="s">
        <v>729</v>
      </c>
      <c r="K56" s="172" t="s">
        <v>730</v>
      </c>
      <c r="L56" s="172" t="s">
        <v>731</v>
      </c>
      <c r="M56" s="172" t="s">
        <v>732</v>
      </c>
      <c r="N56" s="172" t="s">
        <v>733</v>
      </c>
      <c r="O56" s="172" t="s">
        <v>734</v>
      </c>
      <c r="P56" s="172" t="s">
        <v>735</v>
      </c>
      <c r="Q56" s="172" t="s">
        <v>736</v>
      </c>
      <c r="R56" s="172" t="s">
        <v>737</v>
      </c>
      <c r="S56" s="172" t="s">
        <v>738</v>
      </c>
      <c r="T56" s="172" t="s">
        <v>739</v>
      </c>
      <c r="U56" s="172" t="s">
        <v>647</v>
      </c>
      <c r="V56" s="172" t="s">
        <v>737</v>
      </c>
      <c r="W56" s="172" t="s">
        <v>738</v>
      </c>
      <c r="X56" s="172" t="s">
        <v>739</v>
      </c>
      <c r="Y56" s="172" t="s">
        <v>647</v>
      </c>
      <c r="Z56" s="172" t="s">
        <v>737</v>
      </c>
      <c r="AA56" s="172" t="s">
        <v>738</v>
      </c>
      <c r="AB56" s="172" t="s">
        <v>739</v>
      </c>
      <c r="AC56" s="172" t="s">
        <v>647</v>
      </c>
      <c r="AD56" s="172" t="s">
        <v>737</v>
      </c>
      <c r="AE56" s="172" t="s">
        <v>738</v>
      </c>
      <c r="AF56" s="172" t="s">
        <v>739</v>
      </c>
      <c r="AG56" s="172" t="s">
        <v>647</v>
      </c>
      <c r="AH56" s="172" t="s">
        <v>737</v>
      </c>
      <c r="AI56" s="172" t="s">
        <v>738</v>
      </c>
      <c r="AJ56" s="172" t="s">
        <v>739</v>
      </c>
      <c r="AK56" s="172" t="s">
        <v>647</v>
      </c>
      <c r="AL56" s="172" t="s">
        <v>740</v>
      </c>
      <c r="AM56" s="172" t="s">
        <v>741</v>
      </c>
      <c r="AN56" s="172" t="s">
        <v>742</v>
      </c>
      <c r="AO56" s="172" t="s">
        <v>743</v>
      </c>
      <c r="AP56" s="172" t="s">
        <v>744</v>
      </c>
      <c r="AQ56" s="172" t="s">
        <v>745</v>
      </c>
      <c r="AR56" s="172" t="s">
        <v>746</v>
      </c>
      <c r="AS56" s="172" t="s">
        <v>747</v>
      </c>
      <c r="AT56" s="172" t="s">
        <v>748</v>
      </c>
      <c r="AU56" s="172" t="s">
        <v>749</v>
      </c>
      <c r="AV56" s="172" t="s">
        <v>750</v>
      </c>
      <c r="AW56" s="172" t="s">
        <v>751</v>
      </c>
      <c r="AX56" s="172" t="s">
        <v>752</v>
      </c>
      <c r="AY56" s="172" t="s">
        <v>753</v>
      </c>
      <c r="AZ56" s="172" t="s">
        <v>754</v>
      </c>
      <c r="BA56" s="172" t="s">
        <v>755</v>
      </c>
      <c r="BB56" s="172" t="s">
        <v>756</v>
      </c>
      <c r="BC56" s="172" t="s">
        <v>757</v>
      </c>
      <c r="BD56" s="172" t="s">
        <v>758</v>
      </c>
      <c r="BE56" s="172" t="s">
        <v>759</v>
      </c>
      <c r="BF56" s="172" t="s">
        <v>760</v>
      </c>
      <c r="BG56" s="172" t="s">
        <v>761</v>
      </c>
      <c r="BH56" s="172" t="s">
        <v>762</v>
      </c>
      <c r="BI56" s="172" t="s">
        <v>763</v>
      </c>
      <c r="BJ56" s="172" t="s">
        <v>764</v>
      </c>
      <c r="BK56" s="172" t="s">
        <v>765</v>
      </c>
      <c r="BL56" s="172" t="s">
        <v>766</v>
      </c>
      <c r="BM56" s="172" t="s">
        <v>767</v>
      </c>
      <c r="BN56" s="172" t="s">
        <v>768</v>
      </c>
      <c r="BO56" s="172" t="s">
        <v>769</v>
      </c>
      <c r="BP56" s="172" t="s">
        <v>770</v>
      </c>
      <c r="BQ56" s="172" t="s">
        <v>771</v>
      </c>
      <c r="BR56" s="172" t="s">
        <v>772</v>
      </c>
      <c r="BS56" s="172" t="s">
        <v>773</v>
      </c>
      <c r="BT56" s="172" t="s">
        <v>774</v>
      </c>
      <c r="BU56" s="172" t="s">
        <v>775</v>
      </c>
      <c r="BV56" s="172" t="s">
        <v>776</v>
      </c>
      <c r="BW56" s="172" t="s">
        <v>777</v>
      </c>
      <c r="BX56" s="172" t="s">
        <v>778</v>
      </c>
      <c r="BY56" s="172" t="s">
        <v>779</v>
      </c>
      <c r="BZ56" s="172" t="s">
        <v>780</v>
      </c>
      <c r="CA56" s="172" t="s">
        <v>781</v>
      </c>
      <c r="CB56" s="172" t="s">
        <v>782</v>
      </c>
      <c r="CC56" s="172" t="s">
        <v>783</v>
      </c>
      <c r="CD56" s="172" t="s">
        <v>312</v>
      </c>
      <c r="CE56" s="172" t="s">
        <v>311</v>
      </c>
      <c r="CF56" s="172" t="s">
        <v>784</v>
      </c>
      <c r="CG56" s="172" t="s">
        <v>785</v>
      </c>
      <c r="CH56" s="172" t="s">
        <v>786</v>
      </c>
      <c r="CI56" s="172" t="s">
        <v>787</v>
      </c>
      <c r="CJ56" s="172" t="s">
        <v>788</v>
      </c>
      <c r="CK56" s="172" t="s">
        <v>789</v>
      </c>
      <c r="CL56" s="172"/>
      <c r="CM56" s="172" t="s">
        <v>790</v>
      </c>
      <c r="CN56" s="172" t="s">
        <v>791</v>
      </c>
      <c r="CO56" s="172" t="s">
        <v>792</v>
      </c>
      <c r="CP56" s="172" t="s">
        <v>793</v>
      </c>
      <c r="CQ56" s="172" t="s">
        <v>794</v>
      </c>
      <c r="CR56" s="172" t="s">
        <v>795</v>
      </c>
      <c r="CS56" s="172" t="s">
        <v>796</v>
      </c>
      <c r="CT56" s="172" t="s">
        <v>797</v>
      </c>
      <c r="CU56" s="172" t="s">
        <v>798</v>
      </c>
      <c r="CV56" s="172" t="s">
        <v>799</v>
      </c>
      <c r="CW56" s="172" t="s">
        <v>800</v>
      </c>
      <c r="CX56" s="60"/>
      <c r="CY56" s="60"/>
      <c r="CZ56" s="60"/>
      <c r="DA56" s="60"/>
      <c r="DB56" s="60"/>
      <c r="DC56" s="60"/>
      <c r="DD56" s="60"/>
      <c r="DE56" s="60"/>
      <c r="DF56" s="60"/>
      <c r="DG56" s="60"/>
      <c r="DH56" s="60"/>
      <c r="DI56" s="60"/>
      <c r="DJ56" s="60"/>
      <c r="DK56" s="60"/>
      <c r="DL56" s="60"/>
      <c r="DM56" s="60"/>
      <c r="DN56" s="60"/>
      <c r="DO56" s="60"/>
      <c r="DP56" s="60"/>
      <c r="DQ56" s="60"/>
      <c r="DR56" s="60"/>
      <c r="DS56" s="60"/>
      <c r="DT56" s="60"/>
      <c r="DU56" s="60"/>
      <c r="DV56" s="60"/>
      <c r="DW56" s="60"/>
      <c r="DX56" s="60"/>
      <c r="DY56" s="60"/>
      <c r="DZ56" s="60"/>
      <c r="EA56" s="60"/>
    </row>
    <row r="57" spans="1:131">
      <c r="A57" s="60" t="s">
        <v>336</v>
      </c>
      <c r="B57" s="60"/>
      <c r="C57" s="163">
        <v>40</v>
      </c>
      <c r="D57" s="163">
        <v>238.83152818662796</v>
      </c>
      <c r="E57" s="163">
        <v>0</v>
      </c>
      <c r="F57" s="163">
        <v>639.71</v>
      </c>
      <c r="G57" s="163">
        <v>0</v>
      </c>
      <c r="H57" s="163">
        <v>0</v>
      </c>
      <c r="I57" s="163"/>
      <c r="J57" s="163"/>
      <c r="K57" s="163"/>
      <c r="L57" s="163">
        <v>256.71911903766988</v>
      </c>
      <c r="M57" s="163">
        <v>4.968121669622351E-2</v>
      </c>
      <c r="N57" s="163">
        <v>4.9322639953332748E-2</v>
      </c>
      <c r="O57" s="163">
        <v>0</v>
      </c>
      <c r="P57" s="163">
        <v>0</v>
      </c>
      <c r="Q57" s="163">
        <v>0</v>
      </c>
      <c r="R57" s="163">
        <v>87.591226974505716</v>
      </c>
      <c r="S57" s="163">
        <v>202.41000298766542</v>
      </c>
      <c r="T57" s="163">
        <v>0</v>
      </c>
      <c r="U57" s="163">
        <v>156.50993339081438</v>
      </c>
      <c r="V57" s="163">
        <v>38.382600000000004</v>
      </c>
      <c r="W57" s="163">
        <v>89.559400000000011</v>
      </c>
      <c r="X57" s="163">
        <v>0</v>
      </c>
      <c r="Y57" s="163">
        <v>0</v>
      </c>
      <c r="Z57" s="163">
        <v>0</v>
      </c>
      <c r="AA57" s="163">
        <v>0</v>
      </c>
      <c r="AB57" s="163">
        <v>0</v>
      </c>
      <c r="AC57" s="163">
        <v>0</v>
      </c>
      <c r="AD57" s="163">
        <v>0</v>
      </c>
      <c r="AE57" s="163">
        <v>0</v>
      </c>
      <c r="AF57" s="163">
        <v>0</v>
      </c>
      <c r="AG57" s="163">
        <v>0</v>
      </c>
      <c r="AH57" s="163">
        <v>125.97382697450573</v>
      </c>
      <c r="AI57" s="163">
        <v>291.96940298766543</v>
      </c>
      <c r="AJ57" s="163">
        <v>0</v>
      </c>
      <c r="AK57" s="163">
        <v>156.50993339081438</v>
      </c>
      <c r="AL57" s="163">
        <v>574.45316335298548</v>
      </c>
      <c r="AM57" s="163">
        <v>132.55177595998481</v>
      </c>
      <c r="AN57" s="163">
        <v>17.554782651035108</v>
      </c>
      <c r="AO57" s="163">
        <v>0</v>
      </c>
      <c r="AP57" s="163">
        <v>0</v>
      </c>
      <c r="AQ57" s="163">
        <v>150.10655861101992</v>
      </c>
      <c r="AR57" s="163">
        <v>125.97382697450573</v>
      </c>
      <c r="AS57" s="217">
        <v>1.191569409425008</v>
      </c>
      <c r="AT57" s="163">
        <v>132.55177595998481</v>
      </c>
      <c r="AU57" s="163">
        <v>20.779633967995142</v>
      </c>
      <c r="AV57" s="163">
        <v>0</v>
      </c>
      <c r="AW57" s="163">
        <v>0</v>
      </c>
      <c r="AX57" s="163">
        <v>153.33140992797996</v>
      </c>
      <c r="AY57" s="163">
        <v>291.96940298766543</v>
      </c>
      <c r="AZ57" s="218">
        <v>0.52516259703575041</v>
      </c>
      <c r="BA57" s="163">
        <v>132.55177595998481</v>
      </c>
      <c r="BB57" s="163">
        <v>38.33441661903025</v>
      </c>
      <c r="BC57" s="163">
        <v>0</v>
      </c>
      <c r="BD57" s="163">
        <v>0</v>
      </c>
      <c r="BE57" s="163">
        <v>170.88619257901507</v>
      </c>
      <c r="BF57" s="163">
        <v>417.94322996217113</v>
      </c>
      <c r="BG57" s="163">
        <v>108.80483319928889</v>
      </c>
      <c r="BH57" s="218">
        <v>0.40887417316098723</v>
      </c>
      <c r="BI57" s="163">
        <v>36.107067985925198</v>
      </c>
      <c r="BJ57" s="163">
        <v>83.685312550035675</v>
      </c>
      <c r="BK57" s="163">
        <v>0</v>
      </c>
      <c r="BL57" s="163">
        <v>44.859435814063325</v>
      </c>
      <c r="BM57" s="163">
        <v>164.65181635002421</v>
      </c>
      <c r="BN57" s="163">
        <v>132.55177595998481</v>
      </c>
      <c r="BO57" s="163">
        <v>0</v>
      </c>
      <c r="BP57" s="163">
        <v>38.33441661903025</v>
      </c>
      <c r="BQ57" s="163">
        <v>0</v>
      </c>
      <c r="BR57" s="163">
        <v>0</v>
      </c>
      <c r="BS57" s="163">
        <v>0</v>
      </c>
      <c r="BT57" s="163">
        <v>0</v>
      </c>
      <c r="BU57" s="163">
        <v>0</v>
      </c>
      <c r="BV57" s="163">
        <v>0</v>
      </c>
      <c r="BW57" s="163">
        <v>0</v>
      </c>
      <c r="BX57" s="163">
        <v>446.51116335298548</v>
      </c>
      <c r="BY57" s="163">
        <v>127.94200000000001</v>
      </c>
      <c r="BZ57" s="163">
        <v>0</v>
      </c>
      <c r="CA57" s="163">
        <v>0</v>
      </c>
      <c r="CB57" s="163">
        <v>170.88619257901507</v>
      </c>
      <c r="CC57" s="163">
        <v>574.45316335298548</v>
      </c>
      <c r="CD57" s="218">
        <v>0.29747628437030688</v>
      </c>
      <c r="CE57" s="163">
        <v>153.66426901335223</v>
      </c>
      <c r="CF57" s="163">
        <v>2.4388544818404685</v>
      </c>
      <c r="CG57" s="163">
        <v>0</v>
      </c>
      <c r="CH57" s="163">
        <v>2.4388544818404685</v>
      </c>
      <c r="CI57" s="163">
        <v>0.1219415815428932</v>
      </c>
      <c r="CJ57" s="163">
        <v>0</v>
      </c>
      <c r="CK57" s="163">
        <v>0.1219415815428932</v>
      </c>
      <c r="CL57" s="163"/>
      <c r="CM57" s="163">
        <v>0</v>
      </c>
      <c r="CN57" s="163"/>
      <c r="CO57" s="163">
        <v>0</v>
      </c>
      <c r="CP57" s="163">
        <v>0</v>
      </c>
      <c r="CQ57" s="163">
        <v>0</v>
      </c>
      <c r="CR57" s="163">
        <v>0</v>
      </c>
      <c r="CS57" s="163">
        <v>0</v>
      </c>
      <c r="CT57" s="163">
        <v>0</v>
      </c>
      <c r="CU57" s="163">
        <v>0</v>
      </c>
      <c r="CV57" s="163">
        <v>9999</v>
      </c>
      <c r="CW57" s="217">
        <v>9999</v>
      </c>
      <c r="CX57" s="60"/>
      <c r="CY57" s="60"/>
      <c r="CZ57" s="60"/>
      <c r="DA57" s="60"/>
      <c r="DB57" s="60"/>
      <c r="DC57" s="60"/>
      <c r="DD57" s="60"/>
      <c r="DE57" s="60"/>
      <c r="DF57" s="60"/>
      <c r="DG57" s="60"/>
      <c r="DH57" s="60"/>
      <c r="DI57" s="60"/>
      <c r="DJ57" s="60"/>
      <c r="DK57" s="60"/>
      <c r="DL57" s="60"/>
      <c r="DM57" s="60"/>
      <c r="DN57" s="60"/>
      <c r="DO57" s="60"/>
      <c r="DP57" s="60"/>
      <c r="DQ57" s="60"/>
      <c r="DR57" s="60"/>
      <c r="DS57" s="60"/>
      <c r="DT57" s="60"/>
      <c r="DU57" s="60"/>
      <c r="DV57" s="60"/>
      <c r="DW57" s="60"/>
      <c r="DX57" s="60"/>
      <c r="DY57" s="60"/>
      <c r="DZ57" s="60"/>
      <c r="EA57" s="60"/>
    </row>
    <row r="58" spans="1:131">
      <c r="A58" s="60" t="s">
        <v>334</v>
      </c>
      <c r="B58" s="60"/>
      <c r="C58" s="163">
        <v>40</v>
      </c>
      <c r="D58" s="163">
        <v>238.83152818662796</v>
      </c>
      <c r="E58" s="163">
        <v>0</v>
      </c>
      <c r="F58" s="163">
        <v>707.87969999999996</v>
      </c>
      <c r="G58" s="163">
        <v>0</v>
      </c>
      <c r="H58" s="163">
        <v>0</v>
      </c>
      <c r="I58" s="163"/>
      <c r="J58" s="163"/>
      <c r="K58" s="163"/>
      <c r="L58" s="163">
        <v>256.71911903766988</v>
      </c>
      <c r="M58" s="163">
        <v>4.968121669622351E-2</v>
      </c>
      <c r="N58" s="163">
        <v>4.9322639953332748E-2</v>
      </c>
      <c r="O58" s="163">
        <v>0</v>
      </c>
      <c r="P58" s="163">
        <v>0</v>
      </c>
      <c r="Q58" s="163">
        <v>0</v>
      </c>
      <c r="R58" s="163">
        <v>96.925249680863217</v>
      </c>
      <c r="S58" s="163">
        <v>223.97950976521818</v>
      </c>
      <c r="T58" s="163">
        <v>0</v>
      </c>
      <c r="U58" s="163">
        <v>173.188170726907</v>
      </c>
      <c r="V58" s="163">
        <v>42.472781999999995</v>
      </c>
      <c r="W58" s="163">
        <v>99.103157999999993</v>
      </c>
      <c r="X58" s="163">
        <v>0</v>
      </c>
      <c r="Y58" s="163">
        <v>0</v>
      </c>
      <c r="Z58" s="163">
        <v>0</v>
      </c>
      <c r="AA58" s="163">
        <v>0</v>
      </c>
      <c r="AB58" s="163">
        <v>0</v>
      </c>
      <c r="AC58" s="163">
        <v>0</v>
      </c>
      <c r="AD58" s="163">
        <v>0</v>
      </c>
      <c r="AE58" s="163">
        <v>0</v>
      </c>
      <c r="AF58" s="163">
        <v>0</v>
      </c>
      <c r="AG58" s="163">
        <v>0</v>
      </c>
      <c r="AH58" s="163">
        <v>139.3980316808632</v>
      </c>
      <c r="AI58" s="163">
        <v>323.08266776521816</v>
      </c>
      <c r="AJ58" s="163">
        <v>0</v>
      </c>
      <c r="AK58" s="163">
        <v>173.188170726907</v>
      </c>
      <c r="AL58" s="163">
        <v>635.66887017298836</v>
      </c>
      <c r="AM58" s="163">
        <v>132.55177595998481</v>
      </c>
      <c r="AN58" s="163">
        <v>17.554782651035108</v>
      </c>
      <c r="AO58" s="163">
        <v>0</v>
      </c>
      <c r="AP58" s="163">
        <v>0</v>
      </c>
      <c r="AQ58" s="163">
        <v>150.10655861101992</v>
      </c>
      <c r="AR58" s="163">
        <v>139.3980316808632</v>
      </c>
      <c r="AS58" s="217">
        <v>1.0768197857676551</v>
      </c>
      <c r="AT58" s="163">
        <v>132.55177595998481</v>
      </c>
      <c r="AU58" s="163">
        <v>20.779633967995142</v>
      </c>
      <c r="AV58" s="163">
        <v>0</v>
      </c>
      <c r="AW58" s="163">
        <v>0</v>
      </c>
      <c r="AX58" s="163">
        <v>153.33140992797996</v>
      </c>
      <c r="AY58" s="163">
        <v>323.08266776521816</v>
      </c>
      <c r="AZ58" s="218">
        <v>0.4745887824580079</v>
      </c>
      <c r="BA58" s="163">
        <v>132.55177595998481</v>
      </c>
      <c r="BB58" s="163">
        <v>38.33441661903025</v>
      </c>
      <c r="BC58" s="163">
        <v>0</v>
      </c>
      <c r="BD58" s="163">
        <v>0</v>
      </c>
      <c r="BE58" s="163">
        <v>170.88619257901507</v>
      </c>
      <c r="BF58" s="163">
        <v>462.48069944608142</v>
      </c>
      <c r="BG58" s="163">
        <v>121.57032169160931</v>
      </c>
      <c r="BH58" s="218">
        <v>0.36949907916954694</v>
      </c>
      <c r="BI58" s="163">
        <v>39.954761460280949</v>
      </c>
      <c r="BJ58" s="163">
        <v>92.60310756800034</v>
      </c>
      <c r="BK58" s="163">
        <v>0</v>
      </c>
      <c r="BL58" s="163">
        <v>49.639811736925182</v>
      </c>
      <c r="BM58" s="163">
        <v>182.19768076520646</v>
      </c>
      <c r="BN58" s="163">
        <v>132.55177595998481</v>
      </c>
      <c r="BO58" s="163">
        <v>0</v>
      </c>
      <c r="BP58" s="163">
        <v>38.33441661903025</v>
      </c>
      <c r="BQ58" s="163">
        <v>0</v>
      </c>
      <c r="BR58" s="163">
        <v>0</v>
      </c>
      <c r="BS58" s="163">
        <v>0</v>
      </c>
      <c r="BT58" s="163">
        <v>0</v>
      </c>
      <c r="BU58" s="163">
        <v>0</v>
      </c>
      <c r="BV58" s="163">
        <v>0</v>
      </c>
      <c r="BW58" s="163">
        <v>0</v>
      </c>
      <c r="BX58" s="163">
        <v>494.09293017298842</v>
      </c>
      <c r="BY58" s="163">
        <v>141.57594</v>
      </c>
      <c r="BZ58" s="163">
        <v>0</v>
      </c>
      <c r="CA58" s="163">
        <v>0</v>
      </c>
      <c r="CB58" s="163">
        <v>170.88619257901507</v>
      </c>
      <c r="CC58" s="163">
        <v>635.66887017298836</v>
      </c>
      <c r="CD58" s="218">
        <v>0.26882894632312387</v>
      </c>
      <c r="CE58" s="163">
        <v>171.21013342853448</v>
      </c>
      <c r="CF58" s="163">
        <v>2.4388544818404685</v>
      </c>
      <c r="CG58" s="163">
        <v>0</v>
      </c>
      <c r="CH58" s="163">
        <v>2.4388544818404685</v>
      </c>
      <c r="CI58" s="163">
        <v>0.1219415815428932</v>
      </c>
      <c r="CJ58" s="163">
        <v>0</v>
      </c>
      <c r="CK58" s="163">
        <v>0.1219415815428932</v>
      </c>
      <c r="CL58" s="163"/>
      <c r="CM58" s="163">
        <v>0</v>
      </c>
      <c r="CN58" s="163"/>
      <c r="CO58" s="163">
        <v>0</v>
      </c>
      <c r="CP58" s="163">
        <v>0</v>
      </c>
      <c r="CQ58" s="163">
        <v>0</v>
      </c>
      <c r="CR58" s="163">
        <v>0</v>
      </c>
      <c r="CS58" s="163">
        <v>0</v>
      </c>
      <c r="CT58" s="163">
        <v>0</v>
      </c>
      <c r="CU58" s="163">
        <v>0</v>
      </c>
      <c r="CV58" s="163">
        <v>9999</v>
      </c>
      <c r="CW58" s="217">
        <v>9999</v>
      </c>
      <c r="CX58" s="60"/>
      <c r="CY58" s="60"/>
      <c r="CZ58" s="60"/>
      <c r="DA58" s="60"/>
      <c r="DB58" s="60"/>
      <c r="DC58" s="60"/>
      <c r="DD58" s="60"/>
      <c r="DE58" s="60"/>
      <c r="DF58" s="60"/>
      <c r="DG58" s="60"/>
      <c r="DH58" s="60"/>
      <c r="DI58" s="60"/>
      <c r="DJ58" s="60"/>
      <c r="DK58" s="60"/>
      <c r="DL58" s="60"/>
      <c r="DM58" s="60"/>
      <c r="DN58" s="60"/>
      <c r="DO58" s="60"/>
      <c r="DP58" s="60"/>
      <c r="DQ58" s="60"/>
      <c r="DR58" s="60"/>
      <c r="DS58" s="60"/>
      <c r="DT58" s="60"/>
      <c r="DU58" s="60"/>
      <c r="DV58" s="60"/>
      <c r="DW58" s="60"/>
      <c r="DX58" s="60"/>
      <c r="DY58" s="60"/>
      <c r="DZ58" s="60"/>
      <c r="EA58" s="60"/>
    </row>
    <row r="59" spans="1:131">
      <c r="A59" s="60" t="s">
        <v>332</v>
      </c>
      <c r="B59" s="60"/>
      <c r="C59" s="163">
        <v>40</v>
      </c>
      <c r="D59" s="163">
        <v>238.83152818662796</v>
      </c>
      <c r="E59" s="163">
        <v>0</v>
      </c>
      <c r="F59" s="163">
        <v>786.69</v>
      </c>
      <c r="G59" s="163">
        <v>0</v>
      </c>
      <c r="H59" s="163">
        <v>0</v>
      </c>
      <c r="I59" s="163"/>
      <c r="J59" s="163"/>
      <c r="K59" s="163"/>
      <c r="L59" s="163">
        <v>256.71911903766988</v>
      </c>
      <c r="M59" s="163">
        <v>4.968121669622351E-2</v>
      </c>
      <c r="N59" s="163">
        <v>4.9322639953332748E-2</v>
      </c>
      <c r="O59" s="163">
        <v>0</v>
      </c>
      <c r="P59" s="163">
        <v>0</v>
      </c>
      <c r="Q59" s="163">
        <v>0</v>
      </c>
      <c r="R59" s="163">
        <v>107.71621883130466</v>
      </c>
      <c r="S59" s="163">
        <v>248.91579817474565</v>
      </c>
      <c r="T59" s="163">
        <v>0</v>
      </c>
      <c r="U59" s="163">
        <v>192.46971205580618</v>
      </c>
      <c r="V59" s="163">
        <v>47.201400000000007</v>
      </c>
      <c r="W59" s="163">
        <v>110.1366</v>
      </c>
      <c r="X59" s="163">
        <v>0</v>
      </c>
      <c r="Y59" s="163">
        <v>0</v>
      </c>
      <c r="Z59" s="163">
        <v>0</v>
      </c>
      <c r="AA59" s="163">
        <v>0</v>
      </c>
      <c r="AB59" s="163">
        <v>0</v>
      </c>
      <c r="AC59" s="163">
        <v>0</v>
      </c>
      <c r="AD59" s="163">
        <v>0</v>
      </c>
      <c r="AE59" s="163">
        <v>0</v>
      </c>
      <c r="AF59" s="163">
        <v>0</v>
      </c>
      <c r="AG59" s="163">
        <v>0</v>
      </c>
      <c r="AH59" s="163">
        <v>154.91761883130465</v>
      </c>
      <c r="AI59" s="163">
        <v>359.05239817474563</v>
      </c>
      <c r="AJ59" s="163">
        <v>0</v>
      </c>
      <c r="AK59" s="163">
        <v>192.46971205580618</v>
      </c>
      <c r="AL59" s="163">
        <v>706.4397290618565</v>
      </c>
      <c r="AM59" s="163">
        <v>132.55177595998481</v>
      </c>
      <c r="AN59" s="163">
        <v>17.554782651035108</v>
      </c>
      <c r="AO59" s="163">
        <v>0</v>
      </c>
      <c r="AP59" s="163">
        <v>0</v>
      </c>
      <c r="AQ59" s="163">
        <v>150.10655861101992</v>
      </c>
      <c r="AR59" s="163">
        <v>154.91761883130465</v>
      </c>
      <c r="AS59" s="218">
        <v>0.96894439601783666</v>
      </c>
      <c r="AT59" s="163">
        <v>132.55177595998481</v>
      </c>
      <c r="AU59" s="163">
        <v>20.779633967995142</v>
      </c>
      <c r="AV59" s="163">
        <v>0</v>
      </c>
      <c r="AW59" s="163">
        <v>0</v>
      </c>
      <c r="AX59" s="163">
        <v>153.33140992797996</v>
      </c>
      <c r="AY59" s="163">
        <v>359.05239817474563</v>
      </c>
      <c r="AZ59" s="218">
        <v>0.42704466174699041</v>
      </c>
      <c r="BA59" s="163">
        <v>132.55177595998481</v>
      </c>
      <c r="BB59" s="163">
        <v>38.33441661903025</v>
      </c>
      <c r="BC59" s="163">
        <v>0</v>
      </c>
      <c r="BD59" s="163">
        <v>0</v>
      </c>
      <c r="BE59" s="163">
        <v>170.88619257901507</v>
      </c>
      <c r="BF59" s="163">
        <v>513.97001700605028</v>
      </c>
      <c r="BG59" s="163">
        <v>136.32837369603826</v>
      </c>
      <c r="BH59" s="218">
        <v>0.33248280429751892</v>
      </c>
      <c r="BI59" s="163">
        <v>44.40304093080848</v>
      </c>
      <c r="BJ59" s="163">
        <v>102.91288010190175</v>
      </c>
      <c r="BK59" s="163">
        <v>0</v>
      </c>
      <c r="BL59" s="163">
        <v>55.166355943420427</v>
      </c>
      <c r="BM59" s="163">
        <v>202.48227697613066</v>
      </c>
      <c r="BN59" s="163">
        <v>132.55177595998481</v>
      </c>
      <c r="BO59" s="163">
        <v>0</v>
      </c>
      <c r="BP59" s="163">
        <v>38.33441661903025</v>
      </c>
      <c r="BQ59" s="163">
        <v>0</v>
      </c>
      <c r="BR59" s="163">
        <v>0</v>
      </c>
      <c r="BS59" s="163">
        <v>0</v>
      </c>
      <c r="BT59" s="163">
        <v>0</v>
      </c>
      <c r="BU59" s="163">
        <v>0</v>
      </c>
      <c r="BV59" s="163">
        <v>0</v>
      </c>
      <c r="BW59" s="163">
        <v>0</v>
      </c>
      <c r="BX59" s="163">
        <v>549.10172906185653</v>
      </c>
      <c r="BY59" s="163">
        <v>157.33800000000002</v>
      </c>
      <c r="BZ59" s="163">
        <v>0</v>
      </c>
      <c r="CA59" s="163">
        <v>0</v>
      </c>
      <c r="CB59" s="163">
        <v>170.88619257901507</v>
      </c>
      <c r="CC59" s="163">
        <v>706.4397290618565</v>
      </c>
      <c r="CD59" s="218">
        <v>0.24189776643217659</v>
      </c>
      <c r="CE59" s="163">
        <v>191.49472963945871</v>
      </c>
      <c r="CF59" s="163">
        <v>2.4388544818404685</v>
      </c>
      <c r="CG59" s="163">
        <v>0</v>
      </c>
      <c r="CH59" s="163">
        <v>2.4388544818404685</v>
      </c>
      <c r="CI59" s="163">
        <v>0.1219415815428932</v>
      </c>
      <c r="CJ59" s="163">
        <v>0</v>
      </c>
      <c r="CK59" s="163">
        <v>0.1219415815428932</v>
      </c>
      <c r="CL59" s="163"/>
      <c r="CM59" s="163">
        <v>0</v>
      </c>
      <c r="CN59" s="163"/>
      <c r="CO59" s="163">
        <v>0</v>
      </c>
      <c r="CP59" s="163">
        <v>0</v>
      </c>
      <c r="CQ59" s="163">
        <v>0</v>
      </c>
      <c r="CR59" s="163">
        <v>0</v>
      </c>
      <c r="CS59" s="163">
        <v>0</v>
      </c>
      <c r="CT59" s="163">
        <v>0</v>
      </c>
      <c r="CU59" s="163">
        <v>0</v>
      </c>
      <c r="CV59" s="163">
        <v>9999</v>
      </c>
      <c r="CW59" s="217">
        <v>9999</v>
      </c>
      <c r="CX59" s="60"/>
      <c r="CY59" s="60"/>
      <c r="CZ59" s="60"/>
      <c r="DA59" s="60"/>
      <c r="DB59" s="60"/>
      <c r="DC59" s="60"/>
      <c r="DD59" s="60"/>
      <c r="DE59" s="60"/>
      <c r="DF59" s="60"/>
      <c r="DG59" s="60"/>
      <c r="DH59" s="60"/>
      <c r="DI59" s="60"/>
      <c r="DJ59" s="60"/>
      <c r="DK59" s="60"/>
      <c r="DL59" s="60"/>
      <c r="DM59" s="60"/>
      <c r="DN59" s="60"/>
      <c r="DO59" s="60"/>
      <c r="DP59" s="60"/>
      <c r="DQ59" s="60"/>
      <c r="DR59" s="60"/>
      <c r="DS59" s="60"/>
      <c r="DT59" s="60"/>
      <c r="DU59" s="60"/>
      <c r="DV59" s="60"/>
      <c r="DW59" s="60"/>
      <c r="DX59" s="60"/>
      <c r="DY59" s="60"/>
      <c r="DZ59" s="60"/>
      <c r="EA59" s="60"/>
    </row>
    <row r="60" spans="1:131">
      <c r="A60" s="60" t="s">
        <v>330</v>
      </c>
      <c r="B60" s="60"/>
      <c r="C60" s="163">
        <v>40</v>
      </c>
      <c r="D60" s="163">
        <v>238.83152818662796</v>
      </c>
      <c r="E60" s="163">
        <v>0</v>
      </c>
      <c r="F60" s="163">
        <v>815.90999999999985</v>
      </c>
      <c r="G60" s="163">
        <v>0</v>
      </c>
      <c r="H60" s="163">
        <v>0</v>
      </c>
      <c r="I60" s="163"/>
      <c r="J60" s="163"/>
      <c r="K60" s="163"/>
      <c r="L60" s="163">
        <v>256.71911903766988</v>
      </c>
      <c r="M60" s="163">
        <v>4.968121669622351E-2</v>
      </c>
      <c r="N60" s="163">
        <v>4.9322639953332748E-2</v>
      </c>
      <c r="O60" s="163">
        <v>0</v>
      </c>
      <c r="P60" s="163">
        <v>0</v>
      </c>
      <c r="Q60" s="163">
        <v>0</v>
      </c>
      <c r="R60" s="163">
        <v>111.71711869561041</v>
      </c>
      <c r="S60" s="163">
        <v>258.16126922772207</v>
      </c>
      <c r="T60" s="163">
        <v>0</v>
      </c>
      <c r="U60" s="163">
        <v>199.61860804567596</v>
      </c>
      <c r="V60" s="163">
        <v>48.954599999999992</v>
      </c>
      <c r="W60" s="163">
        <v>114.22739999999997</v>
      </c>
      <c r="X60" s="163">
        <v>0</v>
      </c>
      <c r="Y60" s="163">
        <v>0</v>
      </c>
      <c r="Z60" s="163">
        <v>0</v>
      </c>
      <c r="AA60" s="163">
        <v>0</v>
      </c>
      <c r="AB60" s="163">
        <v>0</v>
      </c>
      <c r="AC60" s="163">
        <v>0</v>
      </c>
      <c r="AD60" s="163">
        <v>0</v>
      </c>
      <c r="AE60" s="163">
        <v>0</v>
      </c>
      <c r="AF60" s="163">
        <v>0</v>
      </c>
      <c r="AG60" s="163">
        <v>0</v>
      </c>
      <c r="AH60" s="163">
        <v>160.67171869561039</v>
      </c>
      <c r="AI60" s="163">
        <v>372.38866922772206</v>
      </c>
      <c r="AJ60" s="163">
        <v>0</v>
      </c>
      <c r="AK60" s="163">
        <v>199.61860804567596</v>
      </c>
      <c r="AL60" s="163">
        <v>732.67899596900838</v>
      </c>
      <c r="AM60" s="163">
        <v>132.55177595998481</v>
      </c>
      <c r="AN60" s="163">
        <v>17.554782651035108</v>
      </c>
      <c r="AO60" s="163">
        <v>0</v>
      </c>
      <c r="AP60" s="163">
        <v>0</v>
      </c>
      <c r="AQ60" s="163">
        <v>150.10655861101992</v>
      </c>
      <c r="AR60" s="163">
        <v>160.67171869561039</v>
      </c>
      <c r="AS60" s="218">
        <v>0.93424380986048972</v>
      </c>
      <c r="AT60" s="163">
        <v>132.55177595998481</v>
      </c>
      <c r="AU60" s="163">
        <v>20.779633967995142</v>
      </c>
      <c r="AV60" s="163">
        <v>0</v>
      </c>
      <c r="AW60" s="163">
        <v>0</v>
      </c>
      <c r="AX60" s="163">
        <v>153.33140992797996</v>
      </c>
      <c r="AY60" s="163">
        <v>372.38866922772206</v>
      </c>
      <c r="AZ60" s="218">
        <v>0.4117510080152712</v>
      </c>
      <c r="BA60" s="163">
        <v>132.55177595998481</v>
      </c>
      <c r="BB60" s="163">
        <v>38.33441661903025</v>
      </c>
      <c r="BC60" s="163">
        <v>0</v>
      </c>
      <c r="BD60" s="163">
        <v>0</v>
      </c>
      <c r="BE60" s="163">
        <v>170.88619257901507</v>
      </c>
      <c r="BF60" s="163">
        <v>533.06038792333243</v>
      </c>
      <c r="BG60" s="163">
        <v>141.80012395672006</v>
      </c>
      <c r="BH60" s="218">
        <v>0.32057567294531897</v>
      </c>
      <c r="BI60" s="163">
        <v>46.052301574770148</v>
      </c>
      <c r="BJ60" s="163">
        <v>106.73536971862188</v>
      </c>
      <c r="BK60" s="163">
        <v>0</v>
      </c>
      <c r="BL60" s="163">
        <v>57.215398032002646</v>
      </c>
      <c r="BM60" s="163">
        <v>210.00306932539468</v>
      </c>
      <c r="BN60" s="163">
        <v>132.55177595998481</v>
      </c>
      <c r="BO60" s="163">
        <v>0</v>
      </c>
      <c r="BP60" s="163">
        <v>38.33441661903025</v>
      </c>
      <c r="BQ60" s="163">
        <v>0</v>
      </c>
      <c r="BR60" s="163">
        <v>0</v>
      </c>
      <c r="BS60" s="163">
        <v>0</v>
      </c>
      <c r="BT60" s="163">
        <v>0</v>
      </c>
      <c r="BU60" s="163">
        <v>0</v>
      </c>
      <c r="BV60" s="163">
        <v>0</v>
      </c>
      <c r="BW60" s="163">
        <v>0</v>
      </c>
      <c r="BX60" s="163">
        <v>569.49699596900837</v>
      </c>
      <c r="BY60" s="163">
        <v>163.18199999999999</v>
      </c>
      <c r="BZ60" s="163">
        <v>0</v>
      </c>
      <c r="CA60" s="163">
        <v>0</v>
      </c>
      <c r="CB60" s="163">
        <v>170.88619257901507</v>
      </c>
      <c r="CC60" s="163">
        <v>732.67899596900838</v>
      </c>
      <c r="CD60" s="218">
        <v>0.23323473652060772</v>
      </c>
      <c r="CE60" s="163">
        <v>199.0155219887227</v>
      </c>
      <c r="CF60" s="163">
        <v>2.4388544818404685</v>
      </c>
      <c r="CG60" s="163">
        <v>0</v>
      </c>
      <c r="CH60" s="163">
        <v>2.4388544818404685</v>
      </c>
      <c r="CI60" s="163">
        <v>0.1219415815428932</v>
      </c>
      <c r="CJ60" s="163">
        <v>0</v>
      </c>
      <c r="CK60" s="163">
        <v>0.1219415815428932</v>
      </c>
      <c r="CL60" s="163"/>
      <c r="CM60" s="163">
        <v>0</v>
      </c>
      <c r="CN60" s="163"/>
      <c r="CO60" s="163">
        <v>0</v>
      </c>
      <c r="CP60" s="163">
        <v>0</v>
      </c>
      <c r="CQ60" s="163">
        <v>0</v>
      </c>
      <c r="CR60" s="163">
        <v>0</v>
      </c>
      <c r="CS60" s="163">
        <v>0</v>
      </c>
      <c r="CT60" s="163">
        <v>0</v>
      </c>
      <c r="CU60" s="163">
        <v>0</v>
      </c>
      <c r="CV60" s="163">
        <v>9999</v>
      </c>
      <c r="CW60" s="217">
        <v>9999</v>
      </c>
      <c r="CX60" s="60"/>
      <c r="CY60" s="60"/>
      <c r="CZ60" s="60"/>
      <c r="DA60" s="60"/>
      <c r="DB60" s="60"/>
      <c r="DC60" s="60"/>
      <c r="DD60" s="60"/>
      <c r="DE60" s="60"/>
      <c r="DF60" s="60"/>
      <c r="DG60" s="60"/>
      <c r="DH60" s="60"/>
      <c r="DI60" s="60"/>
      <c r="DJ60" s="60"/>
      <c r="DK60" s="60"/>
      <c r="DL60" s="60"/>
      <c r="DM60" s="60"/>
      <c r="DN60" s="60"/>
      <c r="DO60" s="60"/>
      <c r="DP60" s="60"/>
      <c r="DQ60" s="60"/>
      <c r="DR60" s="60"/>
      <c r="DS60" s="60"/>
      <c r="DT60" s="60"/>
      <c r="DU60" s="60"/>
      <c r="DV60" s="60"/>
      <c r="DW60" s="60"/>
      <c r="DX60" s="60"/>
      <c r="DY60" s="60"/>
      <c r="DZ60" s="60"/>
      <c r="EA60" s="60"/>
    </row>
    <row r="61" spans="1:131">
      <c r="A61" s="60" t="s">
        <v>337</v>
      </c>
      <c r="B61" s="60"/>
      <c r="C61" s="163">
        <v>40</v>
      </c>
      <c r="D61" s="163">
        <v>114.58894767084345</v>
      </c>
      <c r="E61" s="163">
        <v>0</v>
      </c>
      <c r="F61" s="163">
        <v>639.71</v>
      </c>
      <c r="G61" s="163">
        <v>0</v>
      </c>
      <c r="H61" s="163">
        <v>0</v>
      </c>
      <c r="I61" s="163"/>
      <c r="J61" s="163"/>
      <c r="K61" s="163"/>
      <c r="L61" s="163">
        <v>123.26393620193372</v>
      </c>
      <c r="M61" s="163">
        <v>2.6003504756367E-2</v>
      </c>
      <c r="N61" s="163">
        <v>2.581582312014026E-2</v>
      </c>
      <c r="O61" s="163">
        <v>0</v>
      </c>
      <c r="P61" s="163">
        <v>0</v>
      </c>
      <c r="Q61" s="163">
        <v>0</v>
      </c>
      <c r="R61" s="163">
        <v>87.591226974505716</v>
      </c>
      <c r="S61" s="163">
        <v>202.41000298766542</v>
      </c>
      <c r="T61" s="163">
        <v>0</v>
      </c>
      <c r="U61" s="163">
        <v>156.50993339081438</v>
      </c>
      <c r="V61" s="163">
        <v>38.382600000000004</v>
      </c>
      <c r="W61" s="163">
        <v>89.559400000000011</v>
      </c>
      <c r="X61" s="163">
        <v>0</v>
      </c>
      <c r="Y61" s="163">
        <v>0</v>
      </c>
      <c r="Z61" s="163">
        <v>0</v>
      </c>
      <c r="AA61" s="163">
        <v>0</v>
      </c>
      <c r="AB61" s="163">
        <v>0</v>
      </c>
      <c r="AC61" s="163">
        <v>0</v>
      </c>
      <c r="AD61" s="163">
        <v>0</v>
      </c>
      <c r="AE61" s="163">
        <v>0</v>
      </c>
      <c r="AF61" s="163">
        <v>0</v>
      </c>
      <c r="AG61" s="163">
        <v>0</v>
      </c>
      <c r="AH61" s="163">
        <v>125.97382697450573</v>
      </c>
      <c r="AI61" s="163">
        <v>291.96940298766543</v>
      </c>
      <c r="AJ61" s="163">
        <v>0</v>
      </c>
      <c r="AK61" s="163">
        <v>156.50993339081438</v>
      </c>
      <c r="AL61" s="163">
        <v>574.45316335298548</v>
      </c>
      <c r="AM61" s="163">
        <v>63.878652597261983</v>
      </c>
      <c r="AN61" s="163">
        <v>9.1882990095506205</v>
      </c>
      <c r="AO61" s="163">
        <v>0</v>
      </c>
      <c r="AP61" s="163">
        <v>0</v>
      </c>
      <c r="AQ61" s="163">
        <v>73.066951606812609</v>
      </c>
      <c r="AR61" s="163">
        <v>125.97382697450573</v>
      </c>
      <c r="AS61" s="218">
        <v>0.58001692384561532</v>
      </c>
      <c r="AT61" s="163">
        <v>63.878652597261983</v>
      </c>
      <c r="AU61" s="163">
        <v>10.876209293066706</v>
      </c>
      <c r="AV61" s="163">
        <v>0</v>
      </c>
      <c r="AW61" s="163">
        <v>0</v>
      </c>
      <c r="AX61" s="163">
        <v>74.754861890328684</v>
      </c>
      <c r="AY61" s="163">
        <v>291.96940298766543</v>
      </c>
      <c r="AZ61" s="218">
        <v>0.25603662961042117</v>
      </c>
      <c r="BA61" s="163">
        <v>63.878652597261983</v>
      </c>
      <c r="BB61" s="163">
        <v>20.064508302617327</v>
      </c>
      <c r="BC61" s="163">
        <v>0</v>
      </c>
      <c r="BD61" s="163">
        <v>0</v>
      </c>
      <c r="BE61" s="163">
        <v>83.943160899879302</v>
      </c>
      <c r="BF61" s="163">
        <v>417.94322996217113</v>
      </c>
      <c r="BG61" s="163">
        <v>237.51158416899568</v>
      </c>
      <c r="BH61" s="218">
        <v>0.2008482369901701</v>
      </c>
      <c r="BI61" s="163">
        <v>75.199405195001034</v>
      </c>
      <c r="BJ61" s="163">
        <v>174.28958036065208</v>
      </c>
      <c r="BK61" s="163">
        <v>0</v>
      </c>
      <c r="BL61" s="163">
        <v>93.427771313801117</v>
      </c>
      <c r="BM61" s="163">
        <v>342.91675686945422</v>
      </c>
      <c r="BN61" s="163">
        <v>63.878652597261983</v>
      </c>
      <c r="BO61" s="163">
        <v>0</v>
      </c>
      <c r="BP61" s="163">
        <v>20.064508302617327</v>
      </c>
      <c r="BQ61" s="163">
        <v>0</v>
      </c>
      <c r="BR61" s="163">
        <v>0</v>
      </c>
      <c r="BS61" s="163">
        <v>0</v>
      </c>
      <c r="BT61" s="163">
        <v>0</v>
      </c>
      <c r="BU61" s="163">
        <v>0</v>
      </c>
      <c r="BV61" s="163">
        <v>0</v>
      </c>
      <c r="BW61" s="163">
        <v>0</v>
      </c>
      <c r="BX61" s="163">
        <v>446.51116335298548</v>
      </c>
      <c r="BY61" s="163">
        <v>127.94200000000001</v>
      </c>
      <c r="BZ61" s="163">
        <v>0</v>
      </c>
      <c r="CA61" s="163">
        <v>0</v>
      </c>
      <c r="CB61" s="163">
        <v>83.943160899879317</v>
      </c>
      <c r="CC61" s="163">
        <v>574.45316335298548</v>
      </c>
      <c r="CD61" s="218">
        <v>0.14612707572174788</v>
      </c>
      <c r="CE61" s="163">
        <v>330.93935548279683</v>
      </c>
      <c r="CF61" s="163">
        <v>1.1710160207776132</v>
      </c>
      <c r="CG61" s="163">
        <v>0</v>
      </c>
      <c r="CH61" s="163">
        <v>1.1710160207776132</v>
      </c>
      <c r="CI61" s="163">
        <v>5.8550369695918529E-2</v>
      </c>
      <c r="CJ61" s="163">
        <v>0</v>
      </c>
      <c r="CK61" s="163">
        <v>5.8550369695918529E-2</v>
      </c>
      <c r="CL61" s="163"/>
      <c r="CM61" s="163">
        <v>0</v>
      </c>
      <c r="CN61" s="163"/>
      <c r="CO61" s="163">
        <v>0</v>
      </c>
      <c r="CP61" s="163">
        <v>0</v>
      </c>
      <c r="CQ61" s="163">
        <v>0</v>
      </c>
      <c r="CR61" s="163">
        <v>0</v>
      </c>
      <c r="CS61" s="163">
        <v>0</v>
      </c>
      <c r="CT61" s="163">
        <v>0</v>
      </c>
      <c r="CU61" s="163">
        <v>0</v>
      </c>
      <c r="CV61" s="163">
        <v>9999</v>
      </c>
      <c r="CW61" s="217">
        <v>9999</v>
      </c>
      <c r="CX61" s="60"/>
      <c r="CY61" s="60"/>
      <c r="CZ61" s="60"/>
      <c r="DA61" s="60"/>
      <c r="DB61" s="60"/>
      <c r="DC61" s="60"/>
      <c r="DD61" s="60"/>
      <c r="DE61" s="60"/>
      <c r="DF61" s="60"/>
      <c r="DG61" s="60"/>
      <c r="DH61" s="60"/>
      <c r="DI61" s="60"/>
      <c r="DJ61" s="60"/>
      <c r="DK61" s="60"/>
      <c r="DL61" s="60"/>
      <c r="DM61" s="60"/>
      <c r="DN61" s="60"/>
      <c r="DO61" s="60"/>
      <c r="DP61" s="60"/>
      <c r="DQ61" s="60"/>
      <c r="DR61" s="60"/>
      <c r="DS61" s="60"/>
      <c r="DT61" s="60"/>
      <c r="DU61" s="60"/>
      <c r="DV61" s="60"/>
      <c r="DW61" s="60"/>
      <c r="DX61" s="60"/>
      <c r="DY61" s="60"/>
      <c r="DZ61" s="60"/>
      <c r="EA61" s="60"/>
    </row>
    <row r="62" spans="1:131">
      <c r="A62" s="60" t="s">
        <v>335</v>
      </c>
      <c r="B62" s="60"/>
      <c r="C62" s="163">
        <v>40</v>
      </c>
      <c r="D62" s="163">
        <v>114.58894767084345</v>
      </c>
      <c r="E62" s="163">
        <v>0</v>
      </c>
      <c r="F62" s="163">
        <v>707.87969999999996</v>
      </c>
      <c r="G62" s="163">
        <v>0</v>
      </c>
      <c r="H62" s="163">
        <v>0</v>
      </c>
      <c r="I62" s="163"/>
      <c r="J62" s="163"/>
      <c r="K62" s="163"/>
      <c r="L62" s="163">
        <v>123.26393620193372</v>
      </c>
      <c r="M62" s="163">
        <v>2.6003504756367E-2</v>
      </c>
      <c r="N62" s="163">
        <v>2.581582312014026E-2</v>
      </c>
      <c r="O62" s="163">
        <v>0</v>
      </c>
      <c r="P62" s="163">
        <v>0</v>
      </c>
      <c r="Q62" s="163">
        <v>0</v>
      </c>
      <c r="R62" s="163">
        <v>96.925249680863217</v>
      </c>
      <c r="S62" s="163">
        <v>223.97950976521818</v>
      </c>
      <c r="T62" s="163">
        <v>0</v>
      </c>
      <c r="U62" s="163">
        <v>173.188170726907</v>
      </c>
      <c r="V62" s="163">
        <v>42.472781999999995</v>
      </c>
      <c r="W62" s="163">
        <v>99.103157999999993</v>
      </c>
      <c r="X62" s="163">
        <v>0</v>
      </c>
      <c r="Y62" s="163">
        <v>0</v>
      </c>
      <c r="Z62" s="163">
        <v>0</v>
      </c>
      <c r="AA62" s="163">
        <v>0</v>
      </c>
      <c r="AB62" s="163">
        <v>0</v>
      </c>
      <c r="AC62" s="163">
        <v>0</v>
      </c>
      <c r="AD62" s="163">
        <v>0</v>
      </c>
      <c r="AE62" s="163">
        <v>0</v>
      </c>
      <c r="AF62" s="163">
        <v>0</v>
      </c>
      <c r="AG62" s="163">
        <v>0</v>
      </c>
      <c r="AH62" s="163">
        <v>139.3980316808632</v>
      </c>
      <c r="AI62" s="163">
        <v>323.08266776521816</v>
      </c>
      <c r="AJ62" s="163">
        <v>0</v>
      </c>
      <c r="AK62" s="163">
        <v>173.188170726907</v>
      </c>
      <c r="AL62" s="163">
        <v>635.66887017298836</v>
      </c>
      <c r="AM62" s="163">
        <v>63.878652597261983</v>
      </c>
      <c r="AN62" s="163">
        <v>9.1882990095506205</v>
      </c>
      <c r="AO62" s="163">
        <v>0</v>
      </c>
      <c r="AP62" s="163">
        <v>0</v>
      </c>
      <c r="AQ62" s="163">
        <v>73.066951606812609</v>
      </c>
      <c r="AR62" s="163">
        <v>139.3980316808632</v>
      </c>
      <c r="AS62" s="218">
        <v>0.52416056902504571</v>
      </c>
      <c r="AT62" s="163">
        <v>63.878652597261983</v>
      </c>
      <c r="AU62" s="163">
        <v>10.876209293066706</v>
      </c>
      <c r="AV62" s="163">
        <v>0</v>
      </c>
      <c r="AW62" s="163">
        <v>0</v>
      </c>
      <c r="AX62" s="163">
        <v>74.754861890328684</v>
      </c>
      <c r="AY62" s="163">
        <v>323.08266776521816</v>
      </c>
      <c r="AZ62" s="218">
        <v>0.23137998211854713</v>
      </c>
      <c r="BA62" s="163">
        <v>63.878652597261983</v>
      </c>
      <c r="BB62" s="163">
        <v>20.064508302617327</v>
      </c>
      <c r="BC62" s="163">
        <v>0</v>
      </c>
      <c r="BD62" s="163">
        <v>0</v>
      </c>
      <c r="BE62" s="163">
        <v>83.943160899879302</v>
      </c>
      <c r="BF62" s="163">
        <v>462.48069944608142</v>
      </c>
      <c r="BG62" s="163">
        <v>264.09798941298629</v>
      </c>
      <c r="BH62" s="218">
        <v>0.18150630069626478</v>
      </c>
      <c r="BI62" s="163">
        <v>83.212912709846279</v>
      </c>
      <c r="BJ62" s="163">
        <v>192.86247808979741</v>
      </c>
      <c r="BK62" s="163">
        <v>0</v>
      </c>
      <c r="BL62" s="163">
        <v>103.38375627906731</v>
      </c>
      <c r="BM62" s="163">
        <v>379.459147078711</v>
      </c>
      <c r="BN62" s="163">
        <v>63.878652597261983</v>
      </c>
      <c r="BO62" s="163">
        <v>0</v>
      </c>
      <c r="BP62" s="163">
        <v>20.064508302617327</v>
      </c>
      <c r="BQ62" s="163">
        <v>0</v>
      </c>
      <c r="BR62" s="163">
        <v>0</v>
      </c>
      <c r="BS62" s="163">
        <v>0</v>
      </c>
      <c r="BT62" s="163">
        <v>0</v>
      </c>
      <c r="BU62" s="163">
        <v>0</v>
      </c>
      <c r="BV62" s="163">
        <v>0</v>
      </c>
      <c r="BW62" s="163">
        <v>0</v>
      </c>
      <c r="BX62" s="163">
        <v>494.09293017298842</v>
      </c>
      <c r="BY62" s="163">
        <v>141.57594</v>
      </c>
      <c r="BZ62" s="163">
        <v>0</v>
      </c>
      <c r="CA62" s="163">
        <v>0</v>
      </c>
      <c r="CB62" s="163">
        <v>83.943160899879317</v>
      </c>
      <c r="CC62" s="163">
        <v>635.66887017298836</v>
      </c>
      <c r="CD62" s="218">
        <v>0.13205485566256431</v>
      </c>
      <c r="CE62" s="163">
        <v>367.48174569205361</v>
      </c>
      <c r="CF62" s="163">
        <v>1.1710160207776132</v>
      </c>
      <c r="CG62" s="163">
        <v>0</v>
      </c>
      <c r="CH62" s="163">
        <v>1.1710160207776132</v>
      </c>
      <c r="CI62" s="163">
        <v>5.8550369695918529E-2</v>
      </c>
      <c r="CJ62" s="163">
        <v>0</v>
      </c>
      <c r="CK62" s="163">
        <v>5.8550369695918529E-2</v>
      </c>
      <c r="CL62" s="163"/>
      <c r="CM62" s="163">
        <v>0</v>
      </c>
      <c r="CN62" s="163"/>
      <c r="CO62" s="163">
        <v>0</v>
      </c>
      <c r="CP62" s="163">
        <v>0</v>
      </c>
      <c r="CQ62" s="163">
        <v>0</v>
      </c>
      <c r="CR62" s="163">
        <v>0</v>
      </c>
      <c r="CS62" s="163">
        <v>0</v>
      </c>
      <c r="CT62" s="163">
        <v>0</v>
      </c>
      <c r="CU62" s="163">
        <v>0</v>
      </c>
      <c r="CV62" s="163">
        <v>9999</v>
      </c>
      <c r="CW62" s="217">
        <v>9999</v>
      </c>
      <c r="CX62" s="60"/>
      <c r="CY62" s="60"/>
      <c r="CZ62" s="60"/>
      <c r="DA62" s="60"/>
      <c r="DB62" s="60"/>
      <c r="DC62" s="60"/>
      <c r="DD62" s="60"/>
      <c r="DE62" s="60"/>
      <c r="DF62" s="60"/>
      <c r="DG62" s="60"/>
      <c r="DH62" s="60"/>
      <c r="DI62" s="60"/>
      <c r="DJ62" s="60"/>
      <c r="DK62" s="60"/>
      <c r="DL62" s="60"/>
      <c r="DM62" s="60"/>
      <c r="DN62" s="60"/>
      <c r="DO62" s="60"/>
      <c r="DP62" s="60"/>
      <c r="DQ62" s="60"/>
      <c r="DR62" s="60"/>
      <c r="DS62" s="60"/>
      <c r="DT62" s="60"/>
      <c r="DU62" s="60"/>
      <c r="DV62" s="60"/>
      <c r="DW62" s="60"/>
      <c r="DX62" s="60"/>
      <c r="DY62" s="60"/>
      <c r="DZ62" s="60"/>
      <c r="EA62" s="60"/>
    </row>
    <row r="63" spans="1:131">
      <c r="A63" s="60" t="s">
        <v>333</v>
      </c>
      <c r="B63" s="60"/>
      <c r="C63" s="163">
        <v>40</v>
      </c>
      <c r="D63" s="163">
        <v>114.58894767084345</v>
      </c>
      <c r="E63" s="163">
        <v>0</v>
      </c>
      <c r="F63" s="163">
        <v>786.69</v>
      </c>
      <c r="G63" s="163">
        <v>0</v>
      </c>
      <c r="H63" s="163">
        <v>0</v>
      </c>
      <c r="I63" s="163"/>
      <c r="J63" s="163"/>
      <c r="K63" s="163"/>
      <c r="L63" s="163">
        <v>123.26393620193372</v>
      </c>
      <c r="M63" s="163">
        <v>2.6003504756367E-2</v>
      </c>
      <c r="N63" s="163">
        <v>2.581582312014026E-2</v>
      </c>
      <c r="O63" s="163">
        <v>0</v>
      </c>
      <c r="P63" s="163">
        <v>0</v>
      </c>
      <c r="Q63" s="163">
        <v>0</v>
      </c>
      <c r="R63" s="163">
        <v>107.71621883130466</v>
      </c>
      <c r="S63" s="163">
        <v>248.91579817474565</v>
      </c>
      <c r="T63" s="163">
        <v>0</v>
      </c>
      <c r="U63" s="163">
        <v>192.46971205580618</v>
      </c>
      <c r="V63" s="163">
        <v>47.201400000000007</v>
      </c>
      <c r="W63" s="163">
        <v>110.1366</v>
      </c>
      <c r="X63" s="163">
        <v>0</v>
      </c>
      <c r="Y63" s="163">
        <v>0</v>
      </c>
      <c r="Z63" s="163">
        <v>0</v>
      </c>
      <c r="AA63" s="163">
        <v>0</v>
      </c>
      <c r="AB63" s="163">
        <v>0</v>
      </c>
      <c r="AC63" s="163">
        <v>0</v>
      </c>
      <c r="AD63" s="163">
        <v>0</v>
      </c>
      <c r="AE63" s="163">
        <v>0</v>
      </c>
      <c r="AF63" s="163">
        <v>0</v>
      </c>
      <c r="AG63" s="163">
        <v>0</v>
      </c>
      <c r="AH63" s="163">
        <v>154.91761883130465</v>
      </c>
      <c r="AI63" s="163">
        <v>359.05239817474563</v>
      </c>
      <c r="AJ63" s="163">
        <v>0</v>
      </c>
      <c r="AK63" s="163">
        <v>192.46971205580618</v>
      </c>
      <c r="AL63" s="163">
        <v>706.4397290618565</v>
      </c>
      <c r="AM63" s="163">
        <v>63.878652597261983</v>
      </c>
      <c r="AN63" s="163">
        <v>9.1882990095506205</v>
      </c>
      <c r="AO63" s="163">
        <v>0</v>
      </c>
      <c r="AP63" s="163">
        <v>0</v>
      </c>
      <c r="AQ63" s="163">
        <v>73.066951606812609</v>
      </c>
      <c r="AR63" s="163">
        <v>154.91761883130465</v>
      </c>
      <c r="AS63" s="218">
        <v>0.47165036590433157</v>
      </c>
      <c r="AT63" s="163">
        <v>63.878652597261983</v>
      </c>
      <c r="AU63" s="163">
        <v>10.876209293066706</v>
      </c>
      <c r="AV63" s="163">
        <v>0</v>
      </c>
      <c r="AW63" s="163">
        <v>0</v>
      </c>
      <c r="AX63" s="163">
        <v>74.754861890328684</v>
      </c>
      <c r="AY63" s="163">
        <v>359.05239817474563</v>
      </c>
      <c r="AZ63" s="218">
        <v>0.20820042498071986</v>
      </c>
      <c r="BA63" s="163">
        <v>63.878652597261983</v>
      </c>
      <c r="BB63" s="163">
        <v>20.064508302617327</v>
      </c>
      <c r="BC63" s="163">
        <v>0</v>
      </c>
      <c r="BD63" s="163">
        <v>0</v>
      </c>
      <c r="BE63" s="163">
        <v>83.943160899879302</v>
      </c>
      <c r="BF63" s="163">
        <v>513.97001700605028</v>
      </c>
      <c r="BG63" s="163">
        <v>294.83426334701369</v>
      </c>
      <c r="BH63" s="218">
        <v>0.16332306967799476</v>
      </c>
      <c r="BI63" s="163">
        <v>92.477247616662794</v>
      </c>
      <c r="BJ63" s="163">
        <v>214.33441711700831</v>
      </c>
      <c r="BK63" s="163">
        <v>0</v>
      </c>
      <c r="BL63" s="163">
        <v>114.89376970010507</v>
      </c>
      <c r="BM63" s="163">
        <v>421.70543443377619</v>
      </c>
      <c r="BN63" s="163">
        <v>63.878652597261983</v>
      </c>
      <c r="BO63" s="163">
        <v>0</v>
      </c>
      <c r="BP63" s="163">
        <v>20.064508302617327</v>
      </c>
      <c r="BQ63" s="163">
        <v>0</v>
      </c>
      <c r="BR63" s="163">
        <v>0</v>
      </c>
      <c r="BS63" s="163">
        <v>0</v>
      </c>
      <c r="BT63" s="163">
        <v>0</v>
      </c>
      <c r="BU63" s="163">
        <v>0</v>
      </c>
      <c r="BV63" s="163">
        <v>0</v>
      </c>
      <c r="BW63" s="163">
        <v>0</v>
      </c>
      <c r="BX63" s="163">
        <v>549.10172906185653</v>
      </c>
      <c r="BY63" s="163">
        <v>157.33800000000002</v>
      </c>
      <c r="BZ63" s="163">
        <v>0</v>
      </c>
      <c r="CA63" s="163">
        <v>0</v>
      </c>
      <c r="CB63" s="163">
        <v>83.943160899879317</v>
      </c>
      <c r="CC63" s="163">
        <v>706.4397290618565</v>
      </c>
      <c r="CD63" s="218">
        <v>0.11882565128571525</v>
      </c>
      <c r="CE63" s="163">
        <v>409.7280330471188</v>
      </c>
      <c r="CF63" s="163">
        <v>1.1710160207776132</v>
      </c>
      <c r="CG63" s="163">
        <v>0</v>
      </c>
      <c r="CH63" s="163">
        <v>1.1710160207776132</v>
      </c>
      <c r="CI63" s="163">
        <v>5.8550369695918529E-2</v>
      </c>
      <c r="CJ63" s="163">
        <v>0</v>
      </c>
      <c r="CK63" s="163">
        <v>5.8550369695918529E-2</v>
      </c>
      <c r="CL63" s="163"/>
      <c r="CM63" s="163">
        <v>0</v>
      </c>
      <c r="CN63" s="163"/>
      <c r="CO63" s="163">
        <v>0</v>
      </c>
      <c r="CP63" s="163">
        <v>0</v>
      </c>
      <c r="CQ63" s="163">
        <v>0</v>
      </c>
      <c r="CR63" s="163">
        <v>0</v>
      </c>
      <c r="CS63" s="163">
        <v>0</v>
      </c>
      <c r="CT63" s="163">
        <v>0</v>
      </c>
      <c r="CU63" s="163">
        <v>0</v>
      </c>
      <c r="CV63" s="163">
        <v>9999</v>
      </c>
      <c r="CW63" s="217">
        <v>9999</v>
      </c>
      <c r="CX63" s="60"/>
      <c r="CY63" s="60"/>
      <c r="CZ63" s="60"/>
      <c r="DA63" s="60"/>
      <c r="DB63" s="60"/>
      <c r="DC63" s="60"/>
      <c r="DD63" s="60"/>
      <c r="DE63" s="60"/>
      <c r="DF63" s="60"/>
      <c r="DG63" s="60"/>
      <c r="DH63" s="60"/>
      <c r="DI63" s="60"/>
      <c r="DJ63" s="60"/>
      <c r="DK63" s="60"/>
      <c r="DL63" s="60"/>
      <c r="DM63" s="60"/>
      <c r="DN63" s="60"/>
      <c r="DO63" s="60"/>
      <c r="DP63" s="60"/>
      <c r="DQ63" s="60"/>
      <c r="DR63" s="60"/>
      <c r="DS63" s="60"/>
      <c r="DT63" s="60"/>
      <c r="DU63" s="60"/>
      <c r="DV63" s="60"/>
      <c r="DW63" s="60"/>
      <c r="DX63" s="60"/>
      <c r="DY63" s="60"/>
      <c r="DZ63" s="60"/>
      <c r="EA63" s="60"/>
    </row>
    <row r="64" spans="1:131">
      <c r="A64" s="60" t="s">
        <v>331</v>
      </c>
      <c r="B64" s="60"/>
      <c r="C64" s="163">
        <v>40</v>
      </c>
      <c r="D64" s="163">
        <v>114.58894767084345</v>
      </c>
      <c r="E64" s="163">
        <v>0</v>
      </c>
      <c r="F64" s="163">
        <v>815.90999999999985</v>
      </c>
      <c r="G64" s="163">
        <v>0</v>
      </c>
      <c r="H64" s="163">
        <v>0</v>
      </c>
      <c r="I64" s="163"/>
      <c r="J64" s="163"/>
      <c r="K64" s="163"/>
      <c r="L64" s="163">
        <v>123.26393620193372</v>
      </c>
      <c r="M64" s="163">
        <v>2.6003504756367E-2</v>
      </c>
      <c r="N64" s="163">
        <v>2.581582312014026E-2</v>
      </c>
      <c r="O64" s="163">
        <v>0</v>
      </c>
      <c r="P64" s="163">
        <v>0</v>
      </c>
      <c r="Q64" s="163">
        <v>0</v>
      </c>
      <c r="R64" s="163">
        <v>111.71711869561041</v>
      </c>
      <c r="S64" s="163">
        <v>258.16126922772207</v>
      </c>
      <c r="T64" s="163">
        <v>0</v>
      </c>
      <c r="U64" s="163">
        <v>199.61860804567596</v>
      </c>
      <c r="V64" s="163">
        <v>48.954599999999992</v>
      </c>
      <c r="W64" s="163">
        <v>114.22739999999997</v>
      </c>
      <c r="X64" s="163">
        <v>0</v>
      </c>
      <c r="Y64" s="163">
        <v>0</v>
      </c>
      <c r="Z64" s="163">
        <v>0</v>
      </c>
      <c r="AA64" s="163">
        <v>0</v>
      </c>
      <c r="AB64" s="163">
        <v>0</v>
      </c>
      <c r="AC64" s="163">
        <v>0</v>
      </c>
      <c r="AD64" s="163">
        <v>0</v>
      </c>
      <c r="AE64" s="163">
        <v>0</v>
      </c>
      <c r="AF64" s="163">
        <v>0</v>
      </c>
      <c r="AG64" s="163">
        <v>0</v>
      </c>
      <c r="AH64" s="163">
        <v>160.67171869561039</v>
      </c>
      <c r="AI64" s="163">
        <v>372.38866922772206</v>
      </c>
      <c r="AJ64" s="163">
        <v>0</v>
      </c>
      <c r="AK64" s="163">
        <v>199.61860804567596</v>
      </c>
      <c r="AL64" s="163">
        <v>732.67899596900838</v>
      </c>
      <c r="AM64" s="163">
        <v>63.878652597261983</v>
      </c>
      <c r="AN64" s="163">
        <v>9.1882990095506205</v>
      </c>
      <c r="AO64" s="163">
        <v>0</v>
      </c>
      <c r="AP64" s="163">
        <v>0</v>
      </c>
      <c r="AQ64" s="163">
        <v>73.066951606812609</v>
      </c>
      <c r="AR64" s="163">
        <v>160.67171869561039</v>
      </c>
      <c r="AS64" s="218">
        <v>0.45475925819426005</v>
      </c>
      <c r="AT64" s="163">
        <v>63.878652597261983</v>
      </c>
      <c r="AU64" s="163">
        <v>10.876209293066706</v>
      </c>
      <c r="AV64" s="163">
        <v>0</v>
      </c>
      <c r="AW64" s="163">
        <v>0</v>
      </c>
      <c r="AX64" s="163">
        <v>74.754861890328684</v>
      </c>
      <c r="AY64" s="163">
        <v>372.38866922772206</v>
      </c>
      <c r="AZ64" s="218">
        <v>0.20074419032501442</v>
      </c>
      <c r="BA64" s="163">
        <v>63.878652597261983</v>
      </c>
      <c r="BB64" s="163">
        <v>20.064508302617327</v>
      </c>
      <c r="BC64" s="163">
        <v>0</v>
      </c>
      <c r="BD64" s="163">
        <v>0</v>
      </c>
      <c r="BE64" s="163">
        <v>83.943160899879302</v>
      </c>
      <c r="BF64" s="163">
        <v>533.06038792333243</v>
      </c>
      <c r="BG64" s="163">
        <v>306.23015860882941</v>
      </c>
      <c r="BH64" s="218">
        <v>0.15747401758157362</v>
      </c>
      <c r="BI64" s="163">
        <v>95.912126889767649</v>
      </c>
      <c r="BJ64" s="163">
        <v>222.29543310571918</v>
      </c>
      <c r="BK64" s="163">
        <v>0</v>
      </c>
      <c r="BL64" s="163">
        <v>119.16126509300071</v>
      </c>
      <c r="BM64" s="163">
        <v>437.36882508848754</v>
      </c>
      <c r="BN64" s="163">
        <v>63.878652597261983</v>
      </c>
      <c r="BO64" s="163">
        <v>0</v>
      </c>
      <c r="BP64" s="163">
        <v>20.064508302617327</v>
      </c>
      <c r="BQ64" s="163">
        <v>0</v>
      </c>
      <c r="BR64" s="163">
        <v>0</v>
      </c>
      <c r="BS64" s="163">
        <v>0</v>
      </c>
      <c r="BT64" s="163">
        <v>0</v>
      </c>
      <c r="BU64" s="163">
        <v>0</v>
      </c>
      <c r="BV64" s="163">
        <v>0</v>
      </c>
      <c r="BW64" s="163">
        <v>0</v>
      </c>
      <c r="BX64" s="163">
        <v>569.49699596900837</v>
      </c>
      <c r="BY64" s="163">
        <v>163.18199999999999</v>
      </c>
      <c r="BZ64" s="163">
        <v>0</v>
      </c>
      <c r="CA64" s="163">
        <v>0</v>
      </c>
      <c r="CB64" s="163">
        <v>83.943160899879317</v>
      </c>
      <c r="CC64" s="163">
        <v>732.67899596900838</v>
      </c>
      <c r="CD64" s="218">
        <v>0.11457017515407257</v>
      </c>
      <c r="CE64" s="163">
        <v>425.39142370183015</v>
      </c>
      <c r="CF64" s="163">
        <v>1.1710160207776132</v>
      </c>
      <c r="CG64" s="163">
        <v>0</v>
      </c>
      <c r="CH64" s="163">
        <v>1.1710160207776132</v>
      </c>
      <c r="CI64" s="163">
        <v>5.8550369695918529E-2</v>
      </c>
      <c r="CJ64" s="163">
        <v>0</v>
      </c>
      <c r="CK64" s="163">
        <v>5.8550369695918529E-2</v>
      </c>
      <c r="CL64" s="163"/>
      <c r="CM64" s="163">
        <v>0</v>
      </c>
      <c r="CN64" s="163"/>
      <c r="CO64" s="163">
        <v>0</v>
      </c>
      <c r="CP64" s="163">
        <v>0</v>
      </c>
      <c r="CQ64" s="163">
        <v>0</v>
      </c>
      <c r="CR64" s="163">
        <v>0</v>
      </c>
      <c r="CS64" s="163">
        <v>0</v>
      </c>
      <c r="CT64" s="163">
        <v>0</v>
      </c>
      <c r="CU64" s="163">
        <v>0</v>
      </c>
      <c r="CV64" s="163">
        <v>9999</v>
      </c>
      <c r="CW64" s="217">
        <v>9999</v>
      </c>
      <c r="CX64" s="60"/>
      <c r="CY64" s="60"/>
      <c r="CZ64" s="60"/>
      <c r="DA64" s="60"/>
      <c r="DB64" s="60"/>
      <c r="DC64" s="60"/>
      <c r="DD64" s="60"/>
      <c r="DE64" s="60"/>
      <c r="DF64" s="60"/>
      <c r="DG64" s="60"/>
      <c r="DH64" s="60"/>
      <c r="DI64" s="60"/>
      <c r="DJ64" s="60"/>
      <c r="DK64" s="60"/>
      <c r="DL64" s="60"/>
      <c r="DM64" s="60"/>
      <c r="DN64" s="60"/>
      <c r="DO64" s="60"/>
      <c r="DP64" s="60"/>
      <c r="DQ64" s="60"/>
      <c r="DR64" s="60"/>
      <c r="DS64" s="60"/>
      <c r="DT64" s="60"/>
      <c r="DU64" s="60"/>
      <c r="DV64" s="60"/>
      <c r="DW64" s="60"/>
      <c r="DX64" s="60"/>
      <c r="DY64" s="60"/>
      <c r="DZ64" s="60"/>
      <c r="EA64" s="60"/>
    </row>
    <row r="65" spans="1:131">
      <c r="A65" s="60"/>
      <c r="B65" s="60"/>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3"/>
      <c r="BR65" s="163"/>
      <c r="BS65" s="163"/>
      <c r="BT65" s="163"/>
      <c r="BU65" s="163"/>
      <c r="BV65" s="163"/>
      <c r="BW65" s="163"/>
      <c r="BX65" s="163"/>
      <c r="BY65" s="163"/>
      <c r="BZ65" s="163"/>
      <c r="CA65" s="163"/>
      <c r="CB65" s="163"/>
      <c r="CC65" s="163"/>
      <c r="CD65" s="163"/>
      <c r="CE65" s="163"/>
      <c r="CF65" s="163"/>
      <c r="CG65" s="163"/>
      <c r="CH65" s="163"/>
      <c r="CI65" s="163"/>
      <c r="CJ65" s="163"/>
      <c r="CK65" s="163"/>
      <c r="CL65" s="163"/>
      <c r="CM65" s="163"/>
      <c r="CN65" s="163"/>
      <c r="CO65" s="163"/>
      <c r="CP65" s="163"/>
      <c r="CQ65" s="163"/>
      <c r="CR65" s="163"/>
      <c r="CS65" s="163"/>
      <c r="CT65" s="163"/>
      <c r="CU65" s="163"/>
      <c r="CV65" s="163"/>
      <c r="CW65" s="163"/>
      <c r="CX65" s="60"/>
      <c r="CY65" s="60"/>
      <c r="CZ65" s="60"/>
      <c r="DA65" s="60"/>
      <c r="DB65" s="60"/>
      <c r="DC65" s="60"/>
      <c r="DD65" s="60"/>
      <c r="DE65" s="60"/>
      <c r="DF65" s="60"/>
      <c r="DG65" s="60"/>
      <c r="DH65" s="60"/>
      <c r="DI65" s="60"/>
      <c r="DJ65" s="60"/>
      <c r="DK65" s="60"/>
      <c r="DL65" s="60"/>
      <c r="DM65" s="60"/>
      <c r="DN65" s="60"/>
      <c r="DO65" s="60"/>
      <c r="DP65" s="60"/>
      <c r="DQ65" s="60"/>
      <c r="DR65" s="60"/>
      <c r="DS65" s="60"/>
      <c r="DT65" s="60"/>
      <c r="DU65" s="60"/>
      <c r="DV65" s="60"/>
      <c r="DW65" s="60"/>
      <c r="DX65" s="60"/>
      <c r="DY65" s="60"/>
      <c r="DZ65" s="60"/>
      <c r="EA65" s="60"/>
    </row>
    <row r="66" spans="1:131">
      <c r="A66" s="60"/>
      <c r="B66" s="60"/>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c r="BM66" s="163"/>
      <c r="BN66" s="163"/>
      <c r="BO66" s="163"/>
      <c r="BP66" s="163"/>
      <c r="BQ66" s="163"/>
      <c r="BR66" s="163"/>
      <c r="BS66" s="163"/>
      <c r="BT66" s="163"/>
      <c r="BU66" s="163"/>
      <c r="BV66" s="163"/>
      <c r="BW66" s="163"/>
      <c r="BX66" s="163"/>
      <c r="BY66" s="163"/>
      <c r="BZ66" s="163"/>
      <c r="CA66" s="163"/>
      <c r="CB66" s="163"/>
      <c r="CC66" s="163"/>
      <c r="CD66" s="163"/>
      <c r="CE66" s="163"/>
      <c r="CF66" s="163"/>
      <c r="CG66" s="163"/>
      <c r="CH66" s="163"/>
      <c r="CI66" s="163"/>
      <c r="CJ66" s="163"/>
      <c r="CK66" s="163"/>
      <c r="CL66" s="163"/>
      <c r="CM66" s="163"/>
      <c r="CN66" s="163"/>
      <c r="CO66" s="163"/>
      <c r="CP66" s="163"/>
      <c r="CQ66" s="163"/>
      <c r="CR66" s="163"/>
      <c r="CS66" s="163"/>
      <c r="CT66" s="163"/>
      <c r="CU66" s="163"/>
      <c r="CV66" s="163"/>
      <c r="CW66" s="163"/>
      <c r="CX66" s="60"/>
      <c r="CY66" s="60"/>
      <c r="CZ66" s="60"/>
      <c r="DA66" s="60"/>
      <c r="DB66" s="60"/>
      <c r="DC66" s="60"/>
      <c r="DD66" s="60"/>
      <c r="DE66" s="60"/>
      <c r="DF66" s="60"/>
      <c r="DG66" s="60"/>
      <c r="DH66" s="60"/>
      <c r="DI66" s="60"/>
      <c r="DJ66" s="60"/>
      <c r="DK66" s="60"/>
      <c r="DL66" s="60"/>
      <c r="DM66" s="60"/>
      <c r="DN66" s="60"/>
      <c r="DO66" s="60"/>
      <c r="DP66" s="60"/>
      <c r="DQ66" s="60"/>
      <c r="DR66" s="60"/>
      <c r="DS66" s="60"/>
      <c r="DT66" s="60"/>
      <c r="DU66" s="60"/>
      <c r="DV66" s="60"/>
      <c r="DW66" s="60"/>
      <c r="DX66" s="60"/>
      <c r="DY66" s="60"/>
      <c r="DZ66" s="60"/>
      <c r="EA66" s="60"/>
    </row>
    <row r="67" spans="1:131" ht="13.5" thickBot="1">
      <c r="A67" s="161" t="s">
        <v>803</v>
      </c>
      <c r="B67" s="162"/>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O67" s="163"/>
      <c r="AP67" s="163"/>
      <c r="AQ67" s="163"/>
      <c r="AR67" s="163"/>
      <c r="AS67" s="163"/>
      <c r="AT67" s="163"/>
      <c r="AU67" s="163"/>
      <c r="AV67" s="163"/>
      <c r="AW67" s="163"/>
      <c r="AX67" s="163"/>
      <c r="AY67" s="163"/>
      <c r="AZ67" s="163"/>
      <c r="BA67" s="163"/>
      <c r="BB67" s="163"/>
      <c r="BC67" s="163"/>
      <c r="BD67" s="163"/>
      <c r="BE67" s="163"/>
      <c r="BF67" s="163"/>
      <c r="BG67" s="163"/>
      <c r="BH67" s="163"/>
      <c r="BI67" s="163"/>
      <c r="BJ67" s="163"/>
      <c r="BK67" s="163"/>
      <c r="BL67" s="163"/>
      <c r="BM67" s="163"/>
      <c r="BN67" s="163"/>
      <c r="BO67" s="163"/>
      <c r="BP67" s="163"/>
      <c r="BQ67" s="163"/>
      <c r="BR67" s="163"/>
      <c r="BS67" s="163"/>
      <c r="BT67" s="163"/>
      <c r="BU67" s="163"/>
      <c r="BV67" s="163"/>
      <c r="BW67" s="163"/>
      <c r="BX67" s="163"/>
      <c r="BY67" s="163"/>
      <c r="BZ67" s="163"/>
      <c r="CA67" s="163"/>
      <c r="CB67" s="163"/>
      <c r="CC67" s="163"/>
      <c r="CD67" s="163"/>
      <c r="CE67" s="163"/>
      <c r="CF67" s="163"/>
      <c r="CG67" s="163"/>
      <c r="CH67" s="163"/>
      <c r="CI67" s="163"/>
      <c r="CJ67" s="163"/>
      <c r="CK67" s="163"/>
      <c r="CL67" s="163"/>
      <c r="CM67" s="163"/>
      <c r="CN67" s="163"/>
      <c r="CO67" s="163"/>
      <c r="CP67" s="163"/>
      <c r="CQ67" s="163"/>
      <c r="CR67" s="163"/>
      <c r="CS67" s="163"/>
      <c r="CT67" s="163"/>
      <c r="CU67" s="163"/>
      <c r="CV67" s="163"/>
      <c r="CW67" s="163"/>
      <c r="CX67" s="60"/>
      <c r="CY67" s="60"/>
      <c r="CZ67" s="60"/>
      <c r="DA67" s="60"/>
      <c r="DB67" s="60"/>
      <c r="DC67" s="60"/>
      <c r="DD67" s="60"/>
      <c r="DE67" s="60"/>
      <c r="DF67" s="60"/>
      <c r="DG67" s="60"/>
      <c r="DH67" s="60"/>
      <c r="DI67" s="60"/>
      <c r="DJ67" s="60"/>
      <c r="DK67" s="60"/>
      <c r="DL67" s="60"/>
      <c r="DM67" s="60"/>
      <c r="DN67" s="60"/>
      <c r="DO67" s="60"/>
      <c r="DP67" s="60"/>
      <c r="DQ67" s="60"/>
      <c r="DR67" s="60"/>
      <c r="DS67" s="60"/>
      <c r="DT67" s="60"/>
      <c r="DU67" s="60"/>
      <c r="DV67" s="60"/>
      <c r="DW67" s="60"/>
      <c r="DX67" s="60"/>
      <c r="DY67" s="60"/>
      <c r="DZ67" s="60"/>
      <c r="EA67" s="60"/>
    </row>
    <row r="68" spans="1:131" ht="13.5" thickBot="1">
      <c r="A68" s="219" t="s">
        <v>804</v>
      </c>
      <c r="B68" s="220"/>
      <c r="C68" s="221"/>
      <c r="D68" s="221"/>
      <c r="E68" s="221"/>
      <c r="F68" s="221"/>
      <c r="G68" s="221"/>
      <c r="H68" s="221"/>
      <c r="I68" s="221"/>
      <c r="J68" s="221"/>
      <c r="K68" s="221"/>
      <c r="L68" s="169"/>
      <c r="M68" s="222"/>
      <c r="N68" s="223" t="s">
        <v>846</v>
      </c>
      <c r="O68" s="221"/>
      <c r="P68" s="221"/>
      <c r="Q68" s="221"/>
      <c r="R68" s="221"/>
      <c r="S68" s="221"/>
      <c r="T68" s="221"/>
      <c r="U68" s="221"/>
      <c r="V68" s="221"/>
      <c r="W68" s="221"/>
      <c r="X68" s="221"/>
      <c r="Y68" s="169"/>
      <c r="Z68" s="222"/>
      <c r="AA68" s="223" t="s">
        <v>847</v>
      </c>
      <c r="AB68" s="221"/>
      <c r="AC68" s="221"/>
      <c r="AD68" s="221"/>
      <c r="AE68" s="221"/>
      <c r="AF68" s="221"/>
      <c r="AG68" s="221"/>
      <c r="AH68" s="221"/>
      <c r="AI68" s="221"/>
      <c r="AJ68" s="221"/>
      <c r="AK68" s="221"/>
      <c r="AL68" s="169"/>
      <c r="AM68" s="163"/>
      <c r="AN68" s="163"/>
      <c r="AO68" s="163"/>
      <c r="AP68" s="163"/>
      <c r="AQ68" s="163"/>
      <c r="AR68" s="163"/>
      <c r="AS68" s="163"/>
      <c r="AT68" s="163"/>
      <c r="AU68" s="163"/>
      <c r="AV68" s="163"/>
      <c r="AW68" s="163"/>
      <c r="AX68" s="163"/>
      <c r="AY68" s="163"/>
      <c r="AZ68" s="163"/>
      <c r="BA68" s="163"/>
      <c r="BB68" s="163"/>
      <c r="BC68" s="163"/>
      <c r="BD68" s="163"/>
      <c r="BE68" s="163"/>
      <c r="BF68" s="163"/>
      <c r="BG68" s="163"/>
      <c r="BH68" s="163"/>
      <c r="BI68" s="163"/>
      <c r="BJ68" s="163"/>
      <c r="BK68" s="163"/>
      <c r="BL68" s="163"/>
      <c r="BM68" s="163"/>
      <c r="BN68" s="163"/>
      <c r="BO68" s="163"/>
      <c r="BP68" s="163"/>
      <c r="BQ68" s="163"/>
      <c r="BR68" s="163"/>
      <c r="BS68" s="163"/>
      <c r="BT68" s="163"/>
      <c r="BU68" s="163"/>
      <c r="BV68" s="163"/>
      <c r="BW68" s="163"/>
      <c r="BX68" s="163"/>
      <c r="BY68" s="163"/>
      <c r="BZ68" s="163"/>
      <c r="CA68" s="163"/>
      <c r="CB68" s="163"/>
      <c r="CC68" s="163"/>
      <c r="CD68" s="163"/>
      <c r="CE68" s="163"/>
      <c r="CF68" s="163"/>
      <c r="CG68" s="163"/>
      <c r="CH68" s="163"/>
      <c r="CI68" s="163"/>
      <c r="CJ68" s="163"/>
      <c r="CK68" s="163"/>
      <c r="CL68" s="163"/>
      <c r="CM68" s="163"/>
      <c r="CN68" s="163"/>
      <c r="CO68" s="163"/>
      <c r="CP68" s="163"/>
      <c r="CQ68" s="163"/>
      <c r="CR68" s="163"/>
      <c r="CS68" s="163"/>
      <c r="CT68" s="163"/>
      <c r="CU68" s="163"/>
      <c r="CV68" s="163"/>
      <c r="CW68" s="163"/>
      <c r="CX68" s="60"/>
      <c r="CY68" s="60"/>
      <c r="CZ68" s="60"/>
      <c r="DA68" s="60"/>
      <c r="DB68" s="60"/>
      <c r="DC68" s="60"/>
      <c r="DD68" s="60"/>
      <c r="DE68" s="60"/>
      <c r="DF68" s="60"/>
      <c r="DG68" s="60"/>
      <c r="DH68" s="60"/>
      <c r="DI68" s="60"/>
      <c r="DJ68" s="60"/>
      <c r="DK68" s="60"/>
      <c r="DL68" s="60"/>
      <c r="DM68" s="60"/>
      <c r="DN68" s="60"/>
      <c r="DO68" s="60"/>
      <c r="DP68" s="60"/>
      <c r="DQ68" s="60"/>
      <c r="DR68" s="60"/>
      <c r="DS68" s="60"/>
      <c r="DT68" s="60"/>
      <c r="DU68" s="60"/>
      <c r="DV68" s="60"/>
      <c r="DW68" s="60"/>
      <c r="DX68" s="60"/>
      <c r="DY68" s="60"/>
      <c r="DZ68" s="60"/>
      <c r="EA68" s="60"/>
    </row>
    <row r="69" spans="1:131" ht="191.25">
      <c r="A69" s="170"/>
      <c r="B69" s="171" t="s">
        <v>805</v>
      </c>
      <c r="C69" s="172" t="s">
        <v>806</v>
      </c>
      <c r="D69" s="172" t="s">
        <v>304</v>
      </c>
      <c r="E69" s="172" t="s">
        <v>305</v>
      </c>
      <c r="F69" s="172" t="s">
        <v>306</v>
      </c>
      <c r="G69" s="172" t="s">
        <v>307</v>
      </c>
      <c r="H69" s="172" t="s">
        <v>308</v>
      </c>
      <c r="I69" s="172" t="s">
        <v>309</v>
      </c>
      <c r="J69" s="172" t="s">
        <v>310</v>
      </c>
      <c r="K69" s="172" t="s">
        <v>311</v>
      </c>
      <c r="L69" s="172" t="s">
        <v>312</v>
      </c>
      <c r="M69" s="172" t="s">
        <v>313</v>
      </c>
      <c r="N69" s="172" t="s">
        <v>314</v>
      </c>
      <c r="O69" s="172" t="s">
        <v>315</v>
      </c>
      <c r="P69" s="172" t="s">
        <v>316</v>
      </c>
      <c r="Q69" s="172" t="s">
        <v>317</v>
      </c>
      <c r="R69" s="172" t="s">
        <v>318</v>
      </c>
      <c r="S69" s="172" t="s">
        <v>319</v>
      </c>
      <c r="T69" s="172" t="s">
        <v>320</v>
      </c>
      <c r="U69" s="172" t="s">
        <v>321</v>
      </c>
      <c r="V69" s="172" t="s">
        <v>322</v>
      </c>
      <c r="W69" s="172" t="s">
        <v>323</v>
      </c>
      <c r="X69" s="172" t="s">
        <v>324</v>
      </c>
      <c r="Y69" s="172" t="s">
        <v>325</v>
      </c>
      <c r="Z69" s="172"/>
      <c r="AA69" s="172" t="s">
        <v>314</v>
      </c>
      <c r="AB69" s="172" t="s">
        <v>315</v>
      </c>
      <c r="AC69" s="172" t="s">
        <v>316</v>
      </c>
      <c r="AD69" s="172" t="s">
        <v>317</v>
      </c>
      <c r="AE69" s="172" t="s">
        <v>318</v>
      </c>
      <c r="AF69" s="172" t="s">
        <v>319</v>
      </c>
      <c r="AG69" s="172" t="s">
        <v>320</v>
      </c>
      <c r="AH69" s="172" t="s">
        <v>321</v>
      </c>
      <c r="AI69" s="172" t="s">
        <v>322</v>
      </c>
      <c r="AJ69" s="172" t="s">
        <v>323</v>
      </c>
      <c r="AK69" s="172" t="s">
        <v>324</v>
      </c>
      <c r="AL69" s="172" t="s">
        <v>325</v>
      </c>
      <c r="AM69" s="163"/>
      <c r="AN69" s="163"/>
      <c r="AO69" s="163"/>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c r="BM69" s="163"/>
      <c r="BN69" s="163"/>
      <c r="BO69" s="163"/>
      <c r="BP69" s="163"/>
      <c r="BQ69" s="163"/>
      <c r="BR69" s="163"/>
      <c r="BS69" s="163"/>
      <c r="BT69" s="163"/>
      <c r="BU69" s="163"/>
      <c r="BV69" s="163"/>
      <c r="BW69" s="163"/>
      <c r="BX69" s="163"/>
      <c r="BY69" s="163"/>
      <c r="BZ69" s="163"/>
      <c r="CA69" s="163"/>
      <c r="CB69" s="163"/>
      <c r="CC69" s="163"/>
      <c r="CD69" s="163"/>
      <c r="CE69" s="163"/>
      <c r="CF69" s="163"/>
      <c r="CG69" s="163"/>
      <c r="CH69" s="163"/>
      <c r="CI69" s="163"/>
      <c r="CJ69" s="163"/>
      <c r="CK69" s="163"/>
      <c r="CL69" s="163"/>
      <c r="CM69" s="163"/>
      <c r="CN69" s="163"/>
      <c r="CO69" s="163"/>
      <c r="CP69" s="163"/>
      <c r="CQ69" s="163"/>
      <c r="CR69" s="163"/>
      <c r="CS69" s="163"/>
      <c r="CT69" s="163"/>
      <c r="CU69" s="163"/>
      <c r="CV69" s="163"/>
      <c r="CW69" s="163"/>
      <c r="CX69" s="60"/>
      <c r="CY69" s="60"/>
      <c r="CZ69" s="60"/>
      <c r="DA69" s="60"/>
      <c r="DB69" s="60"/>
      <c r="DC69" s="60"/>
      <c r="DD69" s="60"/>
      <c r="DE69" s="60"/>
      <c r="DF69" s="60"/>
      <c r="DG69" s="60"/>
      <c r="DH69" s="60"/>
      <c r="DI69" s="60"/>
      <c r="DJ69" s="60"/>
      <c r="DK69" s="60"/>
      <c r="DL69" s="60"/>
      <c r="DM69" s="60"/>
      <c r="DN69" s="60"/>
      <c r="DO69" s="60"/>
      <c r="DP69" s="60"/>
      <c r="DQ69" s="60"/>
      <c r="DR69" s="60"/>
      <c r="DS69" s="60"/>
      <c r="DT69" s="60"/>
      <c r="DU69" s="60"/>
      <c r="DV69" s="60"/>
      <c r="DW69" s="60"/>
      <c r="DX69" s="60"/>
      <c r="DY69" s="60"/>
      <c r="DZ69" s="60"/>
      <c r="EA69" s="60"/>
    </row>
    <row r="70" spans="1:131">
      <c r="A70" s="60"/>
      <c r="B70" s="224" t="s">
        <v>807</v>
      </c>
      <c r="C70" s="225">
        <v>0</v>
      </c>
      <c r="D70" s="225">
        <v>0</v>
      </c>
      <c r="E70" s="225">
        <v>0</v>
      </c>
      <c r="F70" s="225">
        <v>0</v>
      </c>
      <c r="G70" s="225">
        <v>0</v>
      </c>
      <c r="H70" s="225">
        <v>0</v>
      </c>
      <c r="I70" s="225">
        <v>0</v>
      </c>
      <c r="J70" s="225">
        <v>0</v>
      </c>
      <c r="K70" s="225">
        <v>0</v>
      </c>
      <c r="L70" s="218">
        <v>0</v>
      </c>
      <c r="M70" s="226">
        <v>0</v>
      </c>
      <c r="N70" s="226">
        <v>0</v>
      </c>
      <c r="O70" s="226">
        <v>0</v>
      </c>
      <c r="P70" s="226">
        <v>0</v>
      </c>
      <c r="Q70" s="226">
        <v>0</v>
      </c>
      <c r="R70" s="226">
        <v>0</v>
      </c>
      <c r="S70" s="226">
        <v>0</v>
      </c>
      <c r="T70" s="226">
        <v>0</v>
      </c>
      <c r="U70" s="226">
        <v>0</v>
      </c>
      <c r="V70" s="226">
        <v>0</v>
      </c>
      <c r="W70" s="226">
        <v>0</v>
      </c>
      <c r="X70" s="226">
        <v>0</v>
      </c>
      <c r="Y70" s="226">
        <v>0</v>
      </c>
      <c r="Z70" s="226"/>
      <c r="AA70" s="226">
        <v>0</v>
      </c>
      <c r="AB70" s="226">
        <v>0</v>
      </c>
      <c r="AC70" s="226">
        <v>0</v>
      </c>
      <c r="AD70" s="226">
        <v>0</v>
      </c>
      <c r="AE70" s="226">
        <v>0</v>
      </c>
      <c r="AF70" s="226">
        <v>0</v>
      </c>
      <c r="AG70" s="226">
        <v>0</v>
      </c>
      <c r="AH70" s="226">
        <v>0</v>
      </c>
      <c r="AI70" s="226">
        <v>0</v>
      </c>
      <c r="AJ70" s="226">
        <v>0</v>
      </c>
      <c r="AK70" s="226">
        <v>0</v>
      </c>
      <c r="AL70" s="226">
        <v>0</v>
      </c>
      <c r="AM70" s="163"/>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3"/>
      <c r="BR70" s="163"/>
      <c r="BS70" s="163"/>
      <c r="BT70" s="163"/>
      <c r="BU70" s="163"/>
      <c r="BV70" s="163"/>
      <c r="BW70" s="163"/>
      <c r="BX70" s="163"/>
      <c r="BY70" s="163"/>
      <c r="BZ70" s="163"/>
      <c r="CA70" s="163"/>
      <c r="CB70" s="163"/>
      <c r="CC70" s="163"/>
      <c r="CD70" s="163"/>
      <c r="CE70" s="163"/>
      <c r="CF70" s="163"/>
      <c r="CG70" s="163"/>
      <c r="CH70" s="163"/>
      <c r="CI70" s="163"/>
      <c r="CJ70" s="163"/>
      <c r="CK70" s="163"/>
      <c r="CL70" s="163"/>
      <c r="CM70" s="163"/>
      <c r="CN70" s="163"/>
      <c r="CO70" s="163"/>
      <c r="CP70" s="163"/>
      <c r="CQ70" s="163"/>
      <c r="CR70" s="163"/>
      <c r="CS70" s="163"/>
      <c r="CT70" s="163"/>
      <c r="CU70" s="163"/>
      <c r="CV70" s="163"/>
      <c r="CW70" s="163"/>
      <c r="CX70" s="60"/>
      <c r="CY70" s="60"/>
      <c r="CZ70" s="60"/>
      <c r="DA70" s="60"/>
      <c r="DB70" s="60"/>
      <c r="DC70" s="60"/>
      <c r="DD70" s="60"/>
      <c r="DE70" s="60"/>
      <c r="DF70" s="60"/>
      <c r="DG70" s="60"/>
      <c r="DH70" s="60"/>
      <c r="DI70" s="60"/>
      <c r="DJ70" s="60"/>
      <c r="DK70" s="60"/>
      <c r="DL70" s="60"/>
      <c r="DM70" s="60"/>
      <c r="DN70" s="60"/>
      <c r="DO70" s="60"/>
      <c r="DP70" s="60"/>
      <c r="DQ70" s="60"/>
      <c r="DR70" s="60"/>
      <c r="DS70" s="60"/>
      <c r="DT70" s="60"/>
      <c r="DU70" s="60"/>
      <c r="DV70" s="60"/>
      <c r="DW70" s="60"/>
      <c r="DX70" s="60"/>
      <c r="DY70" s="60"/>
      <c r="DZ70" s="60"/>
      <c r="EA70" s="60"/>
    </row>
    <row r="71" spans="1:131">
      <c r="A71" s="60"/>
      <c r="B71" s="224" t="s">
        <v>808</v>
      </c>
      <c r="C71" s="225">
        <v>0</v>
      </c>
      <c r="D71" s="225">
        <v>0</v>
      </c>
      <c r="E71" s="225">
        <v>0</v>
      </c>
      <c r="F71" s="225">
        <v>0</v>
      </c>
      <c r="G71" s="225">
        <v>0</v>
      </c>
      <c r="H71" s="225">
        <v>0</v>
      </c>
      <c r="I71" s="225">
        <v>0</v>
      </c>
      <c r="J71" s="225">
        <v>0</v>
      </c>
      <c r="K71" s="225">
        <v>0</v>
      </c>
      <c r="L71" s="218">
        <v>0</v>
      </c>
      <c r="M71" s="226">
        <v>0</v>
      </c>
      <c r="N71" s="226">
        <v>0</v>
      </c>
      <c r="O71" s="226">
        <v>0</v>
      </c>
      <c r="P71" s="226">
        <v>0</v>
      </c>
      <c r="Q71" s="226">
        <v>0</v>
      </c>
      <c r="R71" s="226">
        <v>0</v>
      </c>
      <c r="S71" s="226">
        <v>0</v>
      </c>
      <c r="T71" s="226">
        <v>0</v>
      </c>
      <c r="U71" s="226">
        <v>0</v>
      </c>
      <c r="V71" s="226">
        <v>0</v>
      </c>
      <c r="W71" s="226">
        <v>0</v>
      </c>
      <c r="X71" s="226">
        <v>0</v>
      </c>
      <c r="Y71" s="226">
        <v>0</v>
      </c>
      <c r="Z71" s="226"/>
      <c r="AA71" s="226">
        <v>0</v>
      </c>
      <c r="AB71" s="226">
        <v>0</v>
      </c>
      <c r="AC71" s="226">
        <v>0</v>
      </c>
      <c r="AD71" s="226">
        <v>0</v>
      </c>
      <c r="AE71" s="226">
        <v>0</v>
      </c>
      <c r="AF71" s="226">
        <v>0</v>
      </c>
      <c r="AG71" s="226">
        <v>0</v>
      </c>
      <c r="AH71" s="226">
        <v>0</v>
      </c>
      <c r="AI71" s="226">
        <v>0</v>
      </c>
      <c r="AJ71" s="226">
        <v>0</v>
      </c>
      <c r="AK71" s="226">
        <v>0</v>
      </c>
      <c r="AL71" s="226">
        <v>0</v>
      </c>
      <c r="AM71" s="163"/>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3"/>
      <c r="BR71" s="163"/>
      <c r="BS71" s="163"/>
      <c r="BT71" s="163"/>
      <c r="BU71" s="163"/>
      <c r="BV71" s="163"/>
      <c r="BW71" s="163"/>
      <c r="BX71" s="163"/>
      <c r="BY71" s="163"/>
      <c r="BZ71" s="163"/>
      <c r="CA71" s="163"/>
      <c r="CB71" s="163"/>
      <c r="CC71" s="163"/>
      <c r="CD71" s="163"/>
      <c r="CE71" s="163"/>
      <c r="CF71" s="163"/>
      <c r="CG71" s="163"/>
      <c r="CH71" s="163"/>
      <c r="CI71" s="163"/>
      <c r="CJ71" s="163"/>
      <c r="CK71" s="163"/>
      <c r="CL71" s="163"/>
      <c r="CM71" s="163"/>
      <c r="CN71" s="163"/>
      <c r="CO71" s="163"/>
      <c r="CP71" s="163"/>
      <c r="CQ71" s="163"/>
      <c r="CR71" s="163"/>
      <c r="CS71" s="163"/>
      <c r="CT71" s="163"/>
      <c r="CU71" s="163"/>
      <c r="CV71" s="163"/>
      <c r="CW71" s="163"/>
      <c r="CX71" s="60"/>
      <c r="CY71" s="60"/>
      <c r="CZ71" s="60"/>
      <c r="DA71" s="60"/>
      <c r="DB71" s="60"/>
      <c r="DC71" s="60"/>
      <c r="DD71" s="60"/>
      <c r="DE71" s="60"/>
      <c r="DF71" s="60"/>
      <c r="DG71" s="60"/>
      <c r="DH71" s="60"/>
      <c r="DI71" s="60"/>
      <c r="DJ71" s="60"/>
      <c r="DK71" s="60"/>
      <c r="DL71" s="60"/>
      <c r="DM71" s="60"/>
      <c r="DN71" s="60"/>
      <c r="DO71" s="60"/>
      <c r="DP71" s="60"/>
      <c r="DQ71" s="60"/>
      <c r="DR71" s="60"/>
      <c r="DS71" s="60"/>
      <c r="DT71" s="60"/>
      <c r="DU71" s="60"/>
      <c r="DV71" s="60"/>
      <c r="DW71" s="60"/>
      <c r="DX71" s="60"/>
      <c r="DY71" s="60"/>
      <c r="DZ71" s="60"/>
      <c r="EA71" s="60"/>
    </row>
    <row r="72" spans="1:131">
      <c r="A72" s="60"/>
      <c r="B72" s="224" t="s">
        <v>809</v>
      </c>
      <c r="C72" s="225"/>
      <c r="D72" s="225"/>
      <c r="E72" s="225"/>
      <c r="F72" s="225"/>
      <c r="G72" s="225"/>
      <c r="H72" s="225"/>
      <c r="I72" s="225"/>
      <c r="J72" s="225"/>
      <c r="K72" s="225"/>
      <c r="L72" s="218"/>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163"/>
      <c r="AN72" s="163"/>
      <c r="AO72" s="163"/>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c r="BM72" s="163"/>
      <c r="BN72" s="163"/>
      <c r="BO72" s="163"/>
      <c r="BP72" s="163"/>
      <c r="BQ72" s="163"/>
      <c r="BR72" s="163"/>
      <c r="BS72" s="163"/>
      <c r="BT72" s="163"/>
      <c r="BU72" s="163"/>
      <c r="BV72" s="163"/>
      <c r="BW72" s="163"/>
      <c r="BX72" s="163"/>
      <c r="BY72" s="163"/>
      <c r="BZ72" s="163"/>
      <c r="CA72" s="163"/>
      <c r="CB72" s="163"/>
      <c r="CC72" s="163"/>
      <c r="CD72" s="163"/>
      <c r="CE72" s="163"/>
      <c r="CF72" s="163"/>
      <c r="CG72" s="163"/>
      <c r="CH72" s="163"/>
      <c r="CI72" s="163"/>
      <c r="CJ72" s="163"/>
      <c r="CK72" s="163"/>
      <c r="CL72" s="163"/>
      <c r="CM72" s="163"/>
      <c r="CN72" s="163"/>
      <c r="CO72" s="163"/>
      <c r="CP72" s="163"/>
      <c r="CQ72" s="163"/>
      <c r="CR72" s="163"/>
      <c r="CS72" s="163"/>
      <c r="CT72" s="163"/>
      <c r="CU72" s="163"/>
      <c r="CV72" s="163"/>
      <c r="CW72" s="163"/>
      <c r="CX72" s="60"/>
      <c r="CY72" s="60"/>
      <c r="CZ72" s="60"/>
      <c r="DA72" s="60"/>
      <c r="DB72" s="60"/>
      <c r="DC72" s="60"/>
      <c r="DD72" s="60"/>
      <c r="DE72" s="60"/>
      <c r="DF72" s="60"/>
      <c r="DG72" s="60"/>
      <c r="DH72" s="60"/>
      <c r="DI72" s="60"/>
      <c r="DJ72" s="60"/>
      <c r="DK72" s="60"/>
      <c r="DL72" s="60"/>
      <c r="DM72" s="60"/>
      <c r="DN72" s="60"/>
      <c r="DO72" s="60"/>
      <c r="DP72" s="60"/>
      <c r="DQ72" s="60"/>
      <c r="DR72" s="60"/>
      <c r="DS72" s="60"/>
      <c r="DT72" s="60"/>
      <c r="DU72" s="60"/>
      <c r="DV72" s="60"/>
      <c r="DW72" s="60"/>
      <c r="DX72" s="60"/>
      <c r="DY72" s="60"/>
      <c r="DZ72" s="60"/>
      <c r="EA72" s="60"/>
    </row>
    <row r="73" spans="1:131">
      <c r="A73" s="60"/>
      <c r="B73" s="60" t="s">
        <v>230</v>
      </c>
      <c r="C73" s="226">
        <v>0</v>
      </c>
      <c r="D73" s="226">
        <v>0</v>
      </c>
      <c r="E73" s="226">
        <v>0</v>
      </c>
      <c r="F73" s="226">
        <v>0</v>
      </c>
      <c r="G73" s="226">
        <v>0</v>
      </c>
      <c r="H73" s="226">
        <v>0</v>
      </c>
      <c r="I73" s="226">
        <v>0</v>
      </c>
      <c r="J73" s="226">
        <v>0</v>
      </c>
      <c r="K73" s="226">
        <v>0</v>
      </c>
      <c r="L73" s="218">
        <v>0</v>
      </c>
      <c r="M73" s="226">
        <v>0</v>
      </c>
      <c r="N73" s="226">
        <v>0</v>
      </c>
      <c r="O73" s="226">
        <v>0</v>
      </c>
      <c r="P73" s="226">
        <v>0</v>
      </c>
      <c r="Q73" s="226">
        <v>0</v>
      </c>
      <c r="R73" s="226">
        <v>0</v>
      </c>
      <c r="S73" s="226">
        <v>0</v>
      </c>
      <c r="T73" s="226">
        <v>0</v>
      </c>
      <c r="U73" s="226">
        <v>0</v>
      </c>
      <c r="V73" s="226">
        <v>0</v>
      </c>
      <c r="W73" s="226">
        <v>0</v>
      </c>
      <c r="X73" s="226">
        <v>0</v>
      </c>
      <c r="Y73" s="226">
        <v>0</v>
      </c>
      <c r="Z73" s="226"/>
      <c r="AA73" s="226">
        <v>0</v>
      </c>
      <c r="AB73" s="226">
        <v>0</v>
      </c>
      <c r="AC73" s="226">
        <v>0</v>
      </c>
      <c r="AD73" s="226">
        <v>0</v>
      </c>
      <c r="AE73" s="226">
        <v>0</v>
      </c>
      <c r="AF73" s="226">
        <v>0</v>
      </c>
      <c r="AG73" s="226">
        <v>0</v>
      </c>
      <c r="AH73" s="226">
        <v>0</v>
      </c>
      <c r="AI73" s="226">
        <v>0</v>
      </c>
      <c r="AJ73" s="226">
        <v>0</v>
      </c>
      <c r="AK73" s="226">
        <v>0</v>
      </c>
      <c r="AL73" s="226">
        <v>0</v>
      </c>
      <c r="AM73" s="163"/>
      <c r="AN73" s="163"/>
      <c r="AO73" s="163"/>
      <c r="AP73" s="163"/>
      <c r="AQ73" s="163"/>
      <c r="AR73" s="163"/>
      <c r="AS73" s="163"/>
      <c r="AT73" s="163"/>
      <c r="AU73" s="163"/>
      <c r="AV73" s="163"/>
      <c r="AW73" s="163"/>
      <c r="AX73" s="163"/>
      <c r="AY73" s="163"/>
      <c r="AZ73" s="163"/>
      <c r="BA73" s="163"/>
      <c r="BB73" s="163"/>
      <c r="BC73" s="163"/>
      <c r="BD73" s="163"/>
      <c r="BE73" s="163"/>
      <c r="BF73" s="163"/>
      <c r="BG73" s="163"/>
      <c r="BH73" s="163"/>
      <c r="BI73" s="163"/>
      <c r="BJ73" s="163"/>
      <c r="BK73" s="163"/>
      <c r="BL73" s="163"/>
      <c r="BM73" s="163"/>
      <c r="BN73" s="163"/>
      <c r="BO73" s="163"/>
      <c r="BP73" s="163"/>
      <c r="BQ73" s="163"/>
      <c r="BR73" s="163"/>
      <c r="BS73" s="163"/>
      <c r="BT73" s="163"/>
      <c r="BU73" s="163"/>
      <c r="BV73" s="163"/>
      <c r="BW73" s="163"/>
      <c r="BX73" s="163"/>
      <c r="BY73" s="163"/>
      <c r="BZ73" s="163"/>
      <c r="CA73" s="163"/>
      <c r="CB73" s="163"/>
      <c r="CC73" s="163"/>
      <c r="CD73" s="163"/>
      <c r="CE73" s="163"/>
      <c r="CF73" s="163"/>
      <c r="CG73" s="163"/>
      <c r="CH73" s="163"/>
      <c r="CI73" s="163"/>
      <c r="CJ73" s="163"/>
      <c r="CK73" s="163"/>
      <c r="CL73" s="163"/>
      <c r="CM73" s="163"/>
      <c r="CN73" s="163"/>
      <c r="CO73" s="163"/>
      <c r="CP73" s="163"/>
      <c r="CQ73" s="163"/>
      <c r="CR73" s="163"/>
      <c r="CS73" s="163"/>
      <c r="CT73" s="163"/>
      <c r="CU73" s="163"/>
      <c r="CV73" s="163"/>
      <c r="CW73" s="163"/>
      <c r="CX73" s="60"/>
      <c r="CY73" s="60"/>
      <c r="CZ73" s="60"/>
      <c r="DA73" s="60"/>
      <c r="DB73" s="60"/>
      <c r="DC73" s="60"/>
      <c r="DD73" s="60"/>
      <c r="DE73" s="60"/>
      <c r="DF73" s="60"/>
      <c r="DG73" s="60"/>
      <c r="DH73" s="60"/>
      <c r="DI73" s="60"/>
      <c r="DJ73" s="60"/>
      <c r="DK73" s="60"/>
      <c r="DL73" s="60"/>
      <c r="DM73" s="60"/>
      <c r="DN73" s="60"/>
      <c r="DO73" s="60"/>
      <c r="DP73" s="60"/>
      <c r="DQ73" s="60"/>
      <c r="DR73" s="60"/>
      <c r="DS73" s="60"/>
      <c r="DT73" s="60"/>
      <c r="DU73" s="60"/>
      <c r="DV73" s="60"/>
      <c r="DW73" s="60"/>
      <c r="DX73" s="60"/>
      <c r="DY73" s="60"/>
      <c r="DZ73" s="60"/>
      <c r="EA73" s="60"/>
    </row>
    <row r="74" spans="1:131">
      <c r="A74" s="60"/>
      <c r="B74" s="60" t="s">
        <v>233</v>
      </c>
      <c r="C74" s="226">
        <v>0</v>
      </c>
      <c r="D74" s="226">
        <v>0</v>
      </c>
      <c r="E74" s="226">
        <v>0</v>
      </c>
      <c r="F74" s="226">
        <v>0</v>
      </c>
      <c r="G74" s="226">
        <v>0</v>
      </c>
      <c r="H74" s="226">
        <v>0</v>
      </c>
      <c r="I74" s="226">
        <v>0</v>
      </c>
      <c r="J74" s="226">
        <v>0</v>
      </c>
      <c r="K74" s="226">
        <v>0</v>
      </c>
      <c r="L74" s="227">
        <v>0</v>
      </c>
      <c r="M74" s="226">
        <v>0</v>
      </c>
      <c r="N74" s="226">
        <v>0</v>
      </c>
      <c r="O74" s="226">
        <v>0</v>
      </c>
      <c r="P74" s="226">
        <v>0</v>
      </c>
      <c r="Q74" s="226">
        <v>0</v>
      </c>
      <c r="R74" s="226">
        <v>0</v>
      </c>
      <c r="S74" s="226">
        <v>0</v>
      </c>
      <c r="T74" s="226">
        <v>0</v>
      </c>
      <c r="U74" s="226">
        <v>0</v>
      </c>
      <c r="V74" s="226">
        <v>0</v>
      </c>
      <c r="W74" s="226">
        <v>0</v>
      </c>
      <c r="X74" s="226">
        <v>0</v>
      </c>
      <c r="Y74" s="226">
        <v>0</v>
      </c>
      <c r="Z74" s="226"/>
      <c r="AA74" s="226">
        <v>0</v>
      </c>
      <c r="AB74" s="226">
        <v>0</v>
      </c>
      <c r="AC74" s="226">
        <v>0</v>
      </c>
      <c r="AD74" s="226">
        <v>0</v>
      </c>
      <c r="AE74" s="226">
        <v>0</v>
      </c>
      <c r="AF74" s="226">
        <v>0</v>
      </c>
      <c r="AG74" s="226">
        <v>0</v>
      </c>
      <c r="AH74" s="226">
        <v>0</v>
      </c>
      <c r="AI74" s="226">
        <v>0</v>
      </c>
      <c r="AJ74" s="226">
        <v>0</v>
      </c>
      <c r="AK74" s="226">
        <v>0</v>
      </c>
      <c r="AL74" s="226">
        <v>0</v>
      </c>
      <c r="AM74" s="163"/>
      <c r="AN74" s="163"/>
      <c r="AO74" s="163"/>
      <c r="AP74" s="163"/>
      <c r="AQ74" s="163"/>
      <c r="AR74" s="163"/>
      <c r="AS74" s="163"/>
      <c r="AT74" s="163"/>
      <c r="AU74" s="163"/>
      <c r="AV74" s="163"/>
      <c r="AW74" s="163"/>
      <c r="AX74" s="163"/>
      <c r="AY74" s="163"/>
      <c r="AZ74" s="163"/>
      <c r="BA74" s="163"/>
      <c r="BB74" s="163"/>
      <c r="BC74" s="163"/>
      <c r="BD74" s="163"/>
      <c r="BE74" s="163"/>
      <c r="BF74" s="163"/>
      <c r="BG74" s="163"/>
      <c r="BH74" s="163"/>
      <c r="BI74" s="163"/>
      <c r="BJ74" s="163"/>
      <c r="BK74" s="163"/>
      <c r="BL74" s="163"/>
      <c r="BM74" s="163"/>
      <c r="BN74" s="163"/>
      <c r="BO74" s="163"/>
      <c r="BP74" s="163"/>
      <c r="BQ74" s="163"/>
      <c r="BR74" s="163"/>
      <c r="BS74" s="163"/>
      <c r="BT74" s="163"/>
      <c r="BU74" s="163"/>
      <c r="BV74" s="163"/>
      <c r="BW74" s="163"/>
      <c r="BX74" s="163"/>
      <c r="BY74" s="163"/>
      <c r="BZ74" s="163"/>
      <c r="CA74" s="163"/>
      <c r="CB74" s="163"/>
      <c r="CC74" s="163"/>
      <c r="CD74" s="163"/>
      <c r="CE74" s="163"/>
      <c r="CF74" s="163"/>
      <c r="CG74" s="163"/>
      <c r="CH74" s="163"/>
      <c r="CI74" s="163"/>
      <c r="CJ74" s="163"/>
      <c r="CK74" s="163"/>
      <c r="CL74" s="163"/>
      <c r="CM74" s="163"/>
      <c r="CN74" s="163"/>
      <c r="CO74" s="163"/>
      <c r="CP74" s="163"/>
      <c r="CQ74" s="163"/>
      <c r="CR74" s="163"/>
      <c r="CS74" s="163"/>
      <c r="CT74" s="163"/>
      <c r="CU74" s="163"/>
      <c r="CV74" s="163"/>
      <c r="CW74" s="163"/>
      <c r="CX74" s="60"/>
      <c r="CY74" s="60"/>
      <c r="CZ74" s="60"/>
      <c r="DA74" s="60"/>
      <c r="DB74" s="60"/>
      <c r="DC74" s="60"/>
      <c r="DD74" s="60"/>
      <c r="DE74" s="60"/>
      <c r="DF74" s="60"/>
      <c r="DG74" s="60"/>
      <c r="DH74" s="60"/>
      <c r="DI74" s="60"/>
      <c r="DJ74" s="60"/>
      <c r="DK74" s="60"/>
      <c r="DL74" s="60"/>
      <c r="DM74" s="60"/>
      <c r="DN74" s="60"/>
      <c r="DO74" s="60"/>
      <c r="DP74" s="60"/>
      <c r="DQ74" s="60"/>
      <c r="DR74" s="60"/>
      <c r="DS74" s="60"/>
      <c r="DT74" s="60"/>
      <c r="DU74" s="60"/>
      <c r="DV74" s="60"/>
      <c r="DW74" s="60"/>
      <c r="DX74" s="60"/>
      <c r="DY74" s="60"/>
      <c r="DZ74" s="60"/>
      <c r="EA74" s="60"/>
    </row>
    <row r="75" spans="1:131">
      <c r="A75" s="60"/>
      <c r="B75" s="60" t="s">
        <v>236</v>
      </c>
      <c r="C75" s="226">
        <v>0</v>
      </c>
      <c r="D75" s="226">
        <v>0</v>
      </c>
      <c r="E75" s="226">
        <v>0</v>
      </c>
      <c r="F75" s="226">
        <v>0</v>
      </c>
      <c r="G75" s="226">
        <v>0</v>
      </c>
      <c r="H75" s="226">
        <v>0</v>
      </c>
      <c r="I75" s="226">
        <v>0</v>
      </c>
      <c r="J75" s="226">
        <v>0</v>
      </c>
      <c r="K75" s="226">
        <v>0</v>
      </c>
      <c r="L75" s="227">
        <v>0</v>
      </c>
      <c r="M75" s="226">
        <v>0</v>
      </c>
      <c r="N75" s="226">
        <v>0</v>
      </c>
      <c r="O75" s="226">
        <v>0</v>
      </c>
      <c r="P75" s="226">
        <v>0</v>
      </c>
      <c r="Q75" s="226">
        <v>0</v>
      </c>
      <c r="R75" s="226">
        <v>0</v>
      </c>
      <c r="S75" s="226">
        <v>0</v>
      </c>
      <c r="T75" s="226">
        <v>0</v>
      </c>
      <c r="U75" s="226">
        <v>0</v>
      </c>
      <c r="V75" s="226">
        <v>0</v>
      </c>
      <c r="W75" s="226">
        <v>0</v>
      </c>
      <c r="X75" s="226">
        <v>0</v>
      </c>
      <c r="Y75" s="226">
        <v>0</v>
      </c>
      <c r="Z75" s="226"/>
      <c r="AA75" s="226">
        <v>0</v>
      </c>
      <c r="AB75" s="226">
        <v>0</v>
      </c>
      <c r="AC75" s="226">
        <v>0</v>
      </c>
      <c r="AD75" s="226">
        <v>0</v>
      </c>
      <c r="AE75" s="226">
        <v>0</v>
      </c>
      <c r="AF75" s="226">
        <v>0</v>
      </c>
      <c r="AG75" s="226">
        <v>0</v>
      </c>
      <c r="AH75" s="226">
        <v>0</v>
      </c>
      <c r="AI75" s="226">
        <v>0</v>
      </c>
      <c r="AJ75" s="226">
        <v>0</v>
      </c>
      <c r="AK75" s="226">
        <v>0</v>
      </c>
      <c r="AL75" s="226">
        <v>0</v>
      </c>
      <c r="AM75" s="163"/>
      <c r="AN75" s="163"/>
      <c r="AO75" s="163"/>
      <c r="AP75" s="163"/>
      <c r="AQ75" s="163"/>
      <c r="AR75" s="163"/>
      <c r="AS75" s="163"/>
      <c r="AT75" s="163"/>
      <c r="AU75" s="163"/>
      <c r="AV75" s="163"/>
      <c r="AW75" s="163"/>
      <c r="AX75" s="163"/>
      <c r="AY75" s="163"/>
      <c r="AZ75" s="163"/>
      <c r="BA75" s="163"/>
      <c r="BB75" s="163"/>
      <c r="BC75" s="163"/>
      <c r="BD75" s="163"/>
      <c r="BE75" s="163"/>
      <c r="BF75" s="163"/>
      <c r="BG75" s="163"/>
      <c r="BH75" s="163"/>
      <c r="BI75" s="163"/>
      <c r="BJ75" s="163"/>
      <c r="BK75" s="163"/>
      <c r="BL75" s="163"/>
      <c r="BM75" s="163"/>
      <c r="BN75" s="163"/>
      <c r="BO75" s="163"/>
      <c r="BP75" s="163"/>
      <c r="BQ75" s="163"/>
      <c r="BR75" s="163"/>
      <c r="BS75" s="163"/>
      <c r="BT75" s="163"/>
      <c r="BU75" s="163"/>
      <c r="BV75" s="163"/>
      <c r="BW75" s="163"/>
      <c r="BX75" s="163"/>
      <c r="BY75" s="163"/>
      <c r="BZ75" s="163"/>
      <c r="CA75" s="163"/>
      <c r="CB75" s="163"/>
      <c r="CC75" s="163"/>
      <c r="CD75" s="163"/>
      <c r="CE75" s="163"/>
      <c r="CF75" s="163"/>
      <c r="CG75" s="163"/>
      <c r="CH75" s="163"/>
      <c r="CI75" s="163"/>
      <c r="CJ75" s="163"/>
      <c r="CK75" s="163"/>
      <c r="CL75" s="163"/>
      <c r="CM75" s="163"/>
      <c r="CN75" s="163"/>
      <c r="CO75" s="163"/>
      <c r="CP75" s="163"/>
      <c r="CQ75" s="163"/>
      <c r="CR75" s="163"/>
      <c r="CS75" s="163"/>
      <c r="CT75" s="163"/>
      <c r="CU75" s="163"/>
      <c r="CV75" s="163"/>
      <c r="CW75" s="163"/>
      <c r="CX75" s="60"/>
      <c r="CY75" s="60"/>
      <c r="CZ75" s="60"/>
      <c r="DA75" s="60"/>
      <c r="DB75" s="60"/>
      <c r="DC75" s="60"/>
      <c r="DD75" s="60"/>
      <c r="DE75" s="60"/>
      <c r="DF75" s="60"/>
      <c r="DG75" s="60"/>
      <c r="DH75" s="60"/>
      <c r="DI75" s="60"/>
      <c r="DJ75" s="60"/>
      <c r="DK75" s="60"/>
      <c r="DL75" s="60"/>
      <c r="DM75" s="60"/>
      <c r="DN75" s="60"/>
      <c r="DO75" s="60"/>
      <c r="DP75" s="60"/>
      <c r="DQ75" s="60"/>
      <c r="DR75" s="60"/>
      <c r="DS75" s="60"/>
      <c r="DT75" s="60"/>
      <c r="DU75" s="60"/>
      <c r="DV75" s="60"/>
      <c r="DW75" s="60"/>
      <c r="DX75" s="60"/>
      <c r="DY75" s="60"/>
      <c r="DZ75" s="60"/>
      <c r="EA75" s="60"/>
    </row>
    <row r="76" spans="1:131">
      <c r="A76" s="60"/>
      <c r="B76" s="60" t="s">
        <v>239</v>
      </c>
      <c r="C76" s="226">
        <v>0</v>
      </c>
      <c r="D76" s="226">
        <v>0</v>
      </c>
      <c r="E76" s="226">
        <v>0</v>
      </c>
      <c r="F76" s="226">
        <v>0</v>
      </c>
      <c r="G76" s="226">
        <v>0</v>
      </c>
      <c r="H76" s="226">
        <v>0</v>
      </c>
      <c r="I76" s="226">
        <v>0</v>
      </c>
      <c r="J76" s="226">
        <v>0</v>
      </c>
      <c r="K76" s="226">
        <v>0</v>
      </c>
      <c r="L76" s="227">
        <v>0</v>
      </c>
      <c r="M76" s="226">
        <v>0</v>
      </c>
      <c r="N76" s="226">
        <v>0</v>
      </c>
      <c r="O76" s="226">
        <v>0</v>
      </c>
      <c r="P76" s="226">
        <v>0</v>
      </c>
      <c r="Q76" s="226">
        <v>0</v>
      </c>
      <c r="R76" s="226">
        <v>0</v>
      </c>
      <c r="S76" s="226">
        <v>0</v>
      </c>
      <c r="T76" s="226">
        <v>0</v>
      </c>
      <c r="U76" s="226">
        <v>0</v>
      </c>
      <c r="V76" s="226">
        <v>0</v>
      </c>
      <c r="W76" s="226">
        <v>0</v>
      </c>
      <c r="X76" s="226">
        <v>0</v>
      </c>
      <c r="Y76" s="226">
        <v>0</v>
      </c>
      <c r="Z76" s="226"/>
      <c r="AA76" s="226">
        <v>0</v>
      </c>
      <c r="AB76" s="226">
        <v>0</v>
      </c>
      <c r="AC76" s="226">
        <v>0</v>
      </c>
      <c r="AD76" s="226">
        <v>0</v>
      </c>
      <c r="AE76" s="226">
        <v>0</v>
      </c>
      <c r="AF76" s="226">
        <v>0</v>
      </c>
      <c r="AG76" s="226">
        <v>0</v>
      </c>
      <c r="AH76" s="226">
        <v>0</v>
      </c>
      <c r="AI76" s="226">
        <v>0</v>
      </c>
      <c r="AJ76" s="226">
        <v>0</v>
      </c>
      <c r="AK76" s="226">
        <v>0</v>
      </c>
      <c r="AL76" s="226">
        <v>0</v>
      </c>
      <c r="AM76" s="163"/>
      <c r="AN76" s="163"/>
      <c r="AO76" s="163"/>
      <c r="AP76" s="163"/>
      <c r="AQ76" s="163"/>
      <c r="AR76" s="163"/>
      <c r="AS76" s="163"/>
      <c r="AT76" s="163"/>
      <c r="AU76" s="163"/>
      <c r="AV76" s="163"/>
      <c r="AW76" s="163"/>
      <c r="AX76" s="163"/>
      <c r="AY76" s="163"/>
      <c r="AZ76" s="163"/>
      <c r="BA76" s="163"/>
      <c r="BB76" s="163"/>
      <c r="BC76" s="163"/>
      <c r="BD76" s="163"/>
      <c r="BE76" s="163"/>
      <c r="BF76" s="163"/>
      <c r="BG76" s="163"/>
      <c r="BH76" s="163"/>
      <c r="BI76" s="163"/>
      <c r="BJ76" s="163"/>
      <c r="BK76" s="163"/>
      <c r="BL76" s="163"/>
      <c r="BM76" s="163"/>
      <c r="BN76" s="163"/>
      <c r="BO76" s="163"/>
      <c r="BP76" s="163"/>
      <c r="BQ76" s="163"/>
      <c r="BR76" s="163"/>
      <c r="BS76" s="163"/>
      <c r="BT76" s="163"/>
      <c r="BU76" s="163"/>
      <c r="BV76" s="163"/>
      <c r="BW76" s="163"/>
      <c r="BX76" s="163"/>
      <c r="BY76" s="163"/>
      <c r="BZ76" s="163"/>
      <c r="CA76" s="163"/>
      <c r="CB76" s="163"/>
      <c r="CC76" s="163"/>
      <c r="CD76" s="163"/>
      <c r="CE76" s="163"/>
      <c r="CF76" s="163"/>
      <c r="CG76" s="163"/>
      <c r="CH76" s="163"/>
      <c r="CI76" s="163"/>
      <c r="CJ76" s="163"/>
      <c r="CK76" s="163"/>
      <c r="CL76" s="163"/>
      <c r="CM76" s="163"/>
      <c r="CN76" s="163"/>
      <c r="CO76" s="163"/>
      <c r="CP76" s="163"/>
      <c r="CQ76" s="163"/>
      <c r="CR76" s="163"/>
      <c r="CS76" s="163"/>
      <c r="CT76" s="163"/>
      <c r="CU76" s="163"/>
      <c r="CV76" s="163"/>
      <c r="CW76" s="163"/>
      <c r="CX76" s="60"/>
      <c r="CY76" s="60"/>
      <c r="CZ76" s="60"/>
      <c r="DA76" s="60"/>
      <c r="DB76" s="60"/>
      <c r="DC76" s="60"/>
      <c r="DD76" s="60"/>
      <c r="DE76" s="60"/>
      <c r="DF76" s="60"/>
      <c r="DG76" s="60"/>
      <c r="DH76" s="60"/>
      <c r="DI76" s="60"/>
      <c r="DJ76" s="60"/>
      <c r="DK76" s="60"/>
      <c r="DL76" s="60"/>
      <c r="DM76" s="60"/>
      <c r="DN76" s="60"/>
      <c r="DO76" s="60"/>
      <c r="DP76" s="60"/>
      <c r="DQ76" s="60"/>
      <c r="DR76" s="60"/>
      <c r="DS76" s="60"/>
      <c r="DT76" s="60"/>
      <c r="DU76" s="60"/>
      <c r="DV76" s="60"/>
      <c r="DW76" s="60"/>
      <c r="DX76" s="60"/>
      <c r="DY76" s="60"/>
      <c r="DZ76" s="60"/>
      <c r="EA76" s="60"/>
    </row>
    <row r="77" spans="1:131">
      <c r="A77" s="60"/>
      <c r="B77" s="60" t="s">
        <v>242</v>
      </c>
      <c r="C77" s="226">
        <v>0</v>
      </c>
      <c r="D77" s="226">
        <v>0</v>
      </c>
      <c r="E77" s="226">
        <v>0</v>
      </c>
      <c r="F77" s="226">
        <v>0</v>
      </c>
      <c r="G77" s="226">
        <v>0</v>
      </c>
      <c r="H77" s="226">
        <v>0</v>
      </c>
      <c r="I77" s="226">
        <v>0</v>
      </c>
      <c r="J77" s="226">
        <v>0</v>
      </c>
      <c r="K77" s="226">
        <v>0</v>
      </c>
      <c r="L77" s="227">
        <v>0</v>
      </c>
      <c r="M77" s="226">
        <v>0</v>
      </c>
      <c r="N77" s="226">
        <v>0</v>
      </c>
      <c r="O77" s="226">
        <v>0</v>
      </c>
      <c r="P77" s="226">
        <v>0</v>
      </c>
      <c r="Q77" s="226">
        <v>0</v>
      </c>
      <c r="R77" s="226">
        <v>0</v>
      </c>
      <c r="S77" s="226">
        <v>0</v>
      </c>
      <c r="T77" s="226">
        <v>0</v>
      </c>
      <c r="U77" s="226">
        <v>0</v>
      </c>
      <c r="V77" s="226">
        <v>0</v>
      </c>
      <c r="W77" s="226">
        <v>0</v>
      </c>
      <c r="X77" s="226">
        <v>0</v>
      </c>
      <c r="Y77" s="226">
        <v>0</v>
      </c>
      <c r="Z77" s="226"/>
      <c r="AA77" s="226">
        <v>0</v>
      </c>
      <c r="AB77" s="226">
        <v>0</v>
      </c>
      <c r="AC77" s="226">
        <v>0</v>
      </c>
      <c r="AD77" s="226">
        <v>0</v>
      </c>
      <c r="AE77" s="226">
        <v>0</v>
      </c>
      <c r="AF77" s="226">
        <v>0</v>
      </c>
      <c r="AG77" s="226">
        <v>0</v>
      </c>
      <c r="AH77" s="226">
        <v>0</v>
      </c>
      <c r="AI77" s="226">
        <v>0</v>
      </c>
      <c r="AJ77" s="226">
        <v>0</v>
      </c>
      <c r="AK77" s="226">
        <v>0</v>
      </c>
      <c r="AL77" s="226">
        <v>0</v>
      </c>
      <c r="AM77" s="163"/>
      <c r="AN77" s="163"/>
      <c r="AO77" s="163"/>
      <c r="AP77" s="163"/>
      <c r="AQ77" s="163"/>
      <c r="AR77" s="163"/>
      <c r="AS77" s="163"/>
      <c r="AT77" s="163"/>
      <c r="AU77" s="163"/>
      <c r="AV77" s="163"/>
      <c r="AW77" s="163"/>
      <c r="AX77" s="163"/>
      <c r="AY77" s="163"/>
      <c r="AZ77" s="163"/>
      <c r="BA77" s="163"/>
      <c r="BB77" s="163"/>
      <c r="BC77" s="163"/>
      <c r="BD77" s="163"/>
      <c r="BE77" s="163"/>
      <c r="BF77" s="163"/>
      <c r="BG77" s="163"/>
      <c r="BH77" s="163"/>
      <c r="BI77" s="163"/>
      <c r="BJ77" s="163"/>
      <c r="BK77" s="163"/>
      <c r="BL77" s="163"/>
      <c r="BM77" s="163"/>
      <c r="BN77" s="163"/>
      <c r="BO77" s="163"/>
      <c r="BP77" s="163"/>
      <c r="BQ77" s="163"/>
      <c r="BR77" s="163"/>
      <c r="BS77" s="163"/>
      <c r="BT77" s="163"/>
      <c r="BU77" s="163"/>
      <c r="BV77" s="163"/>
      <c r="BW77" s="163"/>
      <c r="BX77" s="163"/>
      <c r="BY77" s="163"/>
      <c r="BZ77" s="163"/>
      <c r="CA77" s="163"/>
      <c r="CB77" s="163"/>
      <c r="CC77" s="163"/>
      <c r="CD77" s="163"/>
      <c r="CE77" s="163"/>
      <c r="CF77" s="163"/>
      <c r="CG77" s="163"/>
      <c r="CH77" s="163"/>
      <c r="CI77" s="163"/>
      <c r="CJ77" s="163"/>
      <c r="CK77" s="163"/>
      <c r="CL77" s="163"/>
      <c r="CM77" s="163"/>
      <c r="CN77" s="163"/>
      <c r="CO77" s="163"/>
      <c r="CP77" s="163"/>
      <c r="CQ77" s="163"/>
      <c r="CR77" s="163"/>
      <c r="CS77" s="163"/>
      <c r="CT77" s="163"/>
      <c r="CU77" s="163"/>
      <c r="CV77" s="163"/>
      <c r="CW77" s="163"/>
      <c r="CX77" s="60"/>
      <c r="CY77" s="60"/>
      <c r="CZ77" s="60"/>
      <c r="DA77" s="60"/>
      <c r="DB77" s="60"/>
      <c r="DC77" s="60"/>
      <c r="DD77" s="60"/>
      <c r="DE77" s="60"/>
      <c r="DF77" s="60"/>
      <c r="DG77" s="60"/>
      <c r="DH77" s="60"/>
      <c r="DI77" s="60"/>
      <c r="DJ77" s="60"/>
      <c r="DK77" s="60"/>
      <c r="DL77" s="60"/>
      <c r="DM77" s="60"/>
      <c r="DN77" s="60"/>
      <c r="DO77" s="60"/>
      <c r="DP77" s="60"/>
      <c r="DQ77" s="60"/>
      <c r="DR77" s="60"/>
      <c r="DS77" s="60"/>
      <c r="DT77" s="60"/>
      <c r="DU77" s="60"/>
      <c r="DV77" s="60"/>
      <c r="DW77" s="60"/>
      <c r="DX77" s="60"/>
      <c r="DY77" s="60"/>
      <c r="DZ77" s="60"/>
      <c r="EA77" s="60"/>
    </row>
    <row r="78" spans="1:131">
      <c r="A78" s="60"/>
      <c r="B78" s="60" t="s">
        <v>245</v>
      </c>
      <c r="C78" s="226">
        <v>0</v>
      </c>
      <c r="D78" s="226">
        <v>0</v>
      </c>
      <c r="E78" s="226">
        <v>0</v>
      </c>
      <c r="F78" s="226">
        <v>0</v>
      </c>
      <c r="G78" s="226">
        <v>0</v>
      </c>
      <c r="H78" s="226">
        <v>0</v>
      </c>
      <c r="I78" s="226">
        <v>0</v>
      </c>
      <c r="J78" s="226">
        <v>0</v>
      </c>
      <c r="K78" s="226">
        <v>0</v>
      </c>
      <c r="L78" s="227">
        <v>0</v>
      </c>
      <c r="M78" s="226">
        <v>0</v>
      </c>
      <c r="N78" s="226">
        <v>0</v>
      </c>
      <c r="O78" s="226">
        <v>0</v>
      </c>
      <c r="P78" s="226">
        <v>0</v>
      </c>
      <c r="Q78" s="226">
        <v>0</v>
      </c>
      <c r="R78" s="226">
        <v>0</v>
      </c>
      <c r="S78" s="226">
        <v>0</v>
      </c>
      <c r="T78" s="226">
        <v>0</v>
      </c>
      <c r="U78" s="226">
        <v>0</v>
      </c>
      <c r="V78" s="226">
        <v>0</v>
      </c>
      <c r="W78" s="226">
        <v>0</v>
      </c>
      <c r="X78" s="226">
        <v>0</v>
      </c>
      <c r="Y78" s="226">
        <v>0</v>
      </c>
      <c r="Z78" s="226"/>
      <c r="AA78" s="226">
        <v>0</v>
      </c>
      <c r="AB78" s="226">
        <v>0</v>
      </c>
      <c r="AC78" s="226">
        <v>0</v>
      </c>
      <c r="AD78" s="226">
        <v>0</v>
      </c>
      <c r="AE78" s="226">
        <v>0</v>
      </c>
      <c r="AF78" s="226">
        <v>0</v>
      </c>
      <c r="AG78" s="226">
        <v>0</v>
      </c>
      <c r="AH78" s="226">
        <v>0</v>
      </c>
      <c r="AI78" s="226">
        <v>0</v>
      </c>
      <c r="AJ78" s="226">
        <v>0</v>
      </c>
      <c r="AK78" s="226">
        <v>0</v>
      </c>
      <c r="AL78" s="226">
        <v>0</v>
      </c>
      <c r="AM78" s="163"/>
      <c r="AN78" s="163"/>
      <c r="AO78" s="163"/>
      <c r="AP78" s="163"/>
      <c r="AQ78" s="163"/>
      <c r="AR78" s="163"/>
      <c r="AS78" s="163"/>
      <c r="AT78" s="163"/>
      <c r="AU78" s="163"/>
      <c r="AV78" s="163"/>
      <c r="AW78" s="163"/>
      <c r="AX78" s="163"/>
      <c r="AY78" s="163"/>
      <c r="AZ78" s="163"/>
      <c r="BA78" s="163"/>
      <c r="BB78" s="163"/>
      <c r="BC78" s="163"/>
      <c r="BD78" s="163"/>
      <c r="BE78" s="163"/>
      <c r="BF78" s="163"/>
      <c r="BG78" s="163"/>
      <c r="BH78" s="163"/>
      <c r="BI78" s="163"/>
      <c r="BJ78" s="163"/>
      <c r="BK78" s="163"/>
      <c r="BL78" s="163"/>
      <c r="BM78" s="163"/>
      <c r="BN78" s="163"/>
      <c r="BO78" s="163"/>
      <c r="BP78" s="163"/>
      <c r="BQ78" s="163"/>
      <c r="BR78" s="163"/>
      <c r="BS78" s="163"/>
      <c r="BT78" s="163"/>
      <c r="BU78" s="163"/>
      <c r="BV78" s="163"/>
      <c r="BW78" s="163"/>
      <c r="BX78" s="163"/>
      <c r="BY78" s="163"/>
      <c r="BZ78" s="163"/>
      <c r="CA78" s="163"/>
      <c r="CB78" s="163"/>
      <c r="CC78" s="163"/>
      <c r="CD78" s="163"/>
      <c r="CE78" s="163"/>
      <c r="CF78" s="163"/>
      <c r="CG78" s="163"/>
      <c r="CH78" s="163"/>
      <c r="CI78" s="163"/>
      <c r="CJ78" s="163"/>
      <c r="CK78" s="163"/>
      <c r="CL78" s="163"/>
      <c r="CM78" s="163"/>
      <c r="CN78" s="163"/>
      <c r="CO78" s="163"/>
      <c r="CP78" s="163"/>
      <c r="CQ78" s="163"/>
      <c r="CR78" s="163"/>
      <c r="CS78" s="163"/>
      <c r="CT78" s="163"/>
      <c r="CU78" s="163"/>
      <c r="CV78" s="163"/>
      <c r="CW78" s="163"/>
      <c r="CX78" s="60"/>
      <c r="CY78" s="60"/>
      <c r="CZ78" s="60"/>
      <c r="DA78" s="60"/>
      <c r="DB78" s="60"/>
      <c r="DC78" s="60"/>
      <c r="DD78" s="60"/>
      <c r="DE78" s="60"/>
      <c r="DF78" s="60"/>
      <c r="DG78" s="60"/>
      <c r="DH78" s="60"/>
      <c r="DI78" s="60"/>
      <c r="DJ78" s="60"/>
      <c r="DK78" s="60"/>
      <c r="DL78" s="60"/>
      <c r="DM78" s="60"/>
      <c r="DN78" s="60"/>
      <c r="DO78" s="60"/>
      <c r="DP78" s="60"/>
      <c r="DQ78" s="60"/>
      <c r="DR78" s="60"/>
      <c r="DS78" s="60"/>
      <c r="DT78" s="60"/>
      <c r="DU78" s="60"/>
      <c r="DV78" s="60"/>
      <c r="DW78" s="60"/>
      <c r="DX78" s="60"/>
      <c r="DY78" s="60"/>
      <c r="DZ78" s="60"/>
      <c r="EA78" s="60"/>
    </row>
    <row r="79" spans="1:131">
      <c r="A79" s="60"/>
      <c r="B79" s="60" t="s">
        <v>248</v>
      </c>
      <c r="C79" s="226">
        <v>0</v>
      </c>
      <c r="D79" s="226">
        <v>0</v>
      </c>
      <c r="E79" s="226">
        <v>0</v>
      </c>
      <c r="F79" s="226">
        <v>0</v>
      </c>
      <c r="G79" s="226">
        <v>0</v>
      </c>
      <c r="H79" s="226">
        <v>0</v>
      </c>
      <c r="I79" s="226">
        <v>0</v>
      </c>
      <c r="J79" s="226">
        <v>0</v>
      </c>
      <c r="K79" s="226">
        <v>0</v>
      </c>
      <c r="L79" s="227">
        <v>0</v>
      </c>
      <c r="M79" s="226">
        <v>0</v>
      </c>
      <c r="N79" s="226">
        <v>0</v>
      </c>
      <c r="O79" s="226">
        <v>0</v>
      </c>
      <c r="P79" s="226">
        <v>0</v>
      </c>
      <c r="Q79" s="226">
        <v>0</v>
      </c>
      <c r="R79" s="226">
        <v>0</v>
      </c>
      <c r="S79" s="226">
        <v>0</v>
      </c>
      <c r="T79" s="226">
        <v>0</v>
      </c>
      <c r="U79" s="226">
        <v>0</v>
      </c>
      <c r="V79" s="226">
        <v>0</v>
      </c>
      <c r="W79" s="226">
        <v>0</v>
      </c>
      <c r="X79" s="226">
        <v>0</v>
      </c>
      <c r="Y79" s="226">
        <v>0</v>
      </c>
      <c r="Z79" s="226"/>
      <c r="AA79" s="226">
        <v>0</v>
      </c>
      <c r="AB79" s="226">
        <v>0</v>
      </c>
      <c r="AC79" s="226">
        <v>0</v>
      </c>
      <c r="AD79" s="226">
        <v>0</v>
      </c>
      <c r="AE79" s="226">
        <v>0</v>
      </c>
      <c r="AF79" s="226">
        <v>0</v>
      </c>
      <c r="AG79" s="226">
        <v>0</v>
      </c>
      <c r="AH79" s="226">
        <v>0</v>
      </c>
      <c r="AI79" s="226">
        <v>0</v>
      </c>
      <c r="AJ79" s="226">
        <v>0</v>
      </c>
      <c r="AK79" s="226">
        <v>0</v>
      </c>
      <c r="AL79" s="226">
        <v>0</v>
      </c>
      <c r="AM79" s="163"/>
      <c r="AN79" s="163"/>
      <c r="AO79" s="163"/>
      <c r="AP79" s="163"/>
      <c r="AQ79" s="163"/>
      <c r="AR79" s="163"/>
      <c r="AS79" s="163"/>
      <c r="AT79" s="163"/>
      <c r="AU79" s="163"/>
      <c r="AV79" s="163"/>
      <c r="AW79" s="163"/>
      <c r="AX79" s="163"/>
      <c r="AY79" s="163"/>
      <c r="AZ79" s="163"/>
      <c r="BA79" s="163"/>
      <c r="BB79" s="163"/>
      <c r="BC79" s="163"/>
      <c r="BD79" s="163"/>
      <c r="BE79" s="163"/>
      <c r="BF79" s="163"/>
      <c r="BG79" s="163"/>
      <c r="BH79" s="163"/>
      <c r="BI79" s="163"/>
      <c r="BJ79" s="163"/>
      <c r="BK79" s="163"/>
      <c r="BL79" s="163"/>
      <c r="BM79" s="163"/>
      <c r="BN79" s="163"/>
      <c r="BO79" s="163"/>
      <c r="BP79" s="163"/>
      <c r="BQ79" s="163"/>
      <c r="BR79" s="163"/>
      <c r="BS79" s="163"/>
      <c r="BT79" s="163"/>
      <c r="BU79" s="163"/>
      <c r="BV79" s="163"/>
      <c r="BW79" s="163"/>
      <c r="BX79" s="163"/>
      <c r="BY79" s="163"/>
      <c r="BZ79" s="163"/>
      <c r="CA79" s="163"/>
      <c r="CB79" s="163"/>
      <c r="CC79" s="163"/>
      <c r="CD79" s="163"/>
      <c r="CE79" s="163"/>
      <c r="CF79" s="163"/>
      <c r="CG79" s="163"/>
      <c r="CH79" s="163"/>
      <c r="CI79" s="163"/>
      <c r="CJ79" s="163"/>
      <c r="CK79" s="163"/>
      <c r="CL79" s="163"/>
      <c r="CM79" s="163"/>
      <c r="CN79" s="163"/>
      <c r="CO79" s="163"/>
      <c r="CP79" s="163"/>
      <c r="CQ79" s="163"/>
      <c r="CR79" s="163"/>
      <c r="CS79" s="163"/>
      <c r="CT79" s="163"/>
      <c r="CU79" s="163"/>
      <c r="CV79" s="163"/>
      <c r="CW79" s="163"/>
      <c r="CX79" s="60"/>
      <c r="CY79" s="60"/>
      <c r="CZ79" s="60"/>
      <c r="DA79" s="60"/>
      <c r="DB79" s="60"/>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row>
    <row r="80" spans="1:131">
      <c r="A80" s="60"/>
      <c r="B80" s="60" t="s">
        <v>251</v>
      </c>
      <c r="C80" s="226">
        <v>0</v>
      </c>
      <c r="D80" s="226">
        <v>0</v>
      </c>
      <c r="E80" s="226">
        <v>0</v>
      </c>
      <c r="F80" s="226">
        <v>0</v>
      </c>
      <c r="G80" s="226">
        <v>0</v>
      </c>
      <c r="H80" s="226">
        <v>0</v>
      </c>
      <c r="I80" s="226">
        <v>0</v>
      </c>
      <c r="J80" s="226">
        <v>0</v>
      </c>
      <c r="K80" s="226">
        <v>0</v>
      </c>
      <c r="L80" s="227">
        <v>0</v>
      </c>
      <c r="M80" s="226">
        <v>0</v>
      </c>
      <c r="N80" s="226">
        <v>0</v>
      </c>
      <c r="O80" s="226">
        <v>0</v>
      </c>
      <c r="P80" s="226">
        <v>0</v>
      </c>
      <c r="Q80" s="226">
        <v>0</v>
      </c>
      <c r="R80" s="226">
        <v>0</v>
      </c>
      <c r="S80" s="226">
        <v>0</v>
      </c>
      <c r="T80" s="226">
        <v>0</v>
      </c>
      <c r="U80" s="226">
        <v>0</v>
      </c>
      <c r="V80" s="226">
        <v>0</v>
      </c>
      <c r="W80" s="226">
        <v>0</v>
      </c>
      <c r="X80" s="226">
        <v>0</v>
      </c>
      <c r="Y80" s="226">
        <v>0</v>
      </c>
      <c r="Z80" s="226"/>
      <c r="AA80" s="226">
        <v>0</v>
      </c>
      <c r="AB80" s="226">
        <v>0</v>
      </c>
      <c r="AC80" s="226">
        <v>0</v>
      </c>
      <c r="AD80" s="226">
        <v>0</v>
      </c>
      <c r="AE80" s="226">
        <v>0</v>
      </c>
      <c r="AF80" s="226">
        <v>0</v>
      </c>
      <c r="AG80" s="226">
        <v>0</v>
      </c>
      <c r="AH80" s="226">
        <v>0</v>
      </c>
      <c r="AI80" s="226">
        <v>0</v>
      </c>
      <c r="AJ80" s="226">
        <v>0</v>
      </c>
      <c r="AK80" s="226">
        <v>0</v>
      </c>
      <c r="AL80" s="226">
        <v>0</v>
      </c>
      <c r="AM80" s="163"/>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3"/>
      <c r="BR80" s="163"/>
      <c r="BS80" s="163"/>
      <c r="BT80" s="163"/>
      <c r="BU80" s="163"/>
      <c r="BV80" s="163"/>
      <c r="BW80" s="163"/>
      <c r="BX80" s="163"/>
      <c r="BY80" s="163"/>
      <c r="BZ80" s="163"/>
      <c r="CA80" s="163"/>
      <c r="CB80" s="163"/>
      <c r="CC80" s="163"/>
      <c r="CD80" s="163"/>
      <c r="CE80" s="163"/>
      <c r="CF80" s="163"/>
      <c r="CG80" s="163"/>
      <c r="CH80" s="163"/>
      <c r="CI80" s="163"/>
      <c r="CJ80" s="163"/>
      <c r="CK80" s="163"/>
      <c r="CL80" s="163"/>
      <c r="CM80" s="163"/>
      <c r="CN80" s="163"/>
      <c r="CO80" s="163"/>
      <c r="CP80" s="163"/>
      <c r="CQ80" s="163"/>
      <c r="CR80" s="163"/>
      <c r="CS80" s="163"/>
      <c r="CT80" s="163"/>
      <c r="CU80" s="163"/>
      <c r="CV80" s="163"/>
      <c r="CW80" s="163"/>
      <c r="CX80" s="60"/>
      <c r="CY80" s="60"/>
      <c r="CZ80" s="60"/>
      <c r="DA80" s="60"/>
      <c r="DB80" s="60"/>
      <c r="DC80" s="60"/>
      <c r="DD80" s="60"/>
      <c r="DE80" s="60"/>
      <c r="DF80" s="60"/>
      <c r="DG80" s="60"/>
      <c r="DH80" s="60"/>
      <c r="DI80" s="60"/>
      <c r="DJ80" s="60"/>
      <c r="DK80" s="60"/>
      <c r="DL80" s="60"/>
      <c r="DM80" s="60"/>
      <c r="DN80" s="60"/>
      <c r="DO80" s="60"/>
      <c r="DP80" s="60"/>
      <c r="DQ80" s="60"/>
      <c r="DR80" s="60"/>
      <c r="DS80" s="60"/>
      <c r="DT80" s="60"/>
      <c r="DU80" s="60"/>
      <c r="DV80" s="60"/>
      <c r="DW80" s="60"/>
      <c r="DX80" s="60"/>
      <c r="DY80" s="60"/>
      <c r="DZ80" s="60"/>
      <c r="EA80" s="60"/>
    </row>
    <row r="81" spans="1:131">
      <c r="A81" s="60"/>
      <c r="B81" s="60" t="s">
        <v>254</v>
      </c>
      <c r="C81" s="226">
        <v>0</v>
      </c>
      <c r="D81" s="226">
        <v>0</v>
      </c>
      <c r="E81" s="226">
        <v>0</v>
      </c>
      <c r="F81" s="226">
        <v>0</v>
      </c>
      <c r="G81" s="226">
        <v>0</v>
      </c>
      <c r="H81" s="226">
        <v>0</v>
      </c>
      <c r="I81" s="226">
        <v>0</v>
      </c>
      <c r="J81" s="226">
        <v>0</v>
      </c>
      <c r="K81" s="226">
        <v>0</v>
      </c>
      <c r="L81" s="227">
        <v>0</v>
      </c>
      <c r="M81" s="226">
        <v>0</v>
      </c>
      <c r="N81" s="226">
        <v>0</v>
      </c>
      <c r="O81" s="226">
        <v>0</v>
      </c>
      <c r="P81" s="226">
        <v>0</v>
      </c>
      <c r="Q81" s="226">
        <v>0</v>
      </c>
      <c r="R81" s="226">
        <v>0</v>
      </c>
      <c r="S81" s="226">
        <v>0</v>
      </c>
      <c r="T81" s="226">
        <v>0</v>
      </c>
      <c r="U81" s="226">
        <v>0</v>
      </c>
      <c r="V81" s="226">
        <v>0</v>
      </c>
      <c r="W81" s="226">
        <v>0</v>
      </c>
      <c r="X81" s="226">
        <v>0</v>
      </c>
      <c r="Y81" s="226">
        <v>0</v>
      </c>
      <c r="Z81" s="226"/>
      <c r="AA81" s="226">
        <v>0</v>
      </c>
      <c r="AB81" s="226">
        <v>0</v>
      </c>
      <c r="AC81" s="226">
        <v>0</v>
      </c>
      <c r="AD81" s="226">
        <v>0</v>
      </c>
      <c r="AE81" s="226">
        <v>0</v>
      </c>
      <c r="AF81" s="226">
        <v>0</v>
      </c>
      <c r="AG81" s="226">
        <v>0</v>
      </c>
      <c r="AH81" s="226">
        <v>0</v>
      </c>
      <c r="AI81" s="226">
        <v>0</v>
      </c>
      <c r="AJ81" s="226">
        <v>0</v>
      </c>
      <c r="AK81" s="226">
        <v>0</v>
      </c>
      <c r="AL81" s="226">
        <v>0</v>
      </c>
      <c r="AM81" s="163"/>
      <c r="AN81" s="163"/>
      <c r="AO81" s="163"/>
      <c r="AP81" s="163"/>
      <c r="AQ81" s="163"/>
      <c r="AR81" s="163"/>
      <c r="AS81" s="163"/>
      <c r="AT81" s="163"/>
      <c r="AU81" s="163"/>
      <c r="AV81" s="163"/>
      <c r="AW81" s="163"/>
      <c r="AX81" s="163"/>
      <c r="AY81" s="163"/>
      <c r="AZ81" s="163"/>
      <c r="BA81" s="163"/>
      <c r="BB81" s="163"/>
      <c r="BC81" s="163"/>
      <c r="BD81" s="163"/>
      <c r="BE81" s="163"/>
      <c r="BF81" s="163"/>
      <c r="BG81" s="163"/>
      <c r="BH81" s="163"/>
      <c r="BI81" s="163"/>
      <c r="BJ81" s="163"/>
      <c r="BK81" s="163"/>
      <c r="BL81" s="163"/>
      <c r="BM81" s="163"/>
      <c r="BN81" s="163"/>
      <c r="BO81" s="163"/>
      <c r="BP81" s="163"/>
      <c r="BQ81" s="163"/>
      <c r="BR81" s="163"/>
      <c r="BS81" s="163"/>
      <c r="BT81" s="163"/>
      <c r="BU81" s="163"/>
      <c r="BV81" s="163"/>
      <c r="BW81" s="163"/>
      <c r="BX81" s="163"/>
      <c r="BY81" s="163"/>
      <c r="BZ81" s="163"/>
      <c r="CA81" s="163"/>
      <c r="CB81" s="163"/>
      <c r="CC81" s="163"/>
      <c r="CD81" s="163"/>
      <c r="CE81" s="163"/>
      <c r="CF81" s="163"/>
      <c r="CG81" s="163"/>
      <c r="CH81" s="163"/>
      <c r="CI81" s="163"/>
      <c r="CJ81" s="163"/>
      <c r="CK81" s="163"/>
      <c r="CL81" s="163"/>
      <c r="CM81" s="163"/>
      <c r="CN81" s="163"/>
      <c r="CO81" s="163"/>
      <c r="CP81" s="163"/>
      <c r="CQ81" s="163"/>
      <c r="CR81" s="163"/>
      <c r="CS81" s="163"/>
      <c r="CT81" s="163"/>
      <c r="CU81" s="163"/>
      <c r="CV81" s="163"/>
      <c r="CW81" s="163"/>
      <c r="CX81" s="60"/>
      <c r="CY81" s="60"/>
      <c r="CZ81" s="60"/>
      <c r="DA81" s="60"/>
      <c r="DB81" s="60"/>
      <c r="DC81" s="60"/>
      <c r="DD81" s="60"/>
      <c r="DE81" s="60"/>
      <c r="DF81" s="60"/>
      <c r="DG81" s="60"/>
      <c r="DH81" s="60"/>
      <c r="DI81" s="60"/>
      <c r="DJ81" s="60"/>
      <c r="DK81" s="60"/>
      <c r="DL81" s="60"/>
      <c r="DM81" s="60"/>
      <c r="DN81" s="60"/>
      <c r="DO81" s="60"/>
      <c r="DP81" s="60"/>
      <c r="DQ81" s="60"/>
      <c r="DR81" s="60"/>
      <c r="DS81" s="60"/>
      <c r="DT81" s="60"/>
      <c r="DU81" s="60"/>
      <c r="DV81" s="60"/>
      <c r="DW81" s="60"/>
      <c r="DX81" s="60"/>
      <c r="DY81" s="60"/>
      <c r="DZ81" s="60"/>
      <c r="EA81" s="60"/>
    </row>
    <row r="82" spans="1:131">
      <c r="A82" s="60"/>
      <c r="B82" s="60" t="s">
        <v>257</v>
      </c>
      <c r="C82" s="226">
        <v>0</v>
      </c>
      <c r="D82" s="226">
        <v>0</v>
      </c>
      <c r="E82" s="226">
        <v>0</v>
      </c>
      <c r="F82" s="226">
        <v>0</v>
      </c>
      <c r="G82" s="226">
        <v>0</v>
      </c>
      <c r="H82" s="226">
        <v>0</v>
      </c>
      <c r="I82" s="226">
        <v>0</v>
      </c>
      <c r="J82" s="226">
        <v>0</v>
      </c>
      <c r="K82" s="226">
        <v>0</v>
      </c>
      <c r="L82" s="227">
        <v>0</v>
      </c>
      <c r="M82" s="226">
        <v>0</v>
      </c>
      <c r="N82" s="226">
        <v>0</v>
      </c>
      <c r="O82" s="226">
        <v>0</v>
      </c>
      <c r="P82" s="226">
        <v>0</v>
      </c>
      <c r="Q82" s="226">
        <v>0</v>
      </c>
      <c r="R82" s="226">
        <v>0</v>
      </c>
      <c r="S82" s="226">
        <v>0</v>
      </c>
      <c r="T82" s="226">
        <v>0</v>
      </c>
      <c r="U82" s="226">
        <v>0</v>
      </c>
      <c r="V82" s="226">
        <v>0</v>
      </c>
      <c r="W82" s="226">
        <v>0</v>
      </c>
      <c r="X82" s="226">
        <v>0</v>
      </c>
      <c r="Y82" s="226">
        <v>0</v>
      </c>
      <c r="Z82" s="226"/>
      <c r="AA82" s="226">
        <v>0</v>
      </c>
      <c r="AB82" s="226">
        <v>0</v>
      </c>
      <c r="AC82" s="226">
        <v>0</v>
      </c>
      <c r="AD82" s="226">
        <v>0</v>
      </c>
      <c r="AE82" s="226">
        <v>0</v>
      </c>
      <c r="AF82" s="226">
        <v>0</v>
      </c>
      <c r="AG82" s="226">
        <v>0</v>
      </c>
      <c r="AH82" s="226">
        <v>0</v>
      </c>
      <c r="AI82" s="226">
        <v>0</v>
      </c>
      <c r="AJ82" s="226">
        <v>0</v>
      </c>
      <c r="AK82" s="226">
        <v>0</v>
      </c>
      <c r="AL82" s="226">
        <v>0</v>
      </c>
      <c r="AM82" s="163"/>
      <c r="AN82" s="163"/>
      <c r="AO82" s="163"/>
      <c r="AP82" s="163"/>
      <c r="AQ82" s="163"/>
      <c r="AR82" s="163"/>
      <c r="AS82" s="163"/>
      <c r="AT82" s="163"/>
      <c r="AU82" s="163"/>
      <c r="AV82" s="163"/>
      <c r="AW82" s="163"/>
      <c r="AX82" s="163"/>
      <c r="AY82" s="163"/>
      <c r="AZ82" s="163"/>
      <c r="BA82" s="163"/>
      <c r="BB82" s="163"/>
      <c r="BC82" s="163"/>
      <c r="BD82" s="163"/>
      <c r="BE82" s="163"/>
      <c r="BF82" s="163"/>
      <c r="BG82" s="163"/>
      <c r="BH82" s="163"/>
      <c r="BI82" s="163"/>
      <c r="BJ82" s="163"/>
      <c r="BK82" s="163"/>
      <c r="BL82" s="163"/>
      <c r="BM82" s="163"/>
      <c r="BN82" s="163"/>
      <c r="BO82" s="163"/>
      <c r="BP82" s="163"/>
      <c r="BQ82" s="163"/>
      <c r="BR82" s="163"/>
      <c r="BS82" s="163"/>
      <c r="BT82" s="163"/>
      <c r="BU82" s="163"/>
      <c r="BV82" s="163"/>
      <c r="BW82" s="163"/>
      <c r="BX82" s="163"/>
      <c r="BY82" s="163"/>
      <c r="BZ82" s="163"/>
      <c r="CA82" s="163"/>
      <c r="CB82" s="163"/>
      <c r="CC82" s="163"/>
      <c r="CD82" s="163"/>
      <c r="CE82" s="163"/>
      <c r="CF82" s="163"/>
      <c r="CG82" s="163"/>
      <c r="CH82" s="163"/>
      <c r="CI82" s="163"/>
      <c r="CJ82" s="163"/>
      <c r="CK82" s="163"/>
      <c r="CL82" s="163"/>
      <c r="CM82" s="163"/>
      <c r="CN82" s="163"/>
      <c r="CO82" s="163"/>
      <c r="CP82" s="163"/>
      <c r="CQ82" s="163"/>
      <c r="CR82" s="163"/>
      <c r="CS82" s="163"/>
      <c r="CT82" s="163"/>
      <c r="CU82" s="163"/>
      <c r="CV82" s="163"/>
      <c r="CW82" s="163"/>
      <c r="CX82" s="60"/>
      <c r="CY82" s="60"/>
      <c r="CZ82" s="60"/>
      <c r="DA82" s="60"/>
      <c r="DB82" s="60"/>
      <c r="DC82" s="60"/>
      <c r="DD82" s="60"/>
      <c r="DE82" s="60"/>
      <c r="DF82" s="60"/>
      <c r="DG82" s="60"/>
      <c r="DH82" s="60"/>
      <c r="DI82" s="60"/>
      <c r="DJ82" s="60"/>
      <c r="DK82" s="60"/>
      <c r="DL82" s="60"/>
      <c r="DM82" s="60"/>
      <c r="DN82" s="60"/>
      <c r="DO82" s="60"/>
      <c r="DP82" s="60"/>
      <c r="DQ82" s="60"/>
      <c r="DR82" s="60"/>
      <c r="DS82" s="60"/>
      <c r="DT82" s="60"/>
      <c r="DU82" s="60"/>
      <c r="DV82" s="60"/>
      <c r="DW82" s="60"/>
      <c r="DX82" s="60"/>
      <c r="DY82" s="60"/>
      <c r="DZ82" s="60"/>
      <c r="EA82" s="60"/>
    </row>
    <row r="83" spans="1:131">
      <c r="A83" s="60"/>
      <c r="B83" s="60" t="s">
        <v>260</v>
      </c>
      <c r="C83" s="226">
        <v>0</v>
      </c>
      <c r="D83" s="226">
        <v>0</v>
      </c>
      <c r="E83" s="226">
        <v>0</v>
      </c>
      <c r="F83" s="226">
        <v>0</v>
      </c>
      <c r="G83" s="226">
        <v>0</v>
      </c>
      <c r="H83" s="226">
        <v>0</v>
      </c>
      <c r="I83" s="226">
        <v>0</v>
      </c>
      <c r="J83" s="226">
        <v>0</v>
      </c>
      <c r="K83" s="226">
        <v>0</v>
      </c>
      <c r="L83" s="227">
        <v>0</v>
      </c>
      <c r="M83" s="226">
        <v>0</v>
      </c>
      <c r="N83" s="226">
        <v>0</v>
      </c>
      <c r="O83" s="226">
        <v>0</v>
      </c>
      <c r="P83" s="226">
        <v>0</v>
      </c>
      <c r="Q83" s="226">
        <v>0</v>
      </c>
      <c r="R83" s="226">
        <v>0</v>
      </c>
      <c r="S83" s="226">
        <v>0</v>
      </c>
      <c r="T83" s="226">
        <v>0</v>
      </c>
      <c r="U83" s="226">
        <v>0</v>
      </c>
      <c r="V83" s="226">
        <v>0</v>
      </c>
      <c r="W83" s="226">
        <v>0</v>
      </c>
      <c r="X83" s="226">
        <v>0</v>
      </c>
      <c r="Y83" s="226">
        <v>0</v>
      </c>
      <c r="Z83" s="226"/>
      <c r="AA83" s="226">
        <v>0</v>
      </c>
      <c r="AB83" s="226">
        <v>0</v>
      </c>
      <c r="AC83" s="226">
        <v>0</v>
      </c>
      <c r="AD83" s="226">
        <v>0</v>
      </c>
      <c r="AE83" s="226">
        <v>0</v>
      </c>
      <c r="AF83" s="226">
        <v>0</v>
      </c>
      <c r="AG83" s="226">
        <v>0</v>
      </c>
      <c r="AH83" s="226">
        <v>0</v>
      </c>
      <c r="AI83" s="226">
        <v>0</v>
      </c>
      <c r="AJ83" s="226">
        <v>0</v>
      </c>
      <c r="AK83" s="226">
        <v>0</v>
      </c>
      <c r="AL83" s="226">
        <v>0</v>
      </c>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163"/>
      <c r="BN83" s="163"/>
      <c r="BO83" s="163"/>
      <c r="BP83" s="163"/>
      <c r="BQ83" s="163"/>
      <c r="BR83" s="163"/>
      <c r="BS83" s="163"/>
      <c r="BT83" s="163"/>
      <c r="BU83" s="163"/>
      <c r="BV83" s="163"/>
      <c r="BW83" s="163"/>
      <c r="BX83" s="163"/>
      <c r="BY83" s="163"/>
      <c r="BZ83" s="163"/>
      <c r="CA83" s="163"/>
      <c r="CB83" s="163"/>
      <c r="CC83" s="163"/>
      <c r="CD83" s="163"/>
      <c r="CE83" s="163"/>
      <c r="CF83" s="163"/>
      <c r="CG83" s="163"/>
      <c r="CH83" s="163"/>
      <c r="CI83" s="163"/>
      <c r="CJ83" s="163"/>
      <c r="CK83" s="163"/>
      <c r="CL83" s="163"/>
      <c r="CM83" s="163"/>
      <c r="CN83" s="163"/>
      <c r="CO83" s="163"/>
      <c r="CP83" s="163"/>
      <c r="CQ83" s="163"/>
      <c r="CR83" s="163"/>
      <c r="CS83" s="163"/>
      <c r="CT83" s="163"/>
      <c r="CU83" s="163"/>
      <c r="CV83" s="163"/>
      <c r="CW83" s="163"/>
      <c r="CX83" s="60"/>
      <c r="CY83" s="60"/>
      <c r="CZ83" s="60"/>
      <c r="DA83" s="60"/>
      <c r="DB83" s="60"/>
      <c r="DC83" s="60"/>
      <c r="DD83" s="60"/>
      <c r="DE83" s="60"/>
      <c r="DF83" s="60"/>
      <c r="DG83" s="60"/>
      <c r="DH83" s="60"/>
      <c r="DI83" s="60"/>
      <c r="DJ83" s="60"/>
      <c r="DK83" s="60"/>
      <c r="DL83" s="60"/>
      <c r="DM83" s="60"/>
      <c r="DN83" s="60"/>
      <c r="DO83" s="60"/>
      <c r="DP83" s="60"/>
      <c r="DQ83" s="60"/>
      <c r="DR83" s="60"/>
      <c r="DS83" s="60"/>
      <c r="DT83" s="60"/>
      <c r="DU83" s="60"/>
      <c r="DV83" s="60"/>
      <c r="DW83" s="60"/>
      <c r="DX83" s="60"/>
      <c r="DY83" s="60"/>
      <c r="DZ83" s="60"/>
      <c r="EA83" s="60"/>
    </row>
    <row r="84" spans="1:131">
      <c r="A84" s="60"/>
      <c r="B84" s="60" t="s">
        <v>263</v>
      </c>
      <c r="C84" s="226">
        <v>0</v>
      </c>
      <c r="D84" s="226">
        <v>0</v>
      </c>
      <c r="E84" s="226">
        <v>0</v>
      </c>
      <c r="F84" s="226">
        <v>0</v>
      </c>
      <c r="G84" s="226">
        <v>0</v>
      </c>
      <c r="H84" s="226">
        <v>0</v>
      </c>
      <c r="I84" s="226">
        <v>0</v>
      </c>
      <c r="J84" s="226">
        <v>0</v>
      </c>
      <c r="K84" s="226">
        <v>0</v>
      </c>
      <c r="L84" s="227">
        <v>0</v>
      </c>
      <c r="M84" s="226">
        <v>0</v>
      </c>
      <c r="N84" s="226">
        <v>0</v>
      </c>
      <c r="O84" s="226">
        <v>0</v>
      </c>
      <c r="P84" s="226">
        <v>0</v>
      </c>
      <c r="Q84" s="226">
        <v>0</v>
      </c>
      <c r="R84" s="226">
        <v>0</v>
      </c>
      <c r="S84" s="226">
        <v>0</v>
      </c>
      <c r="T84" s="226">
        <v>0</v>
      </c>
      <c r="U84" s="226">
        <v>0</v>
      </c>
      <c r="V84" s="226">
        <v>0</v>
      </c>
      <c r="W84" s="226">
        <v>0</v>
      </c>
      <c r="X84" s="226">
        <v>0</v>
      </c>
      <c r="Y84" s="226">
        <v>0</v>
      </c>
      <c r="Z84" s="226"/>
      <c r="AA84" s="226">
        <v>0</v>
      </c>
      <c r="AB84" s="226">
        <v>0</v>
      </c>
      <c r="AC84" s="226">
        <v>0</v>
      </c>
      <c r="AD84" s="226">
        <v>0</v>
      </c>
      <c r="AE84" s="226">
        <v>0</v>
      </c>
      <c r="AF84" s="226">
        <v>0</v>
      </c>
      <c r="AG84" s="226">
        <v>0</v>
      </c>
      <c r="AH84" s="226">
        <v>0</v>
      </c>
      <c r="AI84" s="226">
        <v>0</v>
      </c>
      <c r="AJ84" s="226">
        <v>0</v>
      </c>
      <c r="AK84" s="226">
        <v>0</v>
      </c>
      <c r="AL84" s="226">
        <v>0</v>
      </c>
      <c r="AM84" s="163"/>
      <c r="AN84" s="163"/>
      <c r="AO84" s="163"/>
      <c r="AP84" s="163"/>
      <c r="AQ84" s="163"/>
      <c r="AR84" s="163"/>
      <c r="AS84" s="163"/>
      <c r="AT84" s="163"/>
      <c r="AU84" s="163"/>
      <c r="AV84" s="163"/>
      <c r="AW84" s="163"/>
      <c r="AX84" s="163"/>
      <c r="AY84" s="163"/>
      <c r="AZ84" s="163"/>
      <c r="BA84" s="163"/>
      <c r="BB84" s="163"/>
      <c r="BC84" s="163"/>
      <c r="BD84" s="163"/>
      <c r="BE84" s="163"/>
      <c r="BF84" s="163"/>
      <c r="BG84" s="163"/>
      <c r="BH84" s="163"/>
      <c r="BI84" s="163"/>
      <c r="BJ84" s="163"/>
      <c r="BK84" s="163"/>
      <c r="BL84" s="163"/>
      <c r="BM84" s="163"/>
      <c r="BN84" s="163"/>
      <c r="BO84" s="163"/>
      <c r="BP84" s="163"/>
      <c r="BQ84" s="163"/>
      <c r="BR84" s="163"/>
      <c r="BS84" s="163"/>
      <c r="BT84" s="163"/>
      <c r="BU84" s="163"/>
      <c r="BV84" s="163"/>
      <c r="BW84" s="163"/>
      <c r="BX84" s="163"/>
      <c r="BY84" s="163"/>
      <c r="BZ84" s="163"/>
      <c r="CA84" s="163"/>
      <c r="CB84" s="163"/>
      <c r="CC84" s="163"/>
      <c r="CD84" s="163"/>
      <c r="CE84" s="163"/>
      <c r="CF84" s="163"/>
      <c r="CG84" s="163"/>
      <c r="CH84" s="163"/>
      <c r="CI84" s="163"/>
      <c r="CJ84" s="163"/>
      <c r="CK84" s="163"/>
      <c r="CL84" s="163"/>
      <c r="CM84" s="163"/>
      <c r="CN84" s="163"/>
      <c r="CO84" s="163"/>
      <c r="CP84" s="163"/>
      <c r="CQ84" s="163"/>
      <c r="CR84" s="163"/>
      <c r="CS84" s="163"/>
      <c r="CT84" s="163"/>
      <c r="CU84" s="163"/>
      <c r="CV84" s="163"/>
      <c r="CW84" s="163"/>
      <c r="CX84" s="60"/>
      <c r="CY84" s="60"/>
      <c r="CZ84" s="60"/>
      <c r="DA84" s="60"/>
      <c r="DB84" s="60"/>
      <c r="DC84" s="60"/>
      <c r="DD84" s="60"/>
      <c r="DE84" s="60"/>
      <c r="DF84" s="60"/>
      <c r="DG84" s="60"/>
      <c r="DH84" s="60"/>
      <c r="DI84" s="60"/>
      <c r="DJ84" s="60"/>
      <c r="DK84" s="60"/>
      <c r="DL84" s="60"/>
      <c r="DM84" s="60"/>
      <c r="DN84" s="60"/>
      <c r="DO84" s="60"/>
      <c r="DP84" s="60"/>
      <c r="DQ84" s="60"/>
      <c r="DR84" s="60"/>
      <c r="DS84" s="60"/>
      <c r="DT84" s="60"/>
      <c r="DU84" s="60"/>
      <c r="DV84" s="60"/>
      <c r="DW84" s="60"/>
      <c r="DX84" s="60"/>
      <c r="DY84" s="60"/>
      <c r="DZ84" s="60"/>
      <c r="EA84" s="60"/>
    </row>
    <row r="85" spans="1:131">
      <c r="A85" s="60"/>
      <c r="B85" s="60" t="s">
        <v>266</v>
      </c>
      <c r="C85" s="226">
        <v>0</v>
      </c>
      <c r="D85" s="226">
        <v>0</v>
      </c>
      <c r="E85" s="226">
        <v>0</v>
      </c>
      <c r="F85" s="226">
        <v>0</v>
      </c>
      <c r="G85" s="226">
        <v>0</v>
      </c>
      <c r="H85" s="226">
        <v>0</v>
      </c>
      <c r="I85" s="226">
        <v>0</v>
      </c>
      <c r="J85" s="226">
        <v>0</v>
      </c>
      <c r="K85" s="226">
        <v>0</v>
      </c>
      <c r="L85" s="227">
        <v>0</v>
      </c>
      <c r="M85" s="226">
        <v>0</v>
      </c>
      <c r="N85" s="226">
        <v>0</v>
      </c>
      <c r="O85" s="226">
        <v>0</v>
      </c>
      <c r="P85" s="226">
        <v>0</v>
      </c>
      <c r="Q85" s="226">
        <v>0</v>
      </c>
      <c r="R85" s="226">
        <v>0</v>
      </c>
      <c r="S85" s="226">
        <v>0</v>
      </c>
      <c r="T85" s="226">
        <v>0</v>
      </c>
      <c r="U85" s="226">
        <v>0</v>
      </c>
      <c r="V85" s="226">
        <v>0</v>
      </c>
      <c r="W85" s="226">
        <v>0</v>
      </c>
      <c r="X85" s="226">
        <v>0</v>
      </c>
      <c r="Y85" s="226">
        <v>0</v>
      </c>
      <c r="Z85" s="226"/>
      <c r="AA85" s="226">
        <v>0</v>
      </c>
      <c r="AB85" s="226">
        <v>0</v>
      </c>
      <c r="AC85" s="226">
        <v>0</v>
      </c>
      <c r="AD85" s="226">
        <v>0</v>
      </c>
      <c r="AE85" s="226">
        <v>0</v>
      </c>
      <c r="AF85" s="226">
        <v>0</v>
      </c>
      <c r="AG85" s="226">
        <v>0</v>
      </c>
      <c r="AH85" s="226">
        <v>0</v>
      </c>
      <c r="AI85" s="226">
        <v>0</v>
      </c>
      <c r="AJ85" s="226">
        <v>0</v>
      </c>
      <c r="AK85" s="226">
        <v>0</v>
      </c>
      <c r="AL85" s="226">
        <v>0</v>
      </c>
      <c r="AM85" s="163"/>
      <c r="AN85" s="163"/>
      <c r="AO85" s="163"/>
      <c r="AP85" s="163"/>
      <c r="AQ85" s="163"/>
      <c r="AR85" s="163"/>
      <c r="AS85" s="163"/>
      <c r="AT85" s="163"/>
      <c r="AU85" s="163"/>
      <c r="AV85" s="163"/>
      <c r="AW85" s="163"/>
      <c r="AX85" s="163"/>
      <c r="AY85" s="163"/>
      <c r="AZ85" s="163"/>
      <c r="BA85" s="163"/>
      <c r="BB85" s="163"/>
      <c r="BC85" s="163"/>
      <c r="BD85" s="163"/>
      <c r="BE85" s="163"/>
      <c r="BF85" s="163"/>
      <c r="BG85" s="163"/>
      <c r="BH85" s="163"/>
      <c r="BI85" s="163"/>
      <c r="BJ85" s="163"/>
      <c r="BK85" s="163"/>
      <c r="BL85" s="163"/>
      <c r="BM85" s="163"/>
      <c r="BN85" s="163"/>
      <c r="BO85" s="163"/>
      <c r="BP85" s="163"/>
      <c r="BQ85" s="163"/>
      <c r="BR85" s="163"/>
      <c r="BS85" s="163"/>
      <c r="BT85" s="163"/>
      <c r="BU85" s="163"/>
      <c r="BV85" s="163"/>
      <c r="BW85" s="163"/>
      <c r="BX85" s="163"/>
      <c r="BY85" s="163"/>
      <c r="BZ85" s="163"/>
      <c r="CA85" s="163"/>
      <c r="CB85" s="163"/>
      <c r="CC85" s="163"/>
      <c r="CD85" s="163"/>
      <c r="CE85" s="163"/>
      <c r="CF85" s="163"/>
      <c r="CG85" s="163"/>
      <c r="CH85" s="163"/>
      <c r="CI85" s="163"/>
      <c r="CJ85" s="163"/>
      <c r="CK85" s="163"/>
      <c r="CL85" s="163"/>
      <c r="CM85" s="163"/>
      <c r="CN85" s="163"/>
      <c r="CO85" s="163"/>
      <c r="CP85" s="163"/>
      <c r="CQ85" s="163"/>
      <c r="CR85" s="163"/>
      <c r="CS85" s="163"/>
      <c r="CT85" s="163"/>
      <c r="CU85" s="163"/>
      <c r="CV85" s="163"/>
      <c r="CW85" s="163"/>
      <c r="CX85" s="60"/>
      <c r="CY85" s="60"/>
      <c r="CZ85" s="60"/>
      <c r="DA85" s="60"/>
      <c r="DB85" s="60"/>
      <c r="DC85" s="60"/>
      <c r="DD85" s="60"/>
      <c r="DE85" s="60"/>
      <c r="DF85" s="60"/>
      <c r="DG85" s="60"/>
      <c r="DH85" s="60"/>
      <c r="DI85" s="60"/>
      <c r="DJ85" s="60"/>
      <c r="DK85" s="60"/>
      <c r="DL85" s="60"/>
      <c r="DM85" s="60"/>
      <c r="DN85" s="60"/>
      <c r="DO85" s="60"/>
      <c r="DP85" s="60"/>
      <c r="DQ85" s="60"/>
      <c r="DR85" s="60"/>
      <c r="DS85" s="60"/>
      <c r="DT85" s="60"/>
      <c r="DU85" s="60"/>
      <c r="DV85" s="60"/>
      <c r="DW85" s="60"/>
      <c r="DX85" s="60"/>
      <c r="DY85" s="60"/>
      <c r="DZ85" s="60"/>
      <c r="EA85" s="60"/>
    </row>
    <row r="86" spans="1:131">
      <c r="A86" s="60"/>
      <c r="B86" s="60" t="s">
        <v>269</v>
      </c>
      <c r="C86" s="226">
        <v>0</v>
      </c>
      <c r="D86" s="226">
        <v>0</v>
      </c>
      <c r="E86" s="226">
        <v>0</v>
      </c>
      <c r="F86" s="226">
        <v>0</v>
      </c>
      <c r="G86" s="226">
        <v>0</v>
      </c>
      <c r="H86" s="226">
        <v>0</v>
      </c>
      <c r="I86" s="226">
        <v>0</v>
      </c>
      <c r="J86" s="226">
        <v>0</v>
      </c>
      <c r="K86" s="226">
        <v>0</v>
      </c>
      <c r="L86" s="227">
        <v>0</v>
      </c>
      <c r="M86" s="226">
        <v>0</v>
      </c>
      <c r="N86" s="226">
        <v>0</v>
      </c>
      <c r="O86" s="226">
        <v>0</v>
      </c>
      <c r="P86" s="226">
        <v>0</v>
      </c>
      <c r="Q86" s="226">
        <v>0</v>
      </c>
      <c r="R86" s="226">
        <v>0</v>
      </c>
      <c r="S86" s="226">
        <v>0</v>
      </c>
      <c r="T86" s="226">
        <v>0</v>
      </c>
      <c r="U86" s="226">
        <v>0</v>
      </c>
      <c r="V86" s="226">
        <v>0</v>
      </c>
      <c r="W86" s="226">
        <v>0</v>
      </c>
      <c r="X86" s="226">
        <v>0</v>
      </c>
      <c r="Y86" s="226">
        <v>0</v>
      </c>
      <c r="Z86" s="226"/>
      <c r="AA86" s="226">
        <v>0</v>
      </c>
      <c r="AB86" s="226">
        <v>0</v>
      </c>
      <c r="AC86" s="226">
        <v>0</v>
      </c>
      <c r="AD86" s="226">
        <v>0</v>
      </c>
      <c r="AE86" s="226">
        <v>0</v>
      </c>
      <c r="AF86" s="226">
        <v>0</v>
      </c>
      <c r="AG86" s="226">
        <v>0</v>
      </c>
      <c r="AH86" s="226">
        <v>0</v>
      </c>
      <c r="AI86" s="226">
        <v>0</v>
      </c>
      <c r="AJ86" s="226">
        <v>0</v>
      </c>
      <c r="AK86" s="226">
        <v>0</v>
      </c>
      <c r="AL86" s="226">
        <v>0</v>
      </c>
      <c r="AM86" s="163"/>
      <c r="AN86" s="163"/>
      <c r="AO86" s="163"/>
      <c r="AP86" s="163"/>
      <c r="AQ86" s="163"/>
      <c r="AR86" s="163"/>
      <c r="AS86" s="163"/>
      <c r="AT86" s="163"/>
      <c r="AU86" s="163"/>
      <c r="AV86" s="163"/>
      <c r="AW86" s="163"/>
      <c r="AX86" s="163"/>
      <c r="AY86" s="163"/>
      <c r="AZ86" s="163"/>
      <c r="BA86" s="163"/>
      <c r="BB86" s="163"/>
      <c r="BC86" s="163"/>
      <c r="BD86" s="163"/>
      <c r="BE86" s="163"/>
      <c r="BF86" s="163"/>
      <c r="BG86" s="163"/>
      <c r="BH86" s="163"/>
      <c r="BI86" s="163"/>
      <c r="BJ86" s="163"/>
      <c r="BK86" s="163"/>
      <c r="BL86" s="163"/>
      <c r="BM86" s="163"/>
      <c r="BN86" s="163"/>
      <c r="BO86" s="163"/>
      <c r="BP86" s="163"/>
      <c r="BQ86" s="163"/>
      <c r="BR86" s="163"/>
      <c r="BS86" s="163"/>
      <c r="BT86" s="163"/>
      <c r="BU86" s="163"/>
      <c r="BV86" s="163"/>
      <c r="BW86" s="163"/>
      <c r="BX86" s="163"/>
      <c r="BY86" s="163"/>
      <c r="BZ86" s="163"/>
      <c r="CA86" s="163"/>
      <c r="CB86" s="163"/>
      <c r="CC86" s="163"/>
      <c r="CD86" s="163"/>
      <c r="CE86" s="163"/>
      <c r="CF86" s="163"/>
      <c r="CG86" s="163"/>
      <c r="CH86" s="163"/>
      <c r="CI86" s="163"/>
      <c r="CJ86" s="163"/>
      <c r="CK86" s="163"/>
      <c r="CL86" s="163"/>
      <c r="CM86" s="163"/>
      <c r="CN86" s="163"/>
      <c r="CO86" s="163"/>
      <c r="CP86" s="163"/>
      <c r="CQ86" s="163"/>
      <c r="CR86" s="163"/>
      <c r="CS86" s="163"/>
      <c r="CT86" s="163"/>
      <c r="CU86" s="163"/>
      <c r="CV86" s="163"/>
      <c r="CW86" s="163"/>
      <c r="CX86" s="60"/>
      <c r="CY86" s="60"/>
      <c r="CZ86" s="60"/>
      <c r="DA86" s="60"/>
      <c r="DB86" s="60"/>
      <c r="DC86" s="60"/>
      <c r="DD86" s="60"/>
      <c r="DE86" s="60"/>
      <c r="DF86" s="60"/>
      <c r="DG86" s="60"/>
      <c r="DH86" s="60"/>
      <c r="DI86" s="60"/>
      <c r="DJ86" s="60"/>
      <c r="DK86" s="60"/>
      <c r="DL86" s="60"/>
      <c r="DM86" s="60"/>
      <c r="DN86" s="60"/>
      <c r="DO86" s="60"/>
      <c r="DP86" s="60"/>
      <c r="DQ86" s="60"/>
      <c r="DR86" s="60"/>
      <c r="DS86" s="60"/>
      <c r="DT86" s="60"/>
      <c r="DU86" s="60"/>
      <c r="DV86" s="60"/>
      <c r="DW86" s="60"/>
      <c r="DX86" s="60"/>
      <c r="DY86" s="60"/>
      <c r="DZ86" s="60"/>
      <c r="EA86" s="60"/>
    </row>
    <row r="87" spans="1:131">
      <c r="A87" s="60"/>
      <c r="B87" s="60" t="s">
        <v>272</v>
      </c>
      <c r="C87" s="226">
        <v>0</v>
      </c>
      <c r="D87" s="226">
        <v>0</v>
      </c>
      <c r="E87" s="226">
        <v>0</v>
      </c>
      <c r="F87" s="226">
        <v>0</v>
      </c>
      <c r="G87" s="226">
        <v>0</v>
      </c>
      <c r="H87" s="226">
        <v>0</v>
      </c>
      <c r="I87" s="226">
        <v>0</v>
      </c>
      <c r="J87" s="226">
        <v>0</v>
      </c>
      <c r="K87" s="226">
        <v>0</v>
      </c>
      <c r="L87" s="227">
        <v>0</v>
      </c>
      <c r="M87" s="226">
        <v>0</v>
      </c>
      <c r="N87" s="226">
        <v>0</v>
      </c>
      <c r="O87" s="226">
        <v>0</v>
      </c>
      <c r="P87" s="226">
        <v>0</v>
      </c>
      <c r="Q87" s="226">
        <v>0</v>
      </c>
      <c r="R87" s="226">
        <v>0</v>
      </c>
      <c r="S87" s="226">
        <v>0</v>
      </c>
      <c r="T87" s="226">
        <v>0</v>
      </c>
      <c r="U87" s="226">
        <v>0</v>
      </c>
      <c r="V87" s="226">
        <v>0</v>
      </c>
      <c r="W87" s="226">
        <v>0</v>
      </c>
      <c r="X87" s="226">
        <v>0</v>
      </c>
      <c r="Y87" s="226">
        <v>0</v>
      </c>
      <c r="Z87" s="226"/>
      <c r="AA87" s="226">
        <v>0</v>
      </c>
      <c r="AB87" s="226">
        <v>0</v>
      </c>
      <c r="AC87" s="226">
        <v>0</v>
      </c>
      <c r="AD87" s="226">
        <v>0</v>
      </c>
      <c r="AE87" s="226">
        <v>0</v>
      </c>
      <c r="AF87" s="226">
        <v>0</v>
      </c>
      <c r="AG87" s="226">
        <v>0</v>
      </c>
      <c r="AH87" s="226">
        <v>0</v>
      </c>
      <c r="AI87" s="226">
        <v>0</v>
      </c>
      <c r="AJ87" s="226">
        <v>0</v>
      </c>
      <c r="AK87" s="226">
        <v>0</v>
      </c>
      <c r="AL87" s="226">
        <v>0</v>
      </c>
      <c r="AM87" s="163"/>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163"/>
      <c r="BN87" s="163"/>
      <c r="BO87" s="163"/>
      <c r="BP87" s="163"/>
      <c r="BQ87" s="163"/>
      <c r="BR87" s="163"/>
      <c r="BS87" s="163"/>
      <c r="BT87" s="163"/>
      <c r="BU87" s="163"/>
      <c r="BV87" s="163"/>
      <c r="BW87" s="163"/>
      <c r="BX87" s="163"/>
      <c r="BY87" s="163"/>
      <c r="BZ87" s="163"/>
      <c r="CA87" s="163"/>
      <c r="CB87" s="163"/>
      <c r="CC87" s="163"/>
      <c r="CD87" s="163"/>
      <c r="CE87" s="163"/>
      <c r="CF87" s="163"/>
      <c r="CG87" s="163"/>
      <c r="CH87" s="163"/>
      <c r="CI87" s="163"/>
      <c r="CJ87" s="163"/>
      <c r="CK87" s="163"/>
      <c r="CL87" s="163"/>
      <c r="CM87" s="163"/>
      <c r="CN87" s="163"/>
      <c r="CO87" s="163"/>
      <c r="CP87" s="163"/>
      <c r="CQ87" s="163"/>
      <c r="CR87" s="163"/>
      <c r="CS87" s="163"/>
      <c r="CT87" s="163"/>
      <c r="CU87" s="163"/>
      <c r="CV87" s="163"/>
      <c r="CW87" s="163"/>
      <c r="CX87" s="60"/>
      <c r="CY87" s="60"/>
      <c r="CZ87" s="60"/>
      <c r="DA87" s="60"/>
      <c r="DB87" s="60"/>
      <c r="DC87" s="60"/>
      <c r="DD87" s="60"/>
      <c r="DE87" s="60"/>
      <c r="DF87" s="60"/>
      <c r="DG87" s="60"/>
      <c r="DH87" s="60"/>
      <c r="DI87" s="60"/>
      <c r="DJ87" s="60"/>
      <c r="DK87" s="60"/>
      <c r="DL87" s="60"/>
      <c r="DM87" s="60"/>
      <c r="DN87" s="60"/>
      <c r="DO87" s="60"/>
      <c r="DP87" s="60"/>
      <c r="DQ87" s="60"/>
      <c r="DR87" s="60"/>
      <c r="DS87" s="60"/>
      <c r="DT87" s="60"/>
      <c r="DU87" s="60"/>
      <c r="DV87" s="60"/>
      <c r="DW87" s="60"/>
      <c r="DX87" s="60"/>
      <c r="DY87" s="60"/>
      <c r="DZ87" s="60"/>
      <c r="EA87" s="60"/>
    </row>
    <row r="88" spans="1:131">
      <c r="A88" s="60"/>
      <c r="B88" s="60" t="s">
        <v>275</v>
      </c>
      <c r="C88" s="226">
        <v>0</v>
      </c>
      <c r="D88" s="226">
        <v>0</v>
      </c>
      <c r="E88" s="226">
        <v>0</v>
      </c>
      <c r="F88" s="226">
        <v>0</v>
      </c>
      <c r="G88" s="226">
        <v>0</v>
      </c>
      <c r="H88" s="226">
        <v>0</v>
      </c>
      <c r="I88" s="226">
        <v>0</v>
      </c>
      <c r="J88" s="226">
        <v>0</v>
      </c>
      <c r="K88" s="226">
        <v>0</v>
      </c>
      <c r="L88" s="227">
        <v>0</v>
      </c>
      <c r="M88" s="226">
        <v>0</v>
      </c>
      <c r="N88" s="226">
        <v>0</v>
      </c>
      <c r="O88" s="226">
        <v>0</v>
      </c>
      <c r="P88" s="226">
        <v>0</v>
      </c>
      <c r="Q88" s="226">
        <v>0</v>
      </c>
      <c r="R88" s="226">
        <v>0</v>
      </c>
      <c r="S88" s="226">
        <v>0</v>
      </c>
      <c r="T88" s="226">
        <v>0</v>
      </c>
      <c r="U88" s="226">
        <v>0</v>
      </c>
      <c r="V88" s="226">
        <v>0</v>
      </c>
      <c r="W88" s="226">
        <v>0</v>
      </c>
      <c r="X88" s="226">
        <v>0</v>
      </c>
      <c r="Y88" s="226">
        <v>0</v>
      </c>
      <c r="Z88" s="226"/>
      <c r="AA88" s="226">
        <v>0</v>
      </c>
      <c r="AB88" s="226">
        <v>0</v>
      </c>
      <c r="AC88" s="226">
        <v>0</v>
      </c>
      <c r="AD88" s="226">
        <v>0</v>
      </c>
      <c r="AE88" s="226">
        <v>0</v>
      </c>
      <c r="AF88" s="226">
        <v>0</v>
      </c>
      <c r="AG88" s="226">
        <v>0</v>
      </c>
      <c r="AH88" s="226">
        <v>0</v>
      </c>
      <c r="AI88" s="226">
        <v>0</v>
      </c>
      <c r="AJ88" s="226">
        <v>0</v>
      </c>
      <c r="AK88" s="226">
        <v>0</v>
      </c>
      <c r="AL88" s="226">
        <v>0</v>
      </c>
      <c r="AM88" s="163"/>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163"/>
      <c r="BN88" s="163"/>
      <c r="BO88" s="163"/>
      <c r="BP88" s="163"/>
      <c r="BQ88" s="163"/>
      <c r="BR88" s="163"/>
      <c r="BS88" s="163"/>
      <c r="BT88" s="163"/>
      <c r="BU88" s="163"/>
      <c r="BV88" s="163"/>
      <c r="BW88" s="163"/>
      <c r="BX88" s="163"/>
      <c r="BY88" s="163"/>
      <c r="BZ88" s="163"/>
      <c r="CA88" s="163"/>
      <c r="CB88" s="163"/>
      <c r="CC88" s="163"/>
      <c r="CD88" s="163"/>
      <c r="CE88" s="163"/>
      <c r="CF88" s="163"/>
      <c r="CG88" s="163"/>
      <c r="CH88" s="163"/>
      <c r="CI88" s="163"/>
      <c r="CJ88" s="163"/>
      <c r="CK88" s="163"/>
      <c r="CL88" s="163"/>
      <c r="CM88" s="163"/>
      <c r="CN88" s="163"/>
      <c r="CO88" s="163"/>
      <c r="CP88" s="163"/>
      <c r="CQ88" s="163"/>
      <c r="CR88" s="163"/>
      <c r="CS88" s="163"/>
      <c r="CT88" s="163"/>
      <c r="CU88" s="163"/>
      <c r="CV88" s="163"/>
      <c r="CW88" s="163"/>
      <c r="CX88" s="60"/>
      <c r="CY88" s="60"/>
      <c r="CZ88" s="60"/>
      <c r="DA88" s="60"/>
      <c r="DB88" s="60"/>
      <c r="DC88" s="60"/>
      <c r="DD88" s="60"/>
      <c r="DE88" s="60"/>
      <c r="DF88" s="60"/>
      <c r="DG88" s="60"/>
      <c r="DH88" s="60"/>
      <c r="DI88" s="60"/>
      <c r="DJ88" s="60"/>
      <c r="DK88" s="60"/>
      <c r="DL88" s="60"/>
      <c r="DM88" s="60"/>
      <c r="DN88" s="60"/>
      <c r="DO88" s="60"/>
      <c r="DP88" s="60"/>
      <c r="DQ88" s="60"/>
      <c r="DR88" s="60"/>
      <c r="DS88" s="60"/>
      <c r="DT88" s="60"/>
      <c r="DU88" s="60"/>
      <c r="DV88" s="60"/>
      <c r="DW88" s="60"/>
      <c r="DX88" s="60"/>
      <c r="DY88" s="60"/>
      <c r="DZ88" s="60"/>
      <c r="EA88" s="60"/>
    </row>
    <row r="89" spans="1:131">
      <c r="A89" s="60"/>
      <c r="B89" s="60" t="s">
        <v>278</v>
      </c>
      <c r="C89" s="163">
        <v>256.71911903766988</v>
      </c>
      <c r="D89" s="163">
        <v>639.71</v>
      </c>
      <c r="E89" s="163">
        <v>127.94200000000001</v>
      </c>
      <c r="F89" s="163">
        <v>767.65200000000004</v>
      </c>
      <c r="G89" s="163">
        <v>574.45316335298548</v>
      </c>
      <c r="H89" s="163">
        <v>170.88619257901507</v>
      </c>
      <c r="I89" s="163">
        <v>26194.509957839393</v>
      </c>
      <c r="J89" s="163">
        <v>108.80483319928889</v>
      </c>
      <c r="K89" s="163">
        <v>153.66426901335223</v>
      </c>
      <c r="L89" s="218">
        <v>0.29747628437030688</v>
      </c>
      <c r="M89" s="163">
        <v>2.4388544818404685</v>
      </c>
      <c r="N89" s="197">
        <v>16.974252130941522</v>
      </c>
      <c r="O89" s="197">
        <v>15.206074488924425</v>
      </c>
      <c r="P89" s="197">
        <v>17.49279380043361</v>
      </c>
      <c r="Q89" s="197">
        <v>15.170697763662981</v>
      </c>
      <c r="R89" s="197">
        <v>14.470189705989108</v>
      </c>
      <c r="S89" s="197">
        <v>14.108154860005159</v>
      </c>
      <c r="T89" s="197">
        <v>11.940214963652727</v>
      </c>
      <c r="U89" s="197">
        <v>12.486980601275031</v>
      </c>
      <c r="V89" s="197">
        <v>11.71460881818879</v>
      </c>
      <c r="W89" s="197">
        <v>14.143273661343647</v>
      </c>
      <c r="X89" s="197">
        <v>14.49630311882791</v>
      </c>
      <c r="Y89" s="197">
        <v>16.854538800706795</v>
      </c>
      <c r="Z89" s="197"/>
      <c r="AA89" s="197">
        <v>8.5173958524754561</v>
      </c>
      <c r="AB89" s="197">
        <v>7.1343627239134708</v>
      </c>
      <c r="AC89" s="197">
        <v>6.8115668777676479</v>
      </c>
      <c r="AD89" s="197">
        <v>7.085639007701217</v>
      </c>
      <c r="AE89" s="197">
        <v>7.0806549609780305</v>
      </c>
      <c r="AF89" s="197">
        <v>5.8706617390262847</v>
      </c>
      <c r="AG89" s="197">
        <v>6.3834149282792385</v>
      </c>
      <c r="AH89" s="197">
        <v>5.011663443002754</v>
      </c>
      <c r="AI89" s="197">
        <v>6.1745694461951501</v>
      </c>
      <c r="AJ89" s="197">
        <v>5.7606510854867894</v>
      </c>
      <c r="AK89" s="197">
        <v>7.5441375579403838</v>
      </c>
      <c r="AL89" s="197">
        <v>8.2863187009517336</v>
      </c>
      <c r="AM89" s="163"/>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163"/>
      <c r="BN89" s="163"/>
      <c r="BO89" s="163"/>
      <c r="BP89" s="163"/>
      <c r="BQ89" s="163"/>
      <c r="BR89" s="163"/>
      <c r="BS89" s="163"/>
      <c r="BT89" s="163"/>
      <c r="BU89" s="163"/>
      <c r="BV89" s="163"/>
      <c r="BW89" s="163"/>
      <c r="BX89" s="163"/>
      <c r="BY89" s="163"/>
      <c r="BZ89" s="163"/>
      <c r="CA89" s="163"/>
      <c r="CB89" s="163"/>
      <c r="CC89" s="163"/>
      <c r="CD89" s="163"/>
      <c r="CE89" s="163"/>
      <c r="CF89" s="163"/>
      <c r="CG89" s="163"/>
      <c r="CH89" s="163"/>
      <c r="CI89" s="163"/>
      <c r="CJ89" s="163"/>
      <c r="CK89" s="163"/>
      <c r="CL89" s="163"/>
      <c r="CM89" s="163"/>
      <c r="CN89" s="163"/>
      <c r="CO89" s="163"/>
      <c r="CP89" s="163"/>
      <c r="CQ89" s="163"/>
      <c r="CR89" s="163"/>
      <c r="CS89" s="163"/>
      <c r="CT89" s="163"/>
      <c r="CU89" s="163"/>
      <c r="CV89" s="163"/>
      <c r="CW89" s="163"/>
      <c r="CX89" s="60"/>
      <c r="CY89" s="60"/>
      <c r="CZ89" s="60"/>
      <c r="DA89" s="60"/>
      <c r="DB89" s="60"/>
      <c r="DC89" s="60"/>
      <c r="DD89" s="60"/>
      <c r="DE89" s="60"/>
      <c r="DF89" s="60"/>
      <c r="DG89" s="60"/>
      <c r="DH89" s="60"/>
      <c r="DI89" s="60"/>
      <c r="DJ89" s="60"/>
      <c r="DK89" s="60"/>
      <c r="DL89" s="60"/>
      <c r="DM89" s="60"/>
      <c r="DN89" s="60"/>
      <c r="DO89" s="60"/>
      <c r="DP89" s="60"/>
      <c r="DQ89" s="60"/>
      <c r="DR89" s="60"/>
      <c r="DS89" s="60"/>
      <c r="DT89" s="60"/>
      <c r="DU89" s="60"/>
      <c r="DV89" s="60"/>
      <c r="DW89" s="60"/>
      <c r="DX89" s="60"/>
      <c r="DY89" s="60"/>
      <c r="DZ89" s="60"/>
      <c r="EA89" s="60"/>
    </row>
    <row r="90" spans="1:131">
      <c r="A90" s="60"/>
      <c r="B90" s="60" t="s">
        <v>281</v>
      </c>
      <c r="C90" s="226">
        <v>0</v>
      </c>
      <c r="D90" s="226">
        <v>0</v>
      </c>
      <c r="E90" s="226">
        <v>0</v>
      </c>
      <c r="F90" s="226">
        <v>0</v>
      </c>
      <c r="G90" s="226">
        <v>0</v>
      </c>
      <c r="H90" s="226">
        <v>0</v>
      </c>
      <c r="I90" s="226">
        <v>0</v>
      </c>
      <c r="J90" s="226">
        <v>0</v>
      </c>
      <c r="K90" s="226">
        <v>0</v>
      </c>
      <c r="L90" s="227">
        <v>0</v>
      </c>
      <c r="M90" s="226">
        <v>0</v>
      </c>
      <c r="N90" s="226">
        <v>0</v>
      </c>
      <c r="O90" s="226">
        <v>0</v>
      </c>
      <c r="P90" s="226">
        <v>0</v>
      </c>
      <c r="Q90" s="226">
        <v>0</v>
      </c>
      <c r="R90" s="226">
        <v>0</v>
      </c>
      <c r="S90" s="226">
        <v>0</v>
      </c>
      <c r="T90" s="226">
        <v>0</v>
      </c>
      <c r="U90" s="226">
        <v>0</v>
      </c>
      <c r="V90" s="226">
        <v>0</v>
      </c>
      <c r="W90" s="226">
        <v>0</v>
      </c>
      <c r="X90" s="226">
        <v>0</v>
      </c>
      <c r="Y90" s="226">
        <v>0</v>
      </c>
      <c r="Z90" s="226"/>
      <c r="AA90" s="226">
        <v>0</v>
      </c>
      <c r="AB90" s="226">
        <v>0</v>
      </c>
      <c r="AC90" s="226">
        <v>0</v>
      </c>
      <c r="AD90" s="226">
        <v>0</v>
      </c>
      <c r="AE90" s="226">
        <v>0</v>
      </c>
      <c r="AF90" s="226">
        <v>0</v>
      </c>
      <c r="AG90" s="226">
        <v>0</v>
      </c>
      <c r="AH90" s="226">
        <v>0</v>
      </c>
      <c r="AI90" s="226">
        <v>0</v>
      </c>
      <c r="AJ90" s="226">
        <v>0</v>
      </c>
      <c r="AK90" s="226">
        <v>0</v>
      </c>
      <c r="AL90" s="226">
        <v>0</v>
      </c>
      <c r="AM90" s="163"/>
      <c r="AN90" s="163"/>
      <c r="AO90" s="163"/>
      <c r="AP90" s="163"/>
      <c r="AQ90" s="163"/>
      <c r="AR90" s="163"/>
      <c r="AS90" s="163"/>
      <c r="AT90" s="163"/>
      <c r="AU90" s="163"/>
      <c r="AV90" s="163"/>
      <c r="AW90" s="163"/>
      <c r="AX90" s="163"/>
      <c r="AY90" s="163"/>
      <c r="AZ90" s="163"/>
      <c r="BA90" s="163"/>
      <c r="BB90" s="163"/>
      <c r="BC90" s="163"/>
      <c r="BD90" s="163"/>
      <c r="BE90" s="163"/>
      <c r="BF90" s="163"/>
      <c r="BG90" s="163"/>
      <c r="BH90" s="163"/>
      <c r="BI90" s="163"/>
      <c r="BJ90" s="163"/>
      <c r="BK90" s="163"/>
      <c r="BL90" s="163"/>
      <c r="BM90" s="163"/>
      <c r="BN90" s="163"/>
      <c r="BO90" s="163"/>
      <c r="BP90" s="163"/>
      <c r="BQ90" s="163"/>
      <c r="BR90" s="163"/>
      <c r="BS90" s="163"/>
      <c r="BT90" s="163"/>
      <c r="BU90" s="163"/>
      <c r="BV90" s="163"/>
      <c r="BW90" s="163"/>
      <c r="BX90" s="163"/>
      <c r="BY90" s="163"/>
      <c r="BZ90" s="163"/>
      <c r="CA90" s="163"/>
      <c r="CB90" s="163"/>
      <c r="CC90" s="163"/>
      <c r="CD90" s="163"/>
      <c r="CE90" s="163"/>
      <c r="CF90" s="163"/>
      <c r="CG90" s="163"/>
      <c r="CH90" s="163"/>
      <c r="CI90" s="163"/>
      <c r="CJ90" s="163"/>
      <c r="CK90" s="163"/>
      <c r="CL90" s="163"/>
      <c r="CM90" s="163"/>
      <c r="CN90" s="163"/>
      <c r="CO90" s="163"/>
      <c r="CP90" s="163"/>
      <c r="CQ90" s="163"/>
      <c r="CR90" s="163"/>
      <c r="CS90" s="163"/>
      <c r="CT90" s="163"/>
      <c r="CU90" s="163"/>
      <c r="CV90" s="163"/>
      <c r="CW90" s="163"/>
      <c r="CX90" s="60"/>
      <c r="CY90" s="60"/>
      <c r="CZ90" s="60"/>
      <c r="DA90" s="60"/>
      <c r="DB90" s="60"/>
      <c r="DC90" s="60"/>
      <c r="DD90" s="60"/>
      <c r="DE90" s="60"/>
      <c r="DF90" s="60"/>
      <c r="DG90" s="60"/>
      <c r="DH90" s="60"/>
      <c r="DI90" s="60"/>
      <c r="DJ90" s="60"/>
      <c r="DK90" s="60"/>
      <c r="DL90" s="60"/>
      <c r="DM90" s="60"/>
      <c r="DN90" s="60"/>
      <c r="DO90" s="60"/>
      <c r="DP90" s="60"/>
      <c r="DQ90" s="60"/>
      <c r="DR90" s="60"/>
      <c r="DS90" s="60"/>
      <c r="DT90" s="60"/>
      <c r="DU90" s="60"/>
      <c r="DV90" s="60"/>
      <c r="DW90" s="60"/>
      <c r="DX90" s="60"/>
      <c r="DY90" s="60"/>
      <c r="DZ90" s="60"/>
      <c r="EA90" s="60"/>
    </row>
    <row r="91" spans="1:131">
      <c r="A91" s="60"/>
      <c r="B91" s="60" t="s">
        <v>284</v>
      </c>
      <c r="C91" s="163">
        <v>256.71911903766988</v>
      </c>
      <c r="D91" s="163">
        <v>707.87969999999996</v>
      </c>
      <c r="E91" s="163">
        <v>141.57594</v>
      </c>
      <c r="F91" s="163">
        <v>849.4556399999999</v>
      </c>
      <c r="G91" s="163">
        <v>635.66887017298836</v>
      </c>
      <c r="H91" s="163">
        <v>170.88619257901507</v>
      </c>
      <c r="I91" s="163">
        <v>28985.887121668191</v>
      </c>
      <c r="J91" s="163">
        <v>121.57032169160931</v>
      </c>
      <c r="K91" s="163">
        <v>171.21013342853448</v>
      </c>
      <c r="L91" s="218">
        <v>0.26882894632312387</v>
      </c>
      <c r="M91" s="163">
        <v>2.4388544818404685</v>
      </c>
      <c r="N91" s="197">
        <v>16.974252130941522</v>
      </c>
      <c r="O91" s="197">
        <v>15.206074488924425</v>
      </c>
      <c r="P91" s="197">
        <v>17.49279380043361</v>
      </c>
      <c r="Q91" s="197">
        <v>15.170697763662981</v>
      </c>
      <c r="R91" s="197">
        <v>14.470189705989108</v>
      </c>
      <c r="S91" s="197">
        <v>14.108154860005159</v>
      </c>
      <c r="T91" s="197">
        <v>11.940214963652727</v>
      </c>
      <c r="U91" s="197">
        <v>12.486980601275031</v>
      </c>
      <c r="V91" s="197">
        <v>11.71460881818879</v>
      </c>
      <c r="W91" s="197">
        <v>14.143273661343647</v>
      </c>
      <c r="X91" s="197">
        <v>14.49630311882791</v>
      </c>
      <c r="Y91" s="197">
        <v>16.854538800706795</v>
      </c>
      <c r="Z91" s="197"/>
      <c r="AA91" s="197">
        <v>8.5173958524754561</v>
      </c>
      <c r="AB91" s="197">
        <v>7.1343627239134708</v>
      </c>
      <c r="AC91" s="197">
        <v>6.8115668777676479</v>
      </c>
      <c r="AD91" s="197">
        <v>7.085639007701217</v>
      </c>
      <c r="AE91" s="197">
        <v>7.0806549609780305</v>
      </c>
      <c r="AF91" s="197">
        <v>5.8706617390262847</v>
      </c>
      <c r="AG91" s="197">
        <v>6.3834149282792385</v>
      </c>
      <c r="AH91" s="197">
        <v>5.011663443002754</v>
      </c>
      <c r="AI91" s="197">
        <v>6.1745694461951501</v>
      </c>
      <c r="AJ91" s="197">
        <v>5.7606510854867894</v>
      </c>
      <c r="AK91" s="197">
        <v>7.5441375579403838</v>
      </c>
      <c r="AL91" s="197">
        <v>8.2863187009517336</v>
      </c>
      <c r="AM91" s="163"/>
      <c r="AN91" s="163"/>
      <c r="AO91" s="163"/>
      <c r="AP91" s="163"/>
      <c r="AQ91" s="163"/>
      <c r="AR91" s="163"/>
      <c r="AS91" s="163"/>
      <c r="AT91" s="163"/>
      <c r="AU91" s="163"/>
      <c r="AV91" s="163"/>
      <c r="AW91" s="163"/>
      <c r="AX91" s="163"/>
      <c r="AY91" s="163"/>
      <c r="AZ91" s="163"/>
      <c r="BA91" s="163"/>
      <c r="BB91" s="163"/>
      <c r="BC91" s="163"/>
      <c r="BD91" s="163"/>
      <c r="BE91" s="163"/>
      <c r="BF91" s="163"/>
      <c r="BG91" s="163"/>
      <c r="BH91" s="163"/>
      <c r="BI91" s="163"/>
      <c r="BJ91" s="163"/>
      <c r="BK91" s="163"/>
      <c r="BL91" s="163"/>
      <c r="BM91" s="163"/>
      <c r="BN91" s="163"/>
      <c r="BO91" s="163"/>
      <c r="BP91" s="163"/>
      <c r="BQ91" s="163"/>
      <c r="BR91" s="163"/>
      <c r="BS91" s="163"/>
      <c r="BT91" s="163"/>
      <c r="BU91" s="163"/>
      <c r="BV91" s="163"/>
      <c r="BW91" s="163"/>
      <c r="BX91" s="163"/>
      <c r="BY91" s="163"/>
      <c r="BZ91" s="163"/>
      <c r="CA91" s="163"/>
      <c r="CB91" s="163"/>
      <c r="CC91" s="163"/>
      <c r="CD91" s="163"/>
      <c r="CE91" s="163"/>
      <c r="CF91" s="163"/>
      <c r="CG91" s="163"/>
      <c r="CH91" s="163"/>
      <c r="CI91" s="163"/>
      <c r="CJ91" s="163"/>
      <c r="CK91" s="163"/>
      <c r="CL91" s="163"/>
      <c r="CM91" s="163"/>
      <c r="CN91" s="163"/>
      <c r="CO91" s="163"/>
      <c r="CP91" s="163"/>
      <c r="CQ91" s="163"/>
      <c r="CR91" s="163"/>
      <c r="CS91" s="163"/>
      <c r="CT91" s="163"/>
      <c r="CU91" s="163"/>
      <c r="CV91" s="163"/>
      <c r="CW91" s="163"/>
      <c r="CX91" s="60"/>
      <c r="CY91" s="60"/>
      <c r="CZ91" s="60"/>
      <c r="DA91" s="60"/>
      <c r="DB91" s="60"/>
      <c r="DC91" s="60"/>
      <c r="DD91" s="60"/>
      <c r="DE91" s="60"/>
      <c r="DF91" s="60"/>
      <c r="DG91" s="60"/>
      <c r="DH91" s="60"/>
      <c r="DI91" s="60"/>
      <c r="DJ91" s="60"/>
      <c r="DK91" s="60"/>
      <c r="DL91" s="60"/>
      <c r="DM91" s="60"/>
      <c r="DN91" s="60"/>
      <c r="DO91" s="60"/>
      <c r="DP91" s="60"/>
      <c r="DQ91" s="60"/>
      <c r="DR91" s="60"/>
      <c r="DS91" s="60"/>
      <c r="DT91" s="60"/>
      <c r="DU91" s="60"/>
      <c r="DV91" s="60"/>
      <c r="DW91" s="60"/>
      <c r="DX91" s="60"/>
      <c r="DY91" s="60"/>
      <c r="DZ91" s="60"/>
      <c r="EA91" s="60"/>
    </row>
    <row r="92" spans="1:131">
      <c r="A92" s="60"/>
      <c r="B92" s="60" t="s">
        <v>287</v>
      </c>
      <c r="C92" s="226">
        <v>0</v>
      </c>
      <c r="D92" s="226">
        <v>0</v>
      </c>
      <c r="E92" s="226">
        <v>0</v>
      </c>
      <c r="F92" s="226">
        <v>0</v>
      </c>
      <c r="G92" s="226">
        <v>0</v>
      </c>
      <c r="H92" s="226">
        <v>0</v>
      </c>
      <c r="I92" s="226">
        <v>0</v>
      </c>
      <c r="J92" s="226">
        <v>0</v>
      </c>
      <c r="K92" s="226">
        <v>0</v>
      </c>
      <c r="L92" s="227">
        <v>0</v>
      </c>
      <c r="M92" s="226">
        <v>0</v>
      </c>
      <c r="N92" s="226">
        <v>0</v>
      </c>
      <c r="O92" s="226">
        <v>0</v>
      </c>
      <c r="P92" s="226">
        <v>0</v>
      </c>
      <c r="Q92" s="226">
        <v>0</v>
      </c>
      <c r="R92" s="226">
        <v>0</v>
      </c>
      <c r="S92" s="226">
        <v>0</v>
      </c>
      <c r="T92" s="226">
        <v>0</v>
      </c>
      <c r="U92" s="226">
        <v>0</v>
      </c>
      <c r="V92" s="226">
        <v>0</v>
      </c>
      <c r="W92" s="226">
        <v>0</v>
      </c>
      <c r="X92" s="226">
        <v>0</v>
      </c>
      <c r="Y92" s="226">
        <v>0</v>
      </c>
      <c r="Z92" s="226"/>
      <c r="AA92" s="226">
        <v>0</v>
      </c>
      <c r="AB92" s="226">
        <v>0</v>
      </c>
      <c r="AC92" s="226">
        <v>0</v>
      </c>
      <c r="AD92" s="226">
        <v>0</v>
      </c>
      <c r="AE92" s="226">
        <v>0</v>
      </c>
      <c r="AF92" s="226">
        <v>0</v>
      </c>
      <c r="AG92" s="226">
        <v>0</v>
      </c>
      <c r="AH92" s="226">
        <v>0</v>
      </c>
      <c r="AI92" s="226">
        <v>0</v>
      </c>
      <c r="AJ92" s="226">
        <v>0</v>
      </c>
      <c r="AK92" s="226">
        <v>0</v>
      </c>
      <c r="AL92" s="226">
        <v>0</v>
      </c>
      <c r="AM92" s="163"/>
      <c r="AN92" s="163"/>
      <c r="AO92" s="163"/>
      <c r="AP92" s="163"/>
      <c r="AQ92" s="163"/>
      <c r="AR92" s="163"/>
      <c r="AS92" s="163"/>
      <c r="AT92" s="163"/>
      <c r="AU92" s="163"/>
      <c r="AV92" s="163"/>
      <c r="AW92" s="163"/>
      <c r="AX92" s="163"/>
      <c r="AY92" s="163"/>
      <c r="AZ92" s="163"/>
      <c r="BA92" s="163"/>
      <c r="BB92" s="163"/>
      <c r="BC92" s="163"/>
      <c r="BD92" s="163"/>
      <c r="BE92" s="163"/>
      <c r="BF92" s="163"/>
      <c r="BG92" s="163"/>
      <c r="BH92" s="163"/>
      <c r="BI92" s="163"/>
      <c r="BJ92" s="163"/>
      <c r="BK92" s="163"/>
      <c r="BL92" s="163"/>
      <c r="BM92" s="163"/>
      <c r="BN92" s="163"/>
      <c r="BO92" s="163"/>
      <c r="BP92" s="163"/>
      <c r="BQ92" s="163"/>
      <c r="BR92" s="163"/>
      <c r="BS92" s="163"/>
      <c r="BT92" s="163"/>
      <c r="BU92" s="163"/>
      <c r="BV92" s="163"/>
      <c r="BW92" s="163"/>
      <c r="BX92" s="163"/>
      <c r="BY92" s="163"/>
      <c r="BZ92" s="163"/>
      <c r="CA92" s="163"/>
      <c r="CB92" s="163"/>
      <c r="CC92" s="163"/>
      <c r="CD92" s="163"/>
      <c r="CE92" s="163"/>
      <c r="CF92" s="163"/>
      <c r="CG92" s="163"/>
      <c r="CH92" s="163"/>
      <c r="CI92" s="163"/>
      <c r="CJ92" s="163"/>
      <c r="CK92" s="163"/>
      <c r="CL92" s="163"/>
      <c r="CM92" s="163"/>
      <c r="CN92" s="163"/>
      <c r="CO92" s="163"/>
      <c r="CP92" s="163"/>
      <c r="CQ92" s="163"/>
      <c r="CR92" s="163"/>
      <c r="CS92" s="163"/>
      <c r="CT92" s="163"/>
      <c r="CU92" s="163"/>
      <c r="CV92" s="163"/>
      <c r="CW92" s="163"/>
      <c r="CX92" s="60"/>
      <c r="CY92" s="60"/>
      <c r="CZ92" s="60"/>
      <c r="DA92" s="60"/>
      <c r="DB92" s="60"/>
      <c r="DC92" s="60"/>
      <c r="DD92" s="60"/>
      <c r="DE92" s="60"/>
      <c r="DF92" s="60"/>
      <c r="DG92" s="60"/>
      <c r="DH92" s="60"/>
      <c r="DI92" s="60"/>
      <c r="DJ92" s="60"/>
      <c r="DK92" s="60"/>
      <c r="DL92" s="60"/>
      <c r="DM92" s="60"/>
      <c r="DN92" s="60"/>
      <c r="DO92" s="60"/>
      <c r="DP92" s="60"/>
      <c r="DQ92" s="60"/>
      <c r="DR92" s="60"/>
      <c r="DS92" s="60"/>
      <c r="DT92" s="60"/>
      <c r="DU92" s="60"/>
      <c r="DV92" s="60"/>
      <c r="DW92" s="60"/>
      <c r="DX92" s="60"/>
      <c r="DY92" s="60"/>
      <c r="DZ92" s="60"/>
      <c r="EA92" s="60"/>
    </row>
    <row r="93" spans="1:131">
      <c r="A93" s="60"/>
      <c r="B93" s="60" t="s">
        <v>290</v>
      </c>
      <c r="C93" s="163">
        <v>513.43823807533977</v>
      </c>
      <c r="D93" s="163">
        <v>1602.6</v>
      </c>
      <c r="E93" s="163">
        <v>320.52</v>
      </c>
      <c r="F93" s="163">
        <v>1923.12</v>
      </c>
      <c r="G93" s="163">
        <v>1439.1187250308649</v>
      </c>
      <c r="H93" s="163">
        <v>341.77238515803015</v>
      </c>
      <c r="I93" s="163">
        <v>32811.212626372428</v>
      </c>
      <c r="J93" s="163">
        <v>139.06424882637916</v>
      </c>
      <c r="K93" s="163">
        <v>195.25512581409072</v>
      </c>
      <c r="L93" s="218">
        <v>0.23756625147639215</v>
      </c>
      <c r="M93" s="163">
        <v>4.877708963680937</v>
      </c>
      <c r="N93" s="197">
        <v>33.948504261883045</v>
      </c>
      <c r="O93" s="197">
        <v>30.412148977848851</v>
      </c>
      <c r="P93" s="197">
        <v>34.98558760086722</v>
      </c>
      <c r="Q93" s="197">
        <v>30.341395527325961</v>
      </c>
      <c r="R93" s="197">
        <v>28.940379411978217</v>
      </c>
      <c r="S93" s="197">
        <v>28.216309720010319</v>
      </c>
      <c r="T93" s="197">
        <v>23.880429927305453</v>
      </c>
      <c r="U93" s="197">
        <v>24.973961202550061</v>
      </c>
      <c r="V93" s="197">
        <v>23.429217636377579</v>
      </c>
      <c r="W93" s="197">
        <v>28.286547322687294</v>
      </c>
      <c r="X93" s="197">
        <v>28.992606237655821</v>
      </c>
      <c r="Y93" s="197">
        <v>33.70907760141359</v>
      </c>
      <c r="Z93" s="197"/>
      <c r="AA93" s="197">
        <v>17.034791704950912</v>
      </c>
      <c r="AB93" s="197">
        <v>14.268725447826942</v>
      </c>
      <c r="AC93" s="197">
        <v>13.623133755535296</v>
      </c>
      <c r="AD93" s="197">
        <v>14.171278015402434</v>
      </c>
      <c r="AE93" s="197">
        <v>14.161309921956061</v>
      </c>
      <c r="AF93" s="197">
        <v>11.741323478052569</v>
      </c>
      <c r="AG93" s="197">
        <v>12.766829856558477</v>
      </c>
      <c r="AH93" s="197">
        <v>10.023326886005508</v>
      </c>
      <c r="AI93" s="197">
        <v>12.3491388923903</v>
      </c>
      <c r="AJ93" s="197">
        <v>11.521302170973579</v>
      </c>
      <c r="AK93" s="197">
        <v>15.088275115880768</v>
      </c>
      <c r="AL93" s="197">
        <v>16.572637401903467</v>
      </c>
      <c r="AM93" s="163"/>
      <c r="AN93" s="163"/>
      <c r="AO93" s="163"/>
      <c r="AP93" s="163"/>
      <c r="AQ93" s="163"/>
      <c r="AR93" s="163"/>
      <c r="AS93" s="163"/>
      <c r="AT93" s="163"/>
      <c r="AU93" s="163"/>
      <c r="AV93" s="163"/>
      <c r="AW93" s="163"/>
      <c r="AX93" s="163"/>
      <c r="AY93" s="163"/>
      <c r="AZ93" s="163"/>
      <c r="BA93" s="163"/>
      <c r="BB93" s="163"/>
      <c r="BC93" s="163"/>
      <c r="BD93" s="163"/>
      <c r="BE93" s="163"/>
      <c r="BF93" s="163"/>
      <c r="BG93" s="163"/>
      <c r="BH93" s="163"/>
      <c r="BI93" s="163"/>
      <c r="BJ93" s="163"/>
      <c r="BK93" s="163"/>
      <c r="BL93" s="163"/>
      <c r="BM93" s="163"/>
      <c r="BN93" s="163"/>
      <c r="BO93" s="163"/>
      <c r="BP93" s="163"/>
      <c r="BQ93" s="163"/>
      <c r="BR93" s="163"/>
      <c r="BS93" s="163"/>
      <c r="BT93" s="163"/>
      <c r="BU93" s="163"/>
      <c r="BV93" s="163"/>
      <c r="BW93" s="163"/>
      <c r="BX93" s="163"/>
      <c r="BY93" s="163"/>
      <c r="BZ93" s="163"/>
      <c r="CA93" s="163"/>
      <c r="CB93" s="163"/>
      <c r="CC93" s="163"/>
      <c r="CD93" s="163"/>
      <c r="CE93" s="163"/>
      <c r="CF93" s="163"/>
      <c r="CG93" s="163"/>
      <c r="CH93" s="163"/>
      <c r="CI93" s="163"/>
      <c r="CJ93" s="163"/>
      <c r="CK93" s="163"/>
      <c r="CL93" s="163"/>
      <c r="CM93" s="163"/>
      <c r="CN93" s="163"/>
      <c r="CO93" s="163"/>
      <c r="CP93" s="163"/>
      <c r="CQ93" s="163"/>
      <c r="CR93" s="163"/>
      <c r="CS93" s="163"/>
      <c r="CT93" s="163"/>
      <c r="CU93" s="163"/>
      <c r="CV93" s="163"/>
      <c r="CW93" s="163"/>
      <c r="CX93" s="60"/>
      <c r="CY93" s="60"/>
      <c r="CZ93" s="60"/>
      <c r="DA93" s="60"/>
      <c r="DB93" s="60"/>
      <c r="DC93" s="60"/>
      <c r="DD93" s="60"/>
      <c r="DE93" s="60"/>
      <c r="DF93" s="60"/>
      <c r="DG93" s="60"/>
      <c r="DH93" s="60"/>
      <c r="DI93" s="60"/>
      <c r="DJ93" s="60"/>
      <c r="DK93" s="60"/>
      <c r="DL93" s="60"/>
      <c r="DM93" s="60"/>
      <c r="DN93" s="60"/>
      <c r="DO93" s="60"/>
      <c r="DP93" s="60"/>
      <c r="DQ93" s="60"/>
      <c r="DR93" s="60"/>
      <c r="DS93" s="60"/>
      <c r="DT93" s="60"/>
      <c r="DU93" s="60"/>
      <c r="DV93" s="60"/>
      <c r="DW93" s="60"/>
      <c r="DX93" s="60"/>
      <c r="DY93" s="60"/>
      <c r="DZ93" s="60"/>
      <c r="EA93" s="60"/>
    </row>
    <row r="94" spans="1:131">
      <c r="A94" s="60"/>
      <c r="B94" s="60" t="s">
        <v>293</v>
      </c>
      <c r="C94" s="163">
        <v>493.05574480773487</v>
      </c>
      <c r="D94" s="163">
        <v>2950.1896999999999</v>
      </c>
      <c r="E94" s="163">
        <v>590.03793999999994</v>
      </c>
      <c r="F94" s="163">
        <v>3540.2276400000001</v>
      </c>
      <c r="G94" s="163">
        <v>2649.2407585568385</v>
      </c>
      <c r="H94" s="163">
        <v>335.77264359951727</v>
      </c>
      <c r="I94" s="163">
        <v>62898.352677126117</v>
      </c>
      <c r="J94" s="163">
        <v>275.66849888445626</v>
      </c>
      <c r="K94" s="163">
        <v>383.38513948094987</v>
      </c>
      <c r="L94" s="218">
        <v>0.12789443945602499</v>
      </c>
      <c r="M94" s="163">
        <v>4.684064083110453</v>
      </c>
      <c r="N94" s="197">
        <v>38.320422819254169</v>
      </c>
      <c r="O94" s="197">
        <v>34.536802864028324</v>
      </c>
      <c r="P94" s="197">
        <v>38.654502122098044</v>
      </c>
      <c r="Q94" s="197">
        <v>30.331980439006664</v>
      </c>
      <c r="R94" s="197">
        <v>25.197155908582065</v>
      </c>
      <c r="S94" s="197">
        <v>21.310977558037603</v>
      </c>
      <c r="T94" s="197">
        <v>18.197543616354761</v>
      </c>
      <c r="U94" s="197">
        <v>18.56285635309024</v>
      </c>
      <c r="V94" s="197">
        <v>18.433214164108875</v>
      </c>
      <c r="W94" s="197">
        <v>24.727147418100753</v>
      </c>
      <c r="X94" s="197">
        <v>27.362063493606801</v>
      </c>
      <c r="Y94" s="197">
        <v>37.305174696928248</v>
      </c>
      <c r="Z94" s="197"/>
      <c r="AA94" s="197">
        <v>20.149258269115613</v>
      </c>
      <c r="AB94" s="197">
        <v>16.969293872468107</v>
      </c>
      <c r="AC94" s="197">
        <v>15.551720790810228</v>
      </c>
      <c r="AD94" s="197">
        <v>14.48573614156134</v>
      </c>
      <c r="AE94" s="197">
        <v>12.306710703199068</v>
      </c>
      <c r="AF94" s="197">
        <v>9.2894446530389683</v>
      </c>
      <c r="AG94" s="197">
        <v>9.7566440487540529</v>
      </c>
      <c r="AH94" s="197">
        <v>8.0769715374236188</v>
      </c>
      <c r="AI94" s="197">
        <v>9.6869546310206118</v>
      </c>
      <c r="AJ94" s="197">
        <v>10.211818282837079</v>
      </c>
      <c r="AK94" s="197">
        <v>14.22313209664801</v>
      </c>
      <c r="AL94" s="197">
        <v>19.408218327661661</v>
      </c>
      <c r="AM94" s="163"/>
      <c r="AN94" s="163"/>
      <c r="AO94" s="163"/>
      <c r="AP94" s="163"/>
      <c r="AQ94" s="163"/>
      <c r="AR94" s="163"/>
      <c r="AS94" s="163"/>
      <c r="AT94" s="163"/>
      <c r="AU94" s="163"/>
      <c r="AV94" s="163"/>
      <c r="AW94" s="163"/>
      <c r="AX94" s="163"/>
      <c r="AY94" s="163"/>
      <c r="AZ94" s="163"/>
      <c r="BA94" s="163"/>
      <c r="BB94" s="163"/>
      <c r="BC94" s="163"/>
      <c r="BD94" s="163"/>
      <c r="BE94" s="163"/>
      <c r="BF94" s="163"/>
      <c r="BG94" s="163"/>
      <c r="BH94" s="163"/>
      <c r="BI94" s="163"/>
      <c r="BJ94" s="163"/>
      <c r="BK94" s="163"/>
      <c r="BL94" s="163"/>
      <c r="BM94" s="163"/>
      <c r="BN94" s="163"/>
      <c r="BO94" s="163"/>
      <c r="BP94" s="163"/>
      <c r="BQ94" s="163"/>
      <c r="BR94" s="163"/>
      <c r="BS94" s="163"/>
      <c r="BT94" s="163"/>
      <c r="BU94" s="163"/>
      <c r="BV94" s="163"/>
      <c r="BW94" s="163"/>
      <c r="BX94" s="163"/>
      <c r="BY94" s="163"/>
      <c r="BZ94" s="163"/>
      <c r="CA94" s="163"/>
      <c r="CB94" s="163"/>
      <c r="CC94" s="163"/>
      <c r="CD94" s="163"/>
      <c r="CE94" s="163"/>
      <c r="CF94" s="163"/>
      <c r="CG94" s="163"/>
      <c r="CH94" s="163"/>
      <c r="CI94" s="163"/>
      <c r="CJ94" s="163"/>
      <c r="CK94" s="163"/>
      <c r="CL94" s="163"/>
      <c r="CM94" s="163"/>
      <c r="CN94" s="163"/>
      <c r="CO94" s="163"/>
      <c r="CP94" s="163"/>
      <c r="CQ94" s="163"/>
      <c r="CR94" s="163"/>
      <c r="CS94" s="163"/>
      <c r="CT94" s="163"/>
      <c r="CU94" s="163"/>
      <c r="CV94" s="163"/>
      <c r="CW94" s="163"/>
      <c r="CX94" s="60"/>
      <c r="CY94" s="60"/>
      <c r="CZ94" s="60"/>
      <c r="DA94" s="60"/>
      <c r="DB94" s="60"/>
      <c r="DC94" s="60"/>
      <c r="DD94" s="60"/>
      <c r="DE94" s="60"/>
      <c r="DF94" s="60"/>
      <c r="DG94" s="60"/>
      <c r="DH94" s="60"/>
      <c r="DI94" s="60"/>
      <c r="DJ94" s="60"/>
      <c r="DK94" s="60"/>
      <c r="DL94" s="60"/>
      <c r="DM94" s="60"/>
      <c r="DN94" s="60"/>
      <c r="DO94" s="60"/>
      <c r="DP94" s="60"/>
      <c r="DQ94" s="60"/>
      <c r="DR94" s="60"/>
      <c r="DS94" s="60"/>
      <c r="DT94" s="60"/>
      <c r="DU94" s="60"/>
      <c r="DV94" s="60"/>
      <c r="DW94" s="60"/>
      <c r="DX94" s="60"/>
      <c r="DY94" s="60"/>
      <c r="DZ94" s="60"/>
      <c r="EA94" s="60"/>
    </row>
    <row r="95" spans="1:131">
      <c r="A95" s="60"/>
      <c r="B95" s="60"/>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3"/>
      <c r="BA95" s="163"/>
      <c r="BB95" s="163"/>
      <c r="BC95" s="163"/>
      <c r="BD95" s="163"/>
      <c r="BE95" s="163"/>
      <c r="BF95" s="163"/>
      <c r="BG95" s="163"/>
      <c r="BH95" s="163"/>
      <c r="BI95" s="163"/>
      <c r="BJ95" s="163"/>
      <c r="BK95" s="163"/>
      <c r="BL95" s="163"/>
      <c r="BM95" s="163"/>
      <c r="BN95" s="163"/>
      <c r="BO95" s="163"/>
      <c r="BP95" s="163"/>
      <c r="BQ95" s="163"/>
      <c r="BR95" s="163"/>
      <c r="BS95" s="163"/>
      <c r="BT95" s="163"/>
      <c r="BU95" s="163"/>
      <c r="BV95" s="163"/>
      <c r="BW95" s="163"/>
      <c r="BX95" s="163"/>
      <c r="BY95" s="163"/>
      <c r="BZ95" s="163"/>
      <c r="CA95" s="163"/>
      <c r="CB95" s="163"/>
      <c r="CC95" s="163"/>
      <c r="CD95" s="163"/>
      <c r="CE95" s="163"/>
      <c r="CF95" s="163"/>
      <c r="CG95" s="163"/>
      <c r="CH95" s="163"/>
      <c r="CI95" s="163"/>
      <c r="CJ95" s="163"/>
      <c r="CK95" s="163"/>
      <c r="CL95" s="163"/>
      <c r="CM95" s="163"/>
      <c r="CN95" s="163"/>
      <c r="CO95" s="163"/>
      <c r="CP95" s="163"/>
      <c r="CQ95" s="163"/>
      <c r="CR95" s="163"/>
      <c r="CS95" s="163"/>
      <c r="CT95" s="163"/>
      <c r="CU95" s="163"/>
      <c r="CV95" s="163"/>
      <c r="CW95" s="163"/>
      <c r="CX95" s="60"/>
      <c r="CY95" s="60"/>
      <c r="CZ95" s="60"/>
      <c r="DA95" s="60"/>
      <c r="DB95" s="60"/>
      <c r="DC95" s="60"/>
      <c r="DD95" s="60"/>
      <c r="DE95" s="60"/>
      <c r="DF95" s="60"/>
      <c r="DG95" s="60"/>
      <c r="DH95" s="60"/>
      <c r="DI95" s="60"/>
      <c r="DJ95" s="60"/>
      <c r="DK95" s="60"/>
      <c r="DL95" s="60"/>
      <c r="DM95" s="60"/>
      <c r="DN95" s="60"/>
      <c r="DO95" s="60"/>
      <c r="DP95" s="60"/>
      <c r="DQ95" s="60"/>
      <c r="DR95" s="60"/>
      <c r="DS95" s="60"/>
      <c r="DT95" s="60"/>
      <c r="DU95" s="60"/>
      <c r="DV95" s="60"/>
      <c r="DW95" s="60"/>
      <c r="DX95" s="60"/>
      <c r="DY95" s="60"/>
      <c r="DZ95" s="60"/>
      <c r="EA95" s="60"/>
    </row>
    <row r="96" spans="1:131">
      <c r="A96" s="60"/>
      <c r="B96" s="60"/>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63"/>
      <c r="AP96" s="163"/>
      <c r="AQ96" s="163"/>
      <c r="AR96" s="163"/>
      <c r="AS96" s="163"/>
      <c r="AT96" s="163"/>
      <c r="AU96" s="163"/>
      <c r="AV96" s="163"/>
      <c r="AW96" s="163"/>
      <c r="AX96" s="163"/>
      <c r="AY96" s="163"/>
      <c r="AZ96" s="163"/>
      <c r="BA96" s="163"/>
      <c r="BB96" s="163"/>
      <c r="BC96" s="163"/>
      <c r="BD96" s="163"/>
      <c r="BE96" s="163"/>
      <c r="BF96" s="163"/>
      <c r="BG96" s="163"/>
      <c r="BH96" s="163"/>
      <c r="BI96" s="163"/>
      <c r="BJ96" s="163"/>
      <c r="BK96" s="163"/>
      <c r="BL96" s="163"/>
      <c r="BM96" s="163"/>
      <c r="BN96" s="163"/>
      <c r="BO96" s="163"/>
      <c r="BP96" s="163"/>
      <c r="BQ96" s="163"/>
      <c r="BR96" s="163"/>
      <c r="BS96" s="163"/>
      <c r="BT96" s="163"/>
      <c r="BU96" s="163"/>
      <c r="BV96" s="163"/>
      <c r="BW96" s="163"/>
      <c r="BX96" s="163"/>
      <c r="BY96" s="163"/>
      <c r="BZ96" s="163"/>
      <c r="CA96" s="163"/>
      <c r="CB96" s="163"/>
      <c r="CC96" s="163"/>
      <c r="CD96" s="163"/>
      <c r="CE96" s="163"/>
      <c r="CF96" s="163"/>
      <c r="CG96" s="163"/>
      <c r="CH96" s="163"/>
      <c r="CI96" s="163"/>
      <c r="CJ96" s="163"/>
      <c r="CK96" s="163"/>
      <c r="CL96" s="163"/>
      <c r="CM96" s="163"/>
      <c r="CN96" s="163"/>
      <c r="CO96" s="163"/>
      <c r="CP96" s="163"/>
      <c r="CQ96" s="163"/>
      <c r="CR96" s="163"/>
      <c r="CS96" s="163"/>
      <c r="CT96" s="163"/>
      <c r="CU96" s="163"/>
      <c r="CV96" s="163"/>
      <c r="CW96" s="163"/>
      <c r="CX96" s="60"/>
      <c r="CY96" s="60"/>
      <c r="CZ96" s="60"/>
      <c r="DA96" s="60"/>
      <c r="DB96" s="60"/>
      <c r="DC96" s="60"/>
      <c r="DD96" s="60"/>
      <c r="DE96" s="60"/>
      <c r="DF96" s="60"/>
      <c r="DG96" s="60"/>
      <c r="DH96" s="60"/>
      <c r="DI96" s="60"/>
      <c r="DJ96" s="60"/>
      <c r="DK96" s="60"/>
      <c r="DL96" s="60"/>
      <c r="DM96" s="60"/>
      <c r="DN96" s="60"/>
      <c r="DO96" s="60"/>
      <c r="DP96" s="60"/>
      <c r="DQ96" s="60"/>
      <c r="DR96" s="60"/>
      <c r="DS96" s="60"/>
      <c r="DT96" s="60"/>
      <c r="DU96" s="60"/>
      <c r="DV96" s="60"/>
      <c r="DW96" s="60"/>
      <c r="DX96" s="60"/>
      <c r="DY96" s="60"/>
      <c r="DZ96" s="60"/>
      <c r="EA96" s="60"/>
    </row>
    <row r="97" spans="1:131" ht="13.5" thickBot="1">
      <c r="A97" s="161" t="s">
        <v>300</v>
      </c>
      <c r="B97" s="162"/>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c r="AK97" s="163"/>
      <c r="AL97" s="163"/>
      <c r="AM97" s="163"/>
      <c r="AN97" s="163"/>
      <c r="AO97" s="163"/>
      <c r="AP97" s="163"/>
      <c r="AQ97" s="163"/>
      <c r="AR97" s="163"/>
      <c r="AS97" s="163"/>
      <c r="AT97" s="163"/>
      <c r="AU97" s="163"/>
      <c r="AV97" s="163"/>
      <c r="AW97" s="163"/>
      <c r="AX97" s="163"/>
      <c r="AY97" s="163"/>
      <c r="AZ97" s="163"/>
      <c r="BA97" s="163"/>
      <c r="BB97" s="163"/>
      <c r="BC97" s="163"/>
      <c r="BD97" s="163"/>
      <c r="BE97" s="163"/>
      <c r="BF97" s="163"/>
      <c r="BG97" s="163"/>
      <c r="BH97" s="163"/>
      <c r="BI97" s="163"/>
      <c r="BJ97" s="163"/>
      <c r="BK97" s="163"/>
      <c r="BL97" s="163"/>
      <c r="BM97" s="163"/>
      <c r="BN97" s="163"/>
      <c r="BO97" s="163"/>
      <c r="BP97" s="163"/>
      <c r="BQ97" s="163"/>
      <c r="BR97" s="163"/>
      <c r="BS97" s="163"/>
      <c r="BT97" s="163"/>
      <c r="BU97" s="163"/>
      <c r="BV97" s="163"/>
      <c r="BW97" s="163"/>
      <c r="BX97" s="163"/>
      <c r="BY97" s="163"/>
      <c r="BZ97" s="163"/>
      <c r="CA97" s="163"/>
      <c r="CB97" s="163"/>
      <c r="CC97" s="163"/>
      <c r="CD97" s="163"/>
      <c r="CE97" s="163"/>
      <c r="CF97" s="163"/>
      <c r="CG97" s="163"/>
      <c r="CH97" s="163"/>
      <c r="CI97" s="163"/>
      <c r="CJ97" s="163"/>
      <c r="CK97" s="163"/>
      <c r="CL97" s="163"/>
      <c r="CM97" s="163"/>
      <c r="CN97" s="163"/>
      <c r="CO97" s="163"/>
      <c r="CP97" s="163"/>
      <c r="CQ97" s="163"/>
      <c r="CR97" s="163"/>
      <c r="CS97" s="163"/>
      <c r="CT97" s="163"/>
      <c r="CU97" s="163"/>
      <c r="CV97" s="163"/>
      <c r="CW97" s="163"/>
      <c r="CX97" s="60"/>
      <c r="CY97" s="60"/>
      <c r="CZ97" s="60"/>
      <c r="DA97" s="60"/>
      <c r="DB97" s="60"/>
      <c r="DC97" s="60"/>
      <c r="DD97" s="60"/>
      <c r="DE97" s="60"/>
      <c r="DF97" s="60"/>
      <c r="DG97" s="60"/>
      <c r="DH97" s="60"/>
      <c r="DI97" s="60"/>
      <c r="DJ97" s="60"/>
      <c r="DK97" s="60"/>
      <c r="DL97" s="60"/>
      <c r="DM97" s="60"/>
      <c r="DN97" s="60"/>
      <c r="DO97" s="60"/>
      <c r="DP97" s="60"/>
      <c r="DQ97" s="60"/>
      <c r="DR97" s="60"/>
      <c r="DS97" s="60"/>
      <c r="DT97" s="60"/>
      <c r="DU97" s="60"/>
      <c r="DV97" s="60"/>
      <c r="DW97" s="60"/>
      <c r="DX97" s="60"/>
      <c r="DY97" s="60"/>
      <c r="DZ97" s="60"/>
      <c r="EA97" s="60"/>
    </row>
    <row r="98" spans="1:131" ht="13.5" thickBot="1">
      <c r="A98" s="164"/>
      <c r="B98" s="165"/>
      <c r="C98" s="166"/>
      <c r="D98" s="166"/>
      <c r="E98" s="166"/>
      <c r="F98" s="166"/>
      <c r="G98" s="166"/>
      <c r="H98" s="166"/>
      <c r="I98" s="166"/>
      <c r="J98" s="166"/>
      <c r="K98" s="166"/>
      <c r="L98" s="166"/>
      <c r="M98" s="166"/>
      <c r="N98" s="166"/>
      <c r="O98" s="167" t="s">
        <v>848</v>
      </c>
      <c r="P98" s="168"/>
      <c r="Q98" s="168"/>
      <c r="R98" s="168"/>
      <c r="S98" s="168"/>
      <c r="T98" s="168"/>
      <c r="U98" s="168"/>
      <c r="V98" s="168"/>
      <c r="W98" s="168"/>
      <c r="X98" s="168"/>
      <c r="Y98" s="168"/>
      <c r="Z98" s="169"/>
      <c r="AA98" s="166"/>
      <c r="AB98" s="167" t="s">
        <v>849</v>
      </c>
      <c r="AC98" s="168"/>
      <c r="AD98" s="168"/>
      <c r="AE98" s="168"/>
      <c r="AF98" s="168"/>
      <c r="AG98" s="168"/>
      <c r="AH98" s="168"/>
      <c r="AI98" s="168"/>
      <c r="AJ98" s="168"/>
      <c r="AK98" s="168"/>
      <c r="AL98" s="168"/>
      <c r="AM98" s="169"/>
      <c r="AN98" s="163"/>
      <c r="AO98" s="163"/>
      <c r="AP98" s="163"/>
      <c r="AQ98" s="163"/>
      <c r="AR98" s="163"/>
      <c r="AS98" s="163"/>
      <c r="AT98" s="163"/>
      <c r="AU98" s="163"/>
      <c r="AV98" s="163"/>
      <c r="AW98" s="163"/>
      <c r="AX98" s="163"/>
      <c r="AY98" s="163"/>
      <c r="AZ98" s="163"/>
      <c r="BA98" s="163"/>
      <c r="BB98" s="163"/>
      <c r="BC98" s="163"/>
      <c r="BD98" s="163"/>
      <c r="BE98" s="163"/>
      <c r="BF98" s="163"/>
      <c r="BG98" s="163"/>
      <c r="BH98" s="163"/>
      <c r="BI98" s="163"/>
      <c r="BJ98" s="163"/>
      <c r="BK98" s="163"/>
      <c r="BL98" s="163"/>
      <c r="BM98" s="163"/>
      <c r="BN98" s="163"/>
      <c r="BO98" s="163"/>
      <c r="BP98" s="163"/>
      <c r="BQ98" s="163"/>
      <c r="BR98" s="163"/>
      <c r="BS98" s="163"/>
      <c r="BT98" s="163"/>
      <c r="BU98" s="163"/>
      <c r="BV98" s="163"/>
      <c r="BW98" s="163"/>
      <c r="BX98" s="163"/>
      <c r="BY98" s="163"/>
      <c r="BZ98" s="163"/>
      <c r="CA98" s="163"/>
      <c r="CB98" s="163"/>
      <c r="CC98" s="163"/>
      <c r="CD98" s="163"/>
      <c r="CE98" s="163"/>
      <c r="CF98" s="163"/>
      <c r="CG98" s="163"/>
      <c r="CH98" s="163"/>
      <c r="CI98" s="163"/>
      <c r="CJ98" s="163"/>
      <c r="CK98" s="163"/>
      <c r="CL98" s="163"/>
      <c r="CM98" s="163"/>
      <c r="CN98" s="163"/>
      <c r="CO98" s="163"/>
      <c r="CP98" s="163"/>
      <c r="CQ98" s="163"/>
      <c r="CR98" s="163"/>
      <c r="CS98" s="163"/>
      <c r="CT98" s="163"/>
      <c r="CU98" s="163"/>
      <c r="CV98" s="163"/>
      <c r="CW98" s="163"/>
      <c r="CX98" s="60"/>
      <c r="CY98" s="60"/>
      <c r="CZ98" s="60"/>
      <c r="DA98" s="60"/>
      <c r="DB98" s="60"/>
      <c r="DC98" s="60"/>
      <c r="DD98" s="60"/>
      <c r="DE98" s="60"/>
      <c r="DF98" s="60"/>
      <c r="DG98" s="60"/>
      <c r="DH98" s="60"/>
      <c r="DI98" s="60"/>
      <c r="DJ98" s="60"/>
      <c r="DK98" s="60"/>
      <c r="DL98" s="60"/>
      <c r="DM98" s="60"/>
      <c r="DN98" s="60"/>
      <c r="DO98" s="60"/>
      <c r="DP98" s="60"/>
      <c r="DQ98" s="60"/>
      <c r="DR98" s="60"/>
      <c r="DS98" s="60"/>
      <c r="DT98" s="60"/>
      <c r="DU98" s="60"/>
      <c r="DV98" s="60"/>
      <c r="DW98" s="60"/>
      <c r="DX98" s="60"/>
      <c r="DY98" s="60"/>
      <c r="DZ98" s="60"/>
      <c r="EA98" s="60"/>
    </row>
    <row r="99" spans="1:131" ht="191.25">
      <c r="A99" s="170" t="s">
        <v>301</v>
      </c>
      <c r="B99" s="171" t="s">
        <v>302</v>
      </c>
      <c r="C99" s="172" t="s">
        <v>303</v>
      </c>
      <c r="D99" s="172" t="s">
        <v>304</v>
      </c>
      <c r="E99" s="172" t="s">
        <v>305</v>
      </c>
      <c r="F99" s="172" t="s">
        <v>306</v>
      </c>
      <c r="G99" s="172" t="s">
        <v>307</v>
      </c>
      <c r="H99" s="172" t="s">
        <v>308</v>
      </c>
      <c r="I99" s="172" t="s">
        <v>309</v>
      </c>
      <c r="J99" s="172" t="s">
        <v>310</v>
      </c>
      <c r="K99" s="172" t="s">
        <v>311</v>
      </c>
      <c r="L99" s="172" t="s">
        <v>312</v>
      </c>
      <c r="M99" s="172" t="s">
        <v>313</v>
      </c>
      <c r="N99" s="172" t="s">
        <v>850</v>
      </c>
      <c r="O99" s="172" t="s">
        <v>314</v>
      </c>
      <c r="P99" s="172" t="s">
        <v>315</v>
      </c>
      <c r="Q99" s="172" t="s">
        <v>316</v>
      </c>
      <c r="R99" s="172" t="s">
        <v>317</v>
      </c>
      <c r="S99" s="172" t="s">
        <v>318</v>
      </c>
      <c r="T99" s="172" t="s">
        <v>319</v>
      </c>
      <c r="U99" s="172" t="s">
        <v>320</v>
      </c>
      <c r="V99" s="172" t="s">
        <v>321</v>
      </c>
      <c r="W99" s="172" t="s">
        <v>322</v>
      </c>
      <c r="X99" s="172" t="s">
        <v>323</v>
      </c>
      <c r="Y99" s="172" t="s">
        <v>324</v>
      </c>
      <c r="Z99" s="172" t="s">
        <v>325</v>
      </c>
      <c r="AA99" s="172"/>
      <c r="AB99" s="172" t="s">
        <v>314</v>
      </c>
      <c r="AC99" s="172" t="s">
        <v>315</v>
      </c>
      <c r="AD99" s="172" t="s">
        <v>316</v>
      </c>
      <c r="AE99" s="172" t="s">
        <v>317</v>
      </c>
      <c r="AF99" s="172" t="s">
        <v>318</v>
      </c>
      <c r="AG99" s="172" t="s">
        <v>319</v>
      </c>
      <c r="AH99" s="172" t="s">
        <v>320</v>
      </c>
      <c r="AI99" s="172" t="s">
        <v>321</v>
      </c>
      <c r="AJ99" s="172" t="s">
        <v>322</v>
      </c>
      <c r="AK99" s="172" t="s">
        <v>323</v>
      </c>
      <c r="AL99" s="172" t="s">
        <v>324</v>
      </c>
      <c r="AM99" s="172" t="s">
        <v>325</v>
      </c>
      <c r="AN99" s="163"/>
      <c r="AO99" s="163"/>
      <c r="AP99" s="163"/>
      <c r="AQ99" s="163"/>
      <c r="AR99" s="163"/>
      <c r="AS99" s="163"/>
      <c r="AT99" s="163"/>
      <c r="AU99" s="163"/>
      <c r="AV99" s="163"/>
      <c r="AW99" s="163"/>
      <c r="AX99" s="163"/>
      <c r="AY99" s="163"/>
      <c r="AZ99" s="163"/>
      <c r="BA99" s="163"/>
      <c r="BB99" s="163"/>
      <c r="BC99" s="163"/>
      <c r="BD99" s="163"/>
      <c r="BE99" s="163"/>
      <c r="BF99" s="163"/>
      <c r="BG99" s="163"/>
      <c r="BH99" s="163"/>
      <c r="BI99" s="163"/>
      <c r="BJ99" s="163"/>
      <c r="BK99" s="163"/>
      <c r="BL99" s="163"/>
      <c r="BM99" s="163"/>
      <c r="BN99" s="163"/>
      <c r="BO99" s="163"/>
      <c r="BP99" s="163"/>
      <c r="BQ99" s="163"/>
      <c r="BR99" s="163"/>
      <c r="BS99" s="163"/>
      <c r="BT99" s="163"/>
      <c r="BU99" s="163"/>
      <c r="BV99" s="163"/>
      <c r="BW99" s="163"/>
      <c r="BX99" s="163"/>
      <c r="BY99" s="163"/>
      <c r="BZ99" s="163"/>
      <c r="CA99" s="163"/>
      <c r="CB99" s="163"/>
      <c r="CC99" s="163"/>
      <c r="CD99" s="163"/>
      <c r="CE99" s="163"/>
      <c r="CF99" s="163"/>
      <c r="CG99" s="163"/>
      <c r="CH99" s="163"/>
      <c r="CI99" s="163"/>
      <c r="CJ99" s="163"/>
      <c r="CK99" s="163"/>
      <c r="CL99" s="163"/>
      <c r="CM99" s="163"/>
      <c r="CN99" s="163"/>
      <c r="CO99" s="163"/>
      <c r="CP99" s="163"/>
      <c r="CQ99" s="163"/>
      <c r="CR99" s="163"/>
      <c r="CS99" s="163"/>
      <c r="CT99" s="163"/>
      <c r="CU99" s="163"/>
      <c r="CV99" s="163"/>
      <c r="CW99" s="163"/>
      <c r="CX99" s="60"/>
      <c r="CY99" s="60"/>
      <c r="CZ99" s="60"/>
      <c r="DA99" s="60"/>
      <c r="DB99" s="60"/>
      <c r="DC99" s="60"/>
      <c r="DD99" s="60"/>
      <c r="DE99" s="60"/>
      <c r="DF99" s="60"/>
      <c r="DG99" s="60"/>
      <c r="DH99" s="60"/>
      <c r="DI99" s="60"/>
      <c r="DJ99" s="60"/>
      <c r="DK99" s="60"/>
      <c r="DL99" s="60"/>
      <c r="DM99" s="60"/>
      <c r="DN99" s="60"/>
      <c r="DO99" s="60"/>
      <c r="DP99" s="60"/>
      <c r="DQ99" s="60"/>
      <c r="DR99" s="60"/>
      <c r="DS99" s="60"/>
      <c r="DT99" s="60"/>
      <c r="DU99" s="60"/>
      <c r="DV99" s="60"/>
      <c r="DW99" s="60"/>
      <c r="DX99" s="60"/>
      <c r="DY99" s="60"/>
      <c r="DZ99" s="60"/>
      <c r="EA99" s="60"/>
    </row>
    <row r="100" spans="1:131">
      <c r="A100" s="60" t="s">
        <v>336</v>
      </c>
      <c r="B100" s="60"/>
      <c r="C100" s="197">
        <v>256.71911903766988</v>
      </c>
      <c r="D100" s="197">
        <v>639.71</v>
      </c>
      <c r="E100" s="197">
        <v>127.94200000000001</v>
      </c>
      <c r="F100" s="197">
        <v>767.65200000000004</v>
      </c>
      <c r="G100" s="197">
        <v>574.45316335298548</v>
      </c>
      <c r="H100" s="197">
        <v>170.88619257901507</v>
      </c>
      <c r="I100" s="197">
        <v>26194.509957839393</v>
      </c>
      <c r="J100" s="197">
        <v>108.80483319928889</v>
      </c>
      <c r="K100" s="197">
        <v>153.66426901335223</v>
      </c>
      <c r="L100" s="218">
        <v>0.29747628437030688</v>
      </c>
      <c r="M100" s="197">
        <v>2.4388544818404685</v>
      </c>
      <c r="N100" s="197">
        <v>4.968121669622351E-2</v>
      </c>
      <c r="O100" s="197">
        <v>16.974252130941522</v>
      </c>
      <c r="P100" s="197">
        <v>15.206074488924425</v>
      </c>
      <c r="Q100" s="197">
        <v>17.49279380043361</v>
      </c>
      <c r="R100" s="197">
        <v>15.170697763662981</v>
      </c>
      <c r="S100" s="197">
        <v>14.470189705989108</v>
      </c>
      <c r="T100" s="197">
        <v>14.108154860005159</v>
      </c>
      <c r="U100" s="197">
        <v>11.940214963652727</v>
      </c>
      <c r="V100" s="197">
        <v>12.486980601275031</v>
      </c>
      <c r="W100" s="197">
        <v>11.71460881818879</v>
      </c>
      <c r="X100" s="197">
        <v>14.143273661343647</v>
      </c>
      <c r="Y100" s="197">
        <v>14.49630311882791</v>
      </c>
      <c r="Z100" s="197">
        <v>16.854538800706795</v>
      </c>
      <c r="AA100" s="197"/>
      <c r="AB100" s="197">
        <v>8.5173958524754561</v>
      </c>
      <c r="AC100" s="197">
        <v>7.1343627239134708</v>
      </c>
      <c r="AD100" s="197">
        <v>6.8115668777676479</v>
      </c>
      <c r="AE100" s="197">
        <v>7.085639007701217</v>
      </c>
      <c r="AF100" s="197">
        <v>7.0806549609780305</v>
      </c>
      <c r="AG100" s="197">
        <v>5.8706617390262847</v>
      </c>
      <c r="AH100" s="197">
        <v>6.3834149282792385</v>
      </c>
      <c r="AI100" s="197">
        <v>5.011663443002754</v>
      </c>
      <c r="AJ100" s="197">
        <v>6.1745694461951501</v>
      </c>
      <c r="AK100" s="197">
        <v>5.7606510854867894</v>
      </c>
      <c r="AL100" s="197">
        <v>7.5441375579403838</v>
      </c>
      <c r="AM100" s="163">
        <v>8.2863187009517336</v>
      </c>
      <c r="AN100" s="163"/>
      <c r="AO100" s="163"/>
      <c r="AP100" s="163"/>
      <c r="AQ100" s="163"/>
      <c r="AR100" s="163"/>
      <c r="AS100" s="163"/>
      <c r="AT100" s="163"/>
      <c r="AU100" s="163"/>
      <c r="AV100" s="163"/>
      <c r="AW100" s="163"/>
      <c r="AX100" s="163"/>
      <c r="AY100" s="163"/>
      <c r="AZ100" s="163"/>
      <c r="BA100" s="163"/>
      <c r="BB100" s="163"/>
      <c r="BC100" s="163"/>
      <c r="BD100" s="163"/>
      <c r="BE100" s="163"/>
      <c r="BF100" s="163"/>
      <c r="BG100" s="163"/>
      <c r="BH100" s="163"/>
      <c r="BI100" s="163"/>
      <c r="BJ100" s="163"/>
      <c r="BK100" s="163"/>
      <c r="BL100" s="163"/>
      <c r="BM100" s="163"/>
      <c r="BN100" s="163"/>
      <c r="BO100" s="163"/>
      <c r="BP100" s="163"/>
      <c r="BQ100" s="163"/>
      <c r="BR100" s="163"/>
      <c r="BS100" s="163"/>
      <c r="BT100" s="163"/>
      <c r="BU100" s="163"/>
      <c r="BV100" s="163"/>
      <c r="BW100" s="163"/>
      <c r="BX100" s="163"/>
      <c r="BY100" s="163"/>
      <c r="BZ100" s="163"/>
      <c r="CA100" s="163"/>
      <c r="CB100" s="163"/>
      <c r="CC100" s="163"/>
      <c r="CD100" s="163"/>
      <c r="CE100" s="163"/>
      <c r="CF100" s="163"/>
      <c r="CG100" s="163"/>
      <c r="CH100" s="163"/>
      <c r="CI100" s="163"/>
      <c r="CJ100" s="163"/>
      <c r="CK100" s="163"/>
      <c r="CL100" s="163"/>
      <c r="CM100" s="163"/>
      <c r="CN100" s="163"/>
      <c r="CO100" s="163"/>
      <c r="CP100" s="163"/>
      <c r="CQ100" s="163"/>
      <c r="CR100" s="163"/>
      <c r="CS100" s="163"/>
      <c r="CT100" s="163"/>
      <c r="CU100" s="163"/>
      <c r="CV100" s="163"/>
      <c r="CW100" s="163"/>
      <c r="CX100" s="60"/>
      <c r="CY100" s="60"/>
      <c r="CZ100" s="60"/>
      <c r="DA100" s="60"/>
      <c r="DB100" s="60"/>
      <c r="DC100" s="60"/>
      <c r="DD100" s="60"/>
      <c r="DE100" s="60"/>
      <c r="DF100" s="60"/>
      <c r="DG100" s="60"/>
      <c r="DH100" s="60"/>
      <c r="DI100" s="60"/>
      <c r="DJ100" s="60"/>
      <c r="DK100" s="60"/>
      <c r="DL100" s="60"/>
      <c r="DM100" s="60"/>
      <c r="DN100" s="60"/>
      <c r="DO100" s="60"/>
      <c r="DP100" s="60"/>
      <c r="DQ100" s="60"/>
      <c r="DR100" s="60"/>
      <c r="DS100" s="60"/>
      <c r="DT100" s="60"/>
      <c r="DU100" s="60"/>
      <c r="DV100" s="60"/>
      <c r="DW100" s="60"/>
      <c r="DX100" s="60"/>
      <c r="DY100" s="60"/>
      <c r="DZ100" s="60"/>
      <c r="EA100" s="60"/>
    </row>
    <row r="101" spans="1:131">
      <c r="A101" s="60" t="s">
        <v>334</v>
      </c>
      <c r="B101" s="60"/>
      <c r="C101" s="197">
        <v>256.71911903766988</v>
      </c>
      <c r="D101" s="197">
        <v>707.87969999999996</v>
      </c>
      <c r="E101" s="197">
        <v>141.57594</v>
      </c>
      <c r="F101" s="197">
        <v>849.4556399999999</v>
      </c>
      <c r="G101" s="197">
        <v>635.66887017298836</v>
      </c>
      <c r="H101" s="197">
        <v>170.88619257901507</v>
      </c>
      <c r="I101" s="197">
        <v>28985.887121668195</v>
      </c>
      <c r="J101" s="197">
        <v>121.57032169160931</v>
      </c>
      <c r="K101" s="197">
        <v>171.21013342853448</v>
      </c>
      <c r="L101" s="218">
        <v>0.26882894632312387</v>
      </c>
      <c r="M101" s="197">
        <v>2.4388544818404685</v>
      </c>
      <c r="N101" s="197">
        <v>4.968121669622351E-2</v>
      </c>
      <c r="O101" s="197">
        <v>16.974252130941522</v>
      </c>
      <c r="P101" s="197">
        <v>15.206074488924425</v>
      </c>
      <c r="Q101" s="197">
        <v>17.49279380043361</v>
      </c>
      <c r="R101" s="197">
        <v>15.170697763662981</v>
      </c>
      <c r="S101" s="197">
        <v>14.470189705989108</v>
      </c>
      <c r="T101" s="197">
        <v>14.108154860005159</v>
      </c>
      <c r="U101" s="197">
        <v>11.940214963652727</v>
      </c>
      <c r="V101" s="197">
        <v>12.486980601275031</v>
      </c>
      <c r="W101" s="197">
        <v>11.71460881818879</v>
      </c>
      <c r="X101" s="197">
        <v>14.143273661343647</v>
      </c>
      <c r="Y101" s="197">
        <v>14.49630311882791</v>
      </c>
      <c r="Z101" s="197">
        <v>16.854538800706795</v>
      </c>
      <c r="AA101" s="197"/>
      <c r="AB101" s="197">
        <v>8.5173958524754561</v>
      </c>
      <c r="AC101" s="197">
        <v>7.1343627239134708</v>
      </c>
      <c r="AD101" s="197">
        <v>6.8115668777676479</v>
      </c>
      <c r="AE101" s="197">
        <v>7.085639007701217</v>
      </c>
      <c r="AF101" s="197">
        <v>7.0806549609780305</v>
      </c>
      <c r="AG101" s="197">
        <v>5.8706617390262847</v>
      </c>
      <c r="AH101" s="197">
        <v>6.3834149282792385</v>
      </c>
      <c r="AI101" s="197">
        <v>5.011663443002754</v>
      </c>
      <c r="AJ101" s="197">
        <v>6.1745694461951501</v>
      </c>
      <c r="AK101" s="197">
        <v>5.7606510854867894</v>
      </c>
      <c r="AL101" s="197">
        <v>7.5441375579403838</v>
      </c>
      <c r="AM101" s="163">
        <v>8.2863187009517336</v>
      </c>
      <c r="AN101" s="163"/>
      <c r="AO101" s="163"/>
      <c r="AP101" s="163"/>
      <c r="AQ101" s="163"/>
      <c r="AR101" s="163"/>
      <c r="AS101" s="163"/>
      <c r="AT101" s="163"/>
      <c r="AU101" s="163"/>
      <c r="AV101" s="163"/>
      <c r="AW101" s="163"/>
      <c r="AX101" s="163"/>
      <c r="AY101" s="163"/>
      <c r="AZ101" s="163"/>
      <c r="BA101" s="163"/>
      <c r="BB101" s="163"/>
      <c r="BC101" s="163"/>
      <c r="BD101" s="163"/>
      <c r="BE101" s="163"/>
      <c r="BF101" s="163"/>
      <c r="BG101" s="163"/>
      <c r="BH101" s="163"/>
      <c r="BI101" s="163"/>
      <c r="BJ101" s="163"/>
      <c r="BK101" s="163"/>
      <c r="BL101" s="163"/>
      <c r="BM101" s="163"/>
      <c r="BN101" s="163"/>
      <c r="BO101" s="163"/>
      <c r="BP101" s="163"/>
      <c r="BQ101" s="163"/>
      <c r="BR101" s="163"/>
      <c r="BS101" s="163"/>
      <c r="BT101" s="163"/>
      <c r="BU101" s="163"/>
      <c r="BV101" s="163"/>
      <c r="BW101" s="163"/>
      <c r="BX101" s="163"/>
      <c r="BY101" s="163"/>
      <c r="BZ101" s="163"/>
      <c r="CA101" s="163"/>
      <c r="CB101" s="163"/>
      <c r="CC101" s="163"/>
      <c r="CD101" s="163"/>
      <c r="CE101" s="163"/>
      <c r="CF101" s="163"/>
      <c r="CG101" s="163"/>
      <c r="CH101" s="163"/>
      <c r="CI101" s="163"/>
      <c r="CJ101" s="163"/>
      <c r="CK101" s="163"/>
      <c r="CL101" s="163"/>
      <c r="CM101" s="163"/>
      <c r="CN101" s="163"/>
      <c r="CO101" s="163"/>
      <c r="CP101" s="163"/>
      <c r="CQ101" s="163"/>
      <c r="CR101" s="163"/>
      <c r="CS101" s="163"/>
      <c r="CT101" s="163"/>
      <c r="CU101" s="163"/>
      <c r="CV101" s="163"/>
      <c r="CW101" s="163"/>
      <c r="CX101" s="60"/>
      <c r="CY101" s="60"/>
      <c r="CZ101" s="60"/>
      <c r="DA101" s="60"/>
      <c r="DB101" s="60"/>
      <c r="DC101" s="60"/>
      <c r="DD101" s="60"/>
      <c r="DE101" s="60"/>
      <c r="DF101" s="60"/>
      <c r="DG101" s="60"/>
      <c r="DH101" s="60"/>
      <c r="DI101" s="60"/>
      <c r="DJ101" s="60"/>
      <c r="DK101" s="60"/>
      <c r="DL101" s="60"/>
      <c r="DM101" s="60"/>
      <c r="DN101" s="60"/>
      <c r="DO101" s="60"/>
      <c r="DP101" s="60"/>
      <c r="DQ101" s="60"/>
      <c r="DR101" s="60"/>
      <c r="DS101" s="60"/>
      <c r="DT101" s="60"/>
      <c r="DU101" s="60"/>
      <c r="DV101" s="60"/>
      <c r="DW101" s="60"/>
      <c r="DX101" s="60"/>
      <c r="DY101" s="60"/>
      <c r="DZ101" s="60"/>
      <c r="EA101" s="60"/>
    </row>
    <row r="102" spans="1:131">
      <c r="A102" s="60" t="s">
        <v>332</v>
      </c>
      <c r="B102" s="60"/>
      <c r="C102" s="197">
        <v>256.71911903766988</v>
      </c>
      <c r="D102" s="197">
        <v>786.69</v>
      </c>
      <c r="E102" s="197">
        <v>157.33800000000002</v>
      </c>
      <c r="F102" s="197">
        <v>944.02800000000002</v>
      </c>
      <c r="G102" s="197">
        <v>706.4397290618565</v>
      </c>
      <c r="H102" s="197">
        <v>170.88619257901507</v>
      </c>
      <c r="I102" s="197">
        <v>32212.970000051075</v>
      </c>
      <c r="J102" s="197">
        <v>136.32837369603826</v>
      </c>
      <c r="K102" s="197">
        <v>191.49472963945871</v>
      </c>
      <c r="L102" s="218">
        <v>0.24189776643217659</v>
      </c>
      <c r="M102" s="197">
        <v>2.4388544818404685</v>
      </c>
      <c r="N102" s="197">
        <v>4.968121669622351E-2</v>
      </c>
      <c r="O102" s="197">
        <v>16.974252130941522</v>
      </c>
      <c r="P102" s="197">
        <v>15.206074488924425</v>
      </c>
      <c r="Q102" s="197">
        <v>17.49279380043361</v>
      </c>
      <c r="R102" s="197">
        <v>15.170697763662981</v>
      </c>
      <c r="S102" s="197">
        <v>14.470189705989108</v>
      </c>
      <c r="T102" s="197">
        <v>14.108154860005159</v>
      </c>
      <c r="U102" s="197">
        <v>11.940214963652727</v>
      </c>
      <c r="V102" s="197">
        <v>12.486980601275031</v>
      </c>
      <c r="W102" s="197">
        <v>11.71460881818879</v>
      </c>
      <c r="X102" s="197">
        <v>14.143273661343647</v>
      </c>
      <c r="Y102" s="197">
        <v>14.49630311882791</v>
      </c>
      <c r="Z102" s="197">
        <v>16.854538800706795</v>
      </c>
      <c r="AA102" s="197"/>
      <c r="AB102" s="197">
        <v>8.5173958524754561</v>
      </c>
      <c r="AC102" s="197">
        <v>7.1343627239134708</v>
      </c>
      <c r="AD102" s="197">
        <v>6.8115668777676479</v>
      </c>
      <c r="AE102" s="197">
        <v>7.085639007701217</v>
      </c>
      <c r="AF102" s="197">
        <v>7.0806549609780305</v>
      </c>
      <c r="AG102" s="197">
        <v>5.8706617390262847</v>
      </c>
      <c r="AH102" s="197">
        <v>6.3834149282792385</v>
      </c>
      <c r="AI102" s="197">
        <v>5.011663443002754</v>
      </c>
      <c r="AJ102" s="197">
        <v>6.1745694461951501</v>
      </c>
      <c r="AK102" s="197">
        <v>5.7606510854867894</v>
      </c>
      <c r="AL102" s="197">
        <v>7.5441375579403838</v>
      </c>
      <c r="AM102" s="163">
        <v>8.2863187009517336</v>
      </c>
      <c r="AN102" s="163"/>
      <c r="AO102" s="163"/>
      <c r="AP102" s="163"/>
      <c r="AQ102" s="163"/>
      <c r="AR102" s="163"/>
      <c r="AS102" s="163"/>
      <c r="AT102" s="163"/>
      <c r="AU102" s="163"/>
      <c r="AV102" s="163"/>
      <c r="AW102" s="163"/>
      <c r="AX102" s="163"/>
      <c r="AY102" s="163"/>
      <c r="AZ102" s="163"/>
      <c r="BA102" s="163"/>
      <c r="BB102" s="163"/>
      <c r="BC102" s="163"/>
      <c r="BD102" s="163"/>
      <c r="BE102" s="163"/>
      <c r="BF102" s="163"/>
      <c r="BG102" s="163"/>
      <c r="BH102" s="163"/>
      <c r="BI102" s="163"/>
      <c r="BJ102" s="163"/>
      <c r="BK102" s="163"/>
      <c r="BL102" s="163"/>
      <c r="BM102" s="163"/>
      <c r="BN102" s="163"/>
      <c r="BO102" s="163"/>
      <c r="BP102" s="163"/>
      <c r="BQ102" s="163"/>
      <c r="BR102" s="163"/>
      <c r="BS102" s="163"/>
      <c r="BT102" s="163"/>
      <c r="BU102" s="163"/>
      <c r="BV102" s="163"/>
      <c r="BW102" s="163"/>
      <c r="BX102" s="163"/>
      <c r="BY102" s="163"/>
      <c r="BZ102" s="163"/>
      <c r="CA102" s="163"/>
      <c r="CB102" s="163"/>
      <c r="CC102" s="163"/>
      <c r="CD102" s="163"/>
      <c r="CE102" s="163"/>
      <c r="CF102" s="163"/>
      <c r="CG102" s="163"/>
      <c r="CH102" s="163"/>
      <c r="CI102" s="163"/>
      <c r="CJ102" s="163"/>
      <c r="CK102" s="163"/>
      <c r="CL102" s="163"/>
      <c r="CM102" s="163"/>
      <c r="CN102" s="163"/>
      <c r="CO102" s="163"/>
      <c r="CP102" s="163"/>
      <c r="CQ102" s="163"/>
      <c r="CR102" s="163"/>
      <c r="CS102" s="163"/>
      <c r="CT102" s="163"/>
      <c r="CU102" s="163"/>
      <c r="CV102" s="163"/>
      <c r="CW102" s="163"/>
      <c r="CX102" s="60"/>
      <c r="CY102" s="60"/>
      <c r="CZ102" s="60"/>
      <c r="DA102" s="60"/>
      <c r="DB102" s="60"/>
      <c r="DC102" s="60"/>
      <c r="DD102" s="60"/>
      <c r="DE102" s="60"/>
      <c r="DF102" s="60"/>
      <c r="DG102" s="60"/>
      <c r="DH102" s="60"/>
      <c r="DI102" s="60"/>
      <c r="DJ102" s="60"/>
      <c r="DK102" s="60"/>
      <c r="DL102" s="60"/>
      <c r="DM102" s="60"/>
      <c r="DN102" s="60"/>
      <c r="DO102" s="60"/>
      <c r="DP102" s="60"/>
      <c r="DQ102" s="60"/>
      <c r="DR102" s="60"/>
      <c r="DS102" s="60"/>
      <c r="DT102" s="60"/>
      <c r="DU102" s="60"/>
      <c r="DV102" s="60"/>
      <c r="DW102" s="60"/>
      <c r="DX102" s="60"/>
      <c r="DY102" s="60"/>
      <c r="DZ102" s="60"/>
      <c r="EA102" s="60"/>
    </row>
    <row r="103" spans="1:131">
      <c r="A103" s="60" t="s">
        <v>330</v>
      </c>
      <c r="B103" s="60"/>
      <c r="C103" s="197">
        <v>256.71911903766988</v>
      </c>
      <c r="D103" s="197">
        <v>815.90999999999985</v>
      </c>
      <c r="E103" s="197">
        <v>163.18199999999999</v>
      </c>
      <c r="F103" s="197">
        <v>979.09199999999987</v>
      </c>
      <c r="G103" s="197">
        <v>732.67899596900838</v>
      </c>
      <c r="H103" s="197">
        <v>170.88619257901507</v>
      </c>
      <c r="I103" s="197">
        <v>33409.455252693777</v>
      </c>
      <c r="J103" s="197">
        <v>141.80012395672006</v>
      </c>
      <c r="K103" s="197">
        <v>199.0155219887227</v>
      </c>
      <c r="L103" s="218">
        <v>0.23323473652060772</v>
      </c>
      <c r="M103" s="197">
        <v>2.4388544818404685</v>
      </c>
      <c r="N103" s="197">
        <v>4.968121669622351E-2</v>
      </c>
      <c r="O103" s="197">
        <v>16.974252130941522</v>
      </c>
      <c r="P103" s="197">
        <v>15.206074488924425</v>
      </c>
      <c r="Q103" s="197">
        <v>17.49279380043361</v>
      </c>
      <c r="R103" s="197">
        <v>15.170697763662981</v>
      </c>
      <c r="S103" s="197">
        <v>14.470189705989108</v>
      </c>
      <c r="T103" s="197">
        <v>14.108154860005159</v>
      </c>
      <c r="U103" s="197">
        <v>11.940214963652727</v>
      </c>
      <c r="V103" s="197">
        <v>12.486980601275031</v>
      </c>
      <c r="W103" s="197">
        <v>11.71460881818879</v>
      </c>
      <c r="X103" s="197">
        <v>14.143273661343647</v>
      </c>
      <c r="Y103" s="197">
        <v>14.49630311882791</v>
      </c>
      <c r="Z103" s="197">
        <v>16.854538800706795</v>
      </c>
      <c r="AA103" s="197"/>
      <c r="AB103" s="197">
        <v>8.5173958524754561</v>
      </c>
      <c r="AC103" s="197">
        <v>7.1343627239134708</v>
      </c>
      <c r="AD103" s="197">
        <v>6.8115668777676479</v>
      </c>
      <c r="AE103" s="197">
        <v>7.085639007701217</v>
      </c>
      <c r="AF103" s="197">
        <v>7.0806549609780305</v>
      </c>
      <c r="AG103" s="197">
        <v>5.8706617390262847</v>
      </c>
      <c r="AH103" s="197">
        <v>6.3834149282792385</v>
      </c>
      <c r="AI103" s="197">
        <v>5.011663443002754</v>
      </c>
      <c r="AJ103" s="197">
        <v>6.1745694461951501</v>
      </c>
      <c r="AK103" s="197">
        <v>5.7606510854867894</v>
      </c>
      <c r="AL103" s="197">
        <v>7.5441375579403838</v>
      </c>
      <c r="AM103" s="163">
        <v>8.2863187009517336</v>
      </c>
      <c r="AN103" s="163"/>
      <c r="AO103" s="163"/>
      <c r="AP103" s="163"/>
      <c r="AQ103" s="163"/>
      <c r="AR103" s="163"/>
      <c r="AS103" s="163"/>
      <c r="AT103" s="163"/>
      <c r="AU103" s="163"/>
      <c r="AV103" s="163"/>
      <c r="AW103" s="163"/>
      <c r="AX103" s="163"/>
      <c r="AY103" s="163"/>
      <c r="AZ103" s="163"/>
      <c r="BA103" s="163"/>
      <c r="BB103" s="163"/>
      <c r="BC103" s="163"/>
      <c r="BD103" s="163"/>
      <c r="BE103" s="163"/>
      <c r="BF103" s="163"/>
      <c r="BG103" s="163"/>
      <c r="BH103" s="163"/>
      <c r="BI103" s="163"/>
      <c r="BJ103" s="163"/>
      <c r="BK103" s="163"/>
      <c r="BL103" s="163"/>
      <c r="BM103" s="163"/>
      <c r="BN103" s="163"/>
      <c r="BO103" s="163"/>
      <c r="BP103" s="163"/>
      <c r="BQ103" s="163"/>
      <c r="BR103" s="163"/>
      <c r="BS103" s="163"/>
      <c r="BT103" s="163"/>
      <c r="BU103" s="163"/>
      <c r="BV103" s="163"/>
      <c r="BW103" s="163"/>
      <c r="BX103" s="163"/>
      <c r="BY103" s="163"/>
      <c r="BZ103" s="163"/>
      <c r="CA103" s="163"/>
      <c r="CB103" s="163"/>
      <c r="CC103" s="163"/>
      <c r="CD103" s="163"/>
      <c r="CE103" s="163"/>
      <c r="CF103" s="163"/>
      <c r="CG103" s="163"/>
      <c r="CH103" s="163"/>
      <c r="CI103" s="163"/>
      <c r="CJ103" s="163"/>
      <c r="CK103" s="163"/>
      <c r="CL103" s="163"/>
      <c r="CM103" s="163"/>
      <c r="CN103" s="163"/>
      <c r="CO103" s="163"/>
      <c r="CP103" s="163"/>
      <c r="CQ103" s="163"/>
      <c r="CR103" s="163"/>
      <c r="CS103" s="163"/>
      <c r="CT103" s="163"/>
      <c r="CU103" s="163"/>
      <c r="CV103" s="163"/>
      <c r="CW103" s="163"/>
      <c r="CX103" s="60"/>
      <c r="CY103" s="60"/>
      <c r="CZ103" s="60"/>
      <c r="DA103" s="60"/>
      <c r="DB103" s="60"/>
      <c r="DC103" s="60"/>
      <c r="DD103" s="60"/>
      <c r="DE103" s="60"/>
      <c r="DF103" s="60"/>
      <c r="DG103" s="60"/>
      <c r="DH103" s="60"/>
      <c r="DI103" s="60"/>
      <c r="DJ103" s="60"/>
      <c r="DK103" s="60"/>
      <c r="DL103" s="60"/>
      <c r="DM103" s="60"/>
      <c r="DN103" s="60"/>
      <c r="DO103" s="60"/>
      <c r="DP103" s="60"/>
      <c r="DQ103" s="60"/>
      <c r="DR103" s="60"/>
      <c r="DS103" s="60"/>
      <c r="DT103" s="60"/>
      <c r="DU103" s="60"/>
      <c r="DV103" s="60"/>
      <c r="DW103" s="60"/>
      <c r="DX103" s="60"/>
      <c r="DY103" s="60"/>
      <c r="DZ103" s="60"/>
      <c r="EA103" s="60"/>
    </row>
    <row r="104" spans="1:131">
      <c r="A104" s="60" t="s">
        <v>337</v>
      </c>
      <c r="B104" s="60"/>
      <c r="C104" s="197">
        <v>123.26393620193372</v>
      </c>
      <c r="D104" s="197">
        <v>639.71</v>
      </c>
      <c r="E104" s="197">
        <v>127.94200000000001</v>
      </c>
      <c r="F104" s="197">
        <v>767.65200000000004</v>
      </c>
      <c r="G104" s="197">
        <v>574.45316335298548</v>
      </c>
      <c r="H104" s="197">
        <v>83.943160899879317</v>
      </c>
      <c r="I104" s="197">
        <v>54554.736179960695</v>
      </c>
      <c r="J104" s="197">
        <v>237.51158416899568</v>
      </c>
      <c r="K104" s="197">
        <v>330.93935548279683</v>
      </c>
      <c r="L104" s="218">
        <v>0.14612707572174788</v>
      </c>
      <c r="M104" s="197">
        <v>1.1710160207776132</v>
      </c>
      <c r="N104" s="197">
        <v>2.6003504756367E-2</v>
      </c>
      <c r="O104" s="197">
        <v>9.5801057048135423</v>
      </c>
      <c r="P104" s="197">
        <v>8.6342007160070811</v>
      </c>
      <c r="Q104" s="197">
        <v>9.6636255305245111</v>
      </c>
      <c r="R104" s="197">
        <v>7.5829951097516659</v>
      </c>
      <c r="S104" s="197">
        <v>6.2992889771455163</v>
      </c>
      <c r="T104" s="197">
        <v>5.3277443895094008</v>
      </c>
      <c r="U104" s="197">
        <v>4.5493859040886901</v>
      </c>
      <c r="V104" s="197">
        <v>4.6407140882725599</v>
      </c>
      <c r="W104" s="197">
        <v>4.6083035410272188</v>
      </c>
      <c r="X104" s="197">
        <v>6.1817868545251882</v>
      </c>
      <c r="Y104" s="197">
        <v>6.8405158734017002</v>
      </c>
      <c r="Z104" s="197">
        <v>9.3262936742320619</v>
      </c>
      <c r="AA104" s="197"/>
      <c r="AB104" s="197">
        <v>5.0373145672789033</v>
      </c>
      <c r="AC104" s="197">
        <v>4.2423234681170268</v>
      </c>
      <c r="AD104" s="197">
        <v>3.8879301977025569</v>
      </c>
      <c r="AE104" s="197">
        <v>3.6214340353903349</v>
      </c>
      <c r="AF104" s="197">
        <v>3.0766776757997669</v>
      </c>
      <c r="AG104" s="197">
        <v>2.3223611632597421</v>
      </c>
      <c r="AH104" s="197">
        <v>2.4391610121885132</v>
      </c>
      <c r="AI104" s="197">
        <v>2.0192428843559047</v>
      </c>
      <c r="AJ104" s="197">
        <v>2.421738657755153</v>
      </c>
      <c r="AK104" s="197">
        <v>2.5529545707092698</v>
      </c>
      <c r="AL104" s="197">
        <v>3.5557830241620025</v>
      </c>
      <c r="AM104" s="163">
        <v>4.8520545819154153</v>
      </c>
      <c r="AN104" s="163"/>
      <c r="AO104" s="163"/>
      <c r="AP104" s="163"/>
      <c r="AQ104" s="163"/>
      <c r="AR104" s="163"/>
      <c r="AS104" s="163"/>
      <c r="AT104" s="163"/>
      <c r="AU104" s="163"/>
      <c r="AV104" s="163"/>
      <c r="AW104" s="163"/>
      <c r="AX104" s="163"/>
      <c r="AY104" s="163"/>
      <c r="AZ104" s="163"/>
      <c r="BA104" s="163"/>
      <c r="BB104" s="163"/>
      <c r="BC104" s="163"/>
      <c r="BD104" s="163"/>
      <c r="BE104" s="163"/>
      <c r="BF104" s="163"/>
      <c r="BG104" s="163"/>
      <c r="BH104" s="163"/>
      <c r="BI104" s="163"/>
      <c r="BJ104" s="163"/>
      <c r="BK104" s="163"/>
      <c r="BL104" s="163"/>
      <c r="BM104" s="163"/>
      <c r="BN104" s="163"/>
      <c r="BO104" s="163"/>
      <c r="BP104" s="163"/>
      <c r="BQ104" s="163"/>
      <c r="BR104" s="163"/>
      <c r="BS104" s="163"/>
      <c r="BT104" s="163"/>
      <c r="BU104" s="163"/>
      <c r="BV104" s="163"/>
      <c r="BW104" s="163"/>
      <c r="BX104" s="163"/>
      <c r="BY104" s="163"/>
      <c r="BZ104" s="163"/>
      <c r="CA104" s="163"/>
      <c r="CB104" s="163"/>
      <c r="CC104" s="163"/>
      <c r="CD104" s="163"/>
      <c r="CE104" s="163"/>
      <c r="CF104" s="163"/>
      <c r="CG104" s="163"/>
      <c r="CH104" s="163"/>
      <c r="CI104" s="163"/>
      <c r="CJ104" s="163"/>
      <c r="CK104" s="163"/>
      <c r="CL104" s="163"/>
      <c r="CM104" s="163"/>
      <c r="CN104" s="163"/>
      <c r="CO104" s="163"/>
      <c r="CP104" s="163"/>
      <c r="CQ104" s="163"/>
      <c r="CR104" s="163"/>
      <c r="CS104" s="163"/>
      <c r="CT104" s="163"/>
      <c r="CU104" s="163"/>
      <c r="CV104" s="163"/>
      <c r="CW104" s="163"/>
      <c r="CX104" s="60"/>
      <c r="CY104" s="60"/>
      <c r="CZ104" s="60"/>
      <c r="DA104" s="60"/>
      <c r="DB104" s="60"/>
      <c r="DC104" s="60"/>
      <c r="DD104" s="60"/>
      <c r="DE104" s="60"/>
      <c r="DF104" s="60"/>
      <c r="DG104" s="60"/>
      <c r="DH104" s="60"/>
      <c r="DI104" s="60"/>
      <c r="DJ104" s="60"/>
      <c r="DK104" s="60"/>
      <c r="DL104" s="60"/>
      <c r="DM104" s="60"/>
      <c r="DN104" s="60"/>
      <c r="DO104" s="60"/>
      <c r="DP104" s="60"/>
      <c r="DQ104" s="60"/>
      <c r="DR104" s="60"/>
      <c r="DS104" s="60"/>
      <c r="DT104" s="60"/>
      <c r="DU104" s="60"/>
      <c r="DV104" s="60"/>
      <c r="DW104" s="60"/>
      <c r="DX104" s="60"/>
      <c r="DY104" s="60"/>
      <c r="DZ104" s="60"/>
      <c r="EA104" s="60"/>
    </row>
    <row r="105" spans="1:131">
      <c r="A105" s="60" t="s">
        <v>335</v>
      </c>
      <c r="B105" s="60"/>
      <c r="C105" s="197">
        <v>123.26393620193372</v>
      </c>
      <c r="D105" s="197">
        <v>707.87969999999996</v>
      </c>
      <c r="E105" s="197">
        <v>141.57594</v>
      </c>
      <c r="F105" s="197">
        <v>849.4556399999999</v>
      </c>
      <c r="G105" s="197">
        <v>635.66887017298836</v>
      </c>
      <c r="H105" s="197">
        <v>83.943160899879317</v>
      </c>
      <c r="I105" s="197">
        <v>60368.27668888984</v>
      </c>
      <c r="J105" s="197">
        <v>264.09798941298629</v>
      </c>
      <c r="K105" s="197">
        <v>367.48174569205361</v>
      </c>
      <c r="L105" s="218">
        <v>0.13205485566256431</v>
      </c>
      <c r="M105" s="197">
        <v>1.1710160207776132</v>
      </c>
      <c r="N105" s="197">
        <v>2.6003504756367E-2</v>
      </c>
      <c r="O105" s="197">
        <v>9.5801057048135423</v>
      </c>
      <c r="P105" s="197">
        <v>8.6342007160070811</v>
      </c>
      <c r="Q105" s="197">
        <v>9.6636255305245111</v>
      </c>
      <c r="R105" s="197">
        <v>7.5829951097516659</v>
      </c>
      <c r="S105" s="197">
        <v>6.2992889771455163</v>
      </c>
      <c r="T105" s="197">
        <v>5.3277443895094008</v>
      </c>
      <c r="U105" s="197">
        <v>4.5493859040886901</v>
      </c>
      <c r="V105" s="197">
        <v>4.6407140882725599</v>
      </c>
      <c r="W105" s="197">
        <v>4.6083035410272188</v>
      </c>
      <c r="X105" s="197">
        <v>6.1817868545251882</v>
      </c>
      <c r="Y105" s="197">
        <v>6.8405158734017002</v>
      </c>
      <c r="Z105" s="197">
        <v>9.3262936742320619</v>
      </c>
      <c r="AA105" s="197"/>
      <c r="AB105" s="197">
        <v>5.0373145672789033</v>
      </c>
      <c r="AC105" s="197">
        <v>4.2423234681170268</v>
      </c>
      <c r="AD105" s="197">
        <v>3.8879301977025569</v>
      </c>
      <c r="AE105" s="197">
        <v>3.6214340353903349</v>
      </c>
      <c r="AF105" s="197">
        <v>3.0766776757997669</v>
      </c>
      <c r="AG105" s="197">
        <v>2.3223611632597421</v>
      </c>
      <c r="AH105" s="197">
        <v>2.4391610121885132</v>
      </c>
      <c r="AI105" s="197">
        <v>2.0192428843559047</v>
      </c>
      <c r="AJ105" s="197">
        <v>2.421738657755153</v>
      </c>
      <c r="AK105" s="197">
        <v>2.5529545707092698</v>
      </c>
      <c r="AL105" s="197">
        <v>3.5557830241620025</v>
      </c>
      <c r="AM105" s="163">
        <v>4.8520545819154153</v>
      </c>
      <c r="AN105" s="163"/>
      <c r="AO105" s="163"/>
      <c r="AP105" s="163"/>
      <c r="AQ105" s="163"/>
      <c r="AR105" s="163"/>
      <c r="AS105" s="163"/>
      <c r="AT105" s="163"/>
      <c r="AU105" s="163"/>
      <c r="AV105" s="163"/>
      <c r="AW105" s="163"/>
      <c r="AX105" s="163"/>
      <c r="AY105" s="163"/>
      <c r="AZ105" s="163"/>
      <c r="BA105" s="163"/>
      <c r="BB105" s="163"/>
      <c r="BC105" s="163"/>
      <c r="BD105" s="163"/>
      <c r="BE105" s="163"/>
      <c r="BF105" s="163"/>
      <c r="BG105" s="163"/>
      <c r="BH105" s="163"/>
      <c r="BI105" s="163"/>
      <c r="BJ105" s="163"/>
      <c r="BK105" s="163"/>
      <c r="BL105" s="163"/>
      <c r="BM105" s="163"/>
      <c r="BN105" s="163"/>
      <c r="BO105" s="163"/>
      <c r="BP105" s="163"/>
      <c r="BQ105" s="163"/>
      <c r="BR105" s="163"/>
      <c r="BS105" s="163"/>
      <c r="BT105" s="163"/>
      <c r="BU105" s="163"/>
      <c r="BV105" s="163"/>
      <c r="BW105" s="163"/>
      <c r="BX105" s="163"/>
      <c r="BY105" s="163"/>
      <c r="BZ105" s="163"/>
      <c r="CA105" s="163"/>
      <c r="CB105" s="163"/>
      <c r="CC105" s="163"/>
      <c r="CD105" s="163"/>
      <c r="CE105" s="163"/>
      <c r="CF105" s="163"/>
      <c r="CG105" s="163"/>
      <c r="CH105" s="163"/>
      <c r="CI105" s="163"/>
      <c r="CJ105" s="163"/>
      <c r="CK105" s="163"/>
      <c r="CL105" s="163"/>
      <c r="CM105" s="163"/>
      <c r="CN105" s="163"/>
      <c r="CO105" s="163"/>
      <c r="CP105" s="163"/>
      <c r="CQ105" s="163"/>
      <c r="CR105" s="163"/>
      <c r="CS105" s="163"/>
      <c r="CT105" s="163"/>
      <c r="CU105" s="163"/>
      <c r="CV105" s="163"/>
      <c r="CW105" s="163"/>
      <c r="CX105" s="60"/>
      <c r="CY105" s="60"/>
      <c r="CZ105" s="60"/>
      <c r="DA105" s="60"/>
      <c r="DB105" s="60"/>
      <c r="DC105" s="60"/>
      <c r="DD105" s="60"/>
      <c r="DE105" s="60"/>
      <c r="DF105" s="60"/>
      <c r="DG105" s="60"/>
      <c r="DH105" s="60"/>
      <c r="DI105" s="60"/>
      <c r="DJ105" s="60"/>
      <c r="DK105" s="60"/>
      <c r="DL105" s="60"/>
      <c r="DM105" s="60"/>
      <c r="DN105" s="60"/>
      <c r="DO105" s="60"/>
      <c r="DP105" s="60"/>
      <c r="DQ105" s="60"/>
      <c r="DR105" s="60"/>
      <c r="DS105" s="60"/>
      <c r="DT105" s="60"/>
      <c r="DU105" s="60"/>
      <c r="DV105" s="60"/>
      <c r="DW105" s="60"/>
      <c r="DX105" s="60"/>
      <c r="DY105" s="60"/>
      <c r="DZ105" s="60"/>
      <c r="EA105" s="60"/>
    </row>
    <row r="106" spans="1:131">
      <c r="A106" s="60" t="s">
        <v>333</v>
      </c>
      <c r="B106" s="60"/>
      <c r="C106" s="197">
        <v>123.26393620193372</v>
      </c>
      <c r="D106" s="197">
        <v>786.69</v>
      </c>
      <c r="E106" s="197">
        <v>157.33800000000002</v>
      </c>
      <c r="F106" s="197">
        <v>944.02800000000002</v>
      </c>
      <c r="G106" s="197">
        <v>706.4397290618565</v>
      </c>
      <c r="H106" s="197">
        <v>83.943160899879317</v>
      </c>
      <c r="I106" s="197">
        <v>67089.252013276768</v>
      </c>
      <c r="J106" s="197">
        <v>294.83426334701369</v>
      </c>
      <c r="K106" s="197">
        <v>409.7280330471188</v>
      </c>
      <c r="L106" s="218">
        <v>0.11882565128571525</v>
      </c>
      <c r="M106" s="197">
        <v>1.1710160207776132</v>
      </c>
      <c r="N106" s="197">
        <v>2.6003504756367E-2</v>
      </c>
      <c r="O106" s="197">
        <v>9.5801057048135423</v>
      </c>
      <c r="P106" s="197">
        <v>8.6342007160070811</v>
      </c>
      <c r="Q106" s="197">
        <v>9.6636255305245111</v>
      </c>
      <c r="R106" s="197">
        <v>7.5829951097516659</v>
      </c>
      <c r="S106" s="197">
        <v>6.2992889771455163</v>
      </c>
      <c r="T106" s="197">
        <v>5.3277443895094008</v>
      </c>
      <c r="U106" s="197">
        <v>4.5493859040886901</v>
      </c>
      <c r="V106" s="197">
        <v>4.6407140882725599</v>
      </c>
      <c r="W106" s="197">
        <v>4.6083035410272188</v>
      </c>
      <c r="X106" s="197">
        <v>6.1817868545251882</v>
      </c>
      <c r="Y106" s="197">
        <v>6.8405158734017002</v>
      </c>
      <c r="Z106" s="197">
        <v>9.3262936742320619</v>
      </c>
      <c r="AA106" s="197"/>
      <c r="AB106" s="197">
        <v>5.0373145672789033</v>
      </c>
      <c r="AC106" s="197">
        <v>4.2423234681170268</v>
      </c>
      <c r="AD106" s="197">
        <v>3.8879301977025569</v>
      </c>
      <c r="AE106" s="197">
        <v>3.6214340353903349</v>
      </c>
      <c r="AF106" s="197">
        <v>3.0766776757997669</v>
      </c>
      <c r="AG106" s="197">
        <v>2.3223611632597421</v>
      </c>
      <c r="AH106" s="197">
        <v>2.4391610121885132</v>
      </c>
      <c r="AI106" s="197">
        <v>2.0192428843559047</v>
      </c>
      <c r="AJ106" s="197">
        <v>2.421738657755153</v>
      </c>
      <c r="AK106" s="197">
        <v>2.5529545707092698</v>
      </c>
      <c r="AL106" s="197">
        <v>3.5557830241620025</v>
      </c>
      <c r="AM106" s="163">
        <v>4.8520545819154153</v>
      </c>
      <c r="AN106" s="163"/>
      <c r="AO106" s="163"/>
      <c r="AP106" s="163"/>
      <c r="AQ106" s="163"/>
      <c r="AR106" s="163"/>
      <c r="AS106" s="163"/>
      <c r="AT106" s="163"/>
      <c r="AU106" s="163"/>
      <c r="AV106" s="163"/>
      <c r="AW106" s="163"/>
      <c r="AX106" s="163"/>
      <c r="AY106" s="163"/>
      <c r="AZ106" s="163"/>
      <c r="BA106" s="163"/>
      <c r="BB106" s="163"/>
      <c r="BC106" s="163"/>
      <c r="BD106" s="163"/>
      <c r="BE106" s="163"/>
      <c r="BF106" s="163"/>
      <c r="BG106" s="163"/>
      <c r="BH106" s="163"/>
      <c r="BI106" s="163"/>
      <c r="BJ106" s="163"/>
      <c r="BK106" s="163"/>
      <c r="BL106" s="163"/>
      <c r="BM106" s="163"/>
      <c r="BN106" s="163"/>
      <c r="BO106" s="163"/>
      <c r="BP106" s="163"/>
      <c r="BQ106" s="163"/>
      <c r="BR106" s="163"/>
      <c r="BS106" s="163"/>
      <c r="BT106" s="163"/>
      <c r="BU106" s="163"/>
      <c r="BV106" s="163"/>
      <c r="BW106" s="163"/>
      <c r="BX106" s="163"/>
      <c r="BY106" s="163"/>
      <c r="BZ106" s="163"/>
      <c r="CA106" s="163"/>
      <c r="CB106" s="163"/>
      <c r="CC106" s="163"/>
      <c r="CD106" s="163"/>
      <c r="CE106" s="163"/>
      <c r="CF106" s="163"/>
      <c r="CG106" s="163"/>
      <c r="CH106" s="163"/>
      <c r="CI106" s="163"/>
      <c r="CJ106" s="163"/>
      <c r="CK106" s="163"/>
      <c r="CL106" s="163"/>
      <c r="CM106" s="163"/>
      <c r="CN106" s="163"/>
      <c r="CO106" s="163"/>
      <c r="CP106" s="163"/>
      <c r="CQ106" s="163"/>
      <c r="CR106" s="163"/>
      <c r="CS106" s="163"/>
      <c r="CT106" s="163"/>
      <c r="CU106" s="163"/>
      <c r="CV106" s="163"/>
      <c r="CW106" s="163"/>
      <c r="CX106" s="60"/>
      <c r="CY106" s="60"/>
      <c r="CZ106" s="60"/>
      <c r="DA106" s="60"/>
      <c r="DB106" s="60"/>
      <c r="DC106" s="60"/>
      <c r="DD106" s="60"/>
      <c r="DE106" s="60"/>
      <c r="DF106" s="60"/>
      <c r="DG106" s="60"/>
      <c r="DH106" s="60"/>
      <c r="DI106" s="60"/>
      <c r="DJ106" s="60"/>
      <c r="DK106" s="60"/>
      <c r="DL106" s="60"/>
      <c r="DM106" s="60"/>
      <c r="DN106" s="60"/>
      <c r="DO106" s="60"/>
      <c r="DP106" s="60"/>
      <c r="DQ106" s="60"/>
      <c r="DR106" s="60"/>
      <c r="DS106" s="60"/>
      <c r="DT106" s="60"/>
      <c r="DU106" s="60"/>
      <c r="DV106" s="60"/>
      <c r="DW106" s="60"/>
      <c r="DX106" s="60"/>
      <c r="DY106" s="60"/>
      <c r="DZ106" s="60"/>
      <c r="EA106" s="60"/>
    </row>
    <row r="107" spans="1:131">
      <c r="A107" s="60" t="s">
        <v>331</v>
      </c>
      <c r="B107" s="60"/>
      <c r="C107" s="197">
        <v>123.26393620193372</v>
      </c>
      <c r="D107" s="197">
        <v>815.90999999999985</v>
      </c>
      <c r="E107" s="197">
        <v>163.18199999999999</v>
      </c>
      <c r="F107" s="197">
        <v>979.09199999999987</v>
      </c>
      <c r="G107" s="197">
        <v>732.67899596900838</v>
      </c>
      <c r="H107" s="197">
        <v>83.943160899879317</v>
      </c>
      <c r="I107" s="197">
        <v>69581.145826377149</v>
      </c>
      <c r="J107" s="197">
        <v>306.23015860882941</v>
      </c>
      <c r="K107" s="197">
        <v>425.39142370183015</v>
      </c>
      <c r="L107" s="218">
        <v>0.11457017515407257</v>
      </c>
      <c r="M107" s="197">
        <v>1.1710160207776132</v>
      </c>
      <c r="N107" s="197">
        <v>2.6003504756367E-2</v>
      </c>
      <c r="O107" s="197">
        <v>9.5801057048135423</v>
      </c>
      <c r="P107" s="197">
        <v>8.6342007160070811</v>
      </c>
      <c r="Q107" s="197">
        <v>9.6636255305245111</v>
      </c>
      <c r="R107" s="197">
        <v>7.5829951097516659</v>
      </c>
      <c r="S107" s="197">
        <v>6.2992889771455163</v>
      </c>
      <c r="T107" s="197">
        <v>5.3277443895094008</v>
      </c>
      <c r="U107" s="197">
        <v>4.5493859040886901</v>
      </c>
      <c r="V107" s="197">
        <v>4.6407140882725599</v>
      </c>
      <c r="W107" s="197">
        <v>4.6083035410272188</v>
      </c>
      <c r="X107" s="197">
        <v>6.1817868545251882</v>
      </c>
      <c r="Y107" s="197">
        <v>6.8405158734017002</v>
      </c>
      <c r="Z107" s="197">
        <v>9.3262936742320619</v>
      </c>
      <c r="AA107" s="197"/>
      <c r="AB107" s="197">
        <v>5.0373145672789033</v>
      </c>
      <c r="AC107" s="197">
        <v>4.2423234681170268</v>
      </c>
      <c r="AD107" s="197">
        <v>3.8879301977025569</v>
      </c>
      <c r="AE107" s="197">
        <v>3.6214340353903349</v>
      </c>
      <c r="AF107" s="197">
        <v>3.0766776757997669</v>
      </c>
      <c r="AG107" s="197">
        <v>2.3223611632597421</v>
      </c>
      <c r="AH107" s="197">
        <v>2.4391610121885132</v>
      </c>
      <c r="AI107" s="197">
        <v>2.0192428843559047</v>
      </c>
      <c r="AJ107" s="197">
        <v>2.421738657755153</v>
      </c>
      <c r="AK107" s="197">
        <v>2.5529545707092698</v>
      </c>
      <c r="AL107" s="197">
        <v>3.5557830241620025</v>
      </c>
      <c r="AM107" s="163">
        <v>4.8520545819154153</v>
      </c>
      <c r="AN107" s="163"/>
      <c r="AO107" s="163"/>
      <c r="AP107" s="163"/>
      <c r="AQ107" s="163"/>
      <c r="AR107" s="163"/>
      <c r="AS107" s="163"/>
      <c r="AT107" s="163"/>
      <c r="AU107" s="163"/>
      <c r="AV107" s="163"/>
      <c r="AW107" s="163"/>
      <c r="AX107" s="163"/>
      <c r="AY107" s="163"/>
      <c r="AZ107" s="163"/>
      <c r="BA107" s="163"/>
      <c r="BB107" s="163"/>
      <c r="BC107" s="163"/>
      <c r="BD107" s="163"/>
      <c r="BE107" s="163"/>
      <c r="BF107" s="163"/>
      <c r="BG107" s="163"/>
      <c r="BH107" s="163"/>
      <c r="BI107" s="163"/>
      <c r="BJ107" s="163"/>
      <c r="BK107" s="163"/>
      <c r="BL107" s="163"/>
      <c r="BM107" s="163"/>
      <c r="BN107" s="163"/>
      <c r="BO107" s="163"/>
      <c r="BP107" s="163"/>
      <c r="BQ107" s="163"/>
      <c r="BR107" s="163"/>
      <c r="BS107" s="163"/>
      <c r="BT107" s="163"/>
      <c r="BU107" s="163"/>
      <c r="BV107" s="163"/>
      <c r="BW107" s="163"/>
      <c r="BX107" s="163"/>
      <c r="BY107" s="163"/>
      <c r="BZ107" s="163"/>
      <c r="CA107" s="163"/>
      <c r="CB107" s="163"/>
      <c r="CC107" s="163"/>
      <c r="CD107" s="163"/>
      <c r="CE107" s="163"/>
      <c r="CF107" s="163"/>
      <c r="CG107" s="163"/>
      <c r="CH107" s="163"/>
      <c r="CI107" s="163"/>
      <c r="CJ107" s="163"/>
      <c r="CK107" s="163"/>
      <c r="CL107" s="163"/>
      <c r="CM107" s="163"/>
      <c r="CN107" s="163"/>
      <c r="CO107" s="163"/>
      <c r="CP107" s="163"/>
      <c r="CQ107" s="163"/>
      <c r="CR107" s="163"/>
      <c r="CS107" s="163"/>
      <c r="CT107" s="163"/>
      <c r="CU107" s="163"/>
      <c r="CV107" s="163"/>
      <c r="CW107" s="163"/>
      <c r="CX107" s="60"/>
      <c r="CY107" s="60"/>
      <c r="CZ107" s="60"/>
      <c r="DA107" s="60"/>
      <c r="DB107" s="60"/>
      <c r="DC107" s="60"/>
      <c r="DD107" s="60"/>
      <c r="DE107" s="60"/>
      <c r="DF107" s="60"/>
      <c r="DG107" s="60"/>
      <c r="DH107" s="60"/>
      <c r="DI107" s="60"/>
      <c r="DJ107" s="60"/>
      <c r="DK107" s="60"/>
      <c r="DL107" s="60"/>
      <c r="DM107" s="60"/>
      <c r="DN107" s="60"/>
      <c r="DO107" s="60"/>
      <c r="DP107" s="60"/>
      <c r="DQ107" s="60"/>
      <c r="DR107" s="60"/>
      <c r="DS107" s="60"/>
      <c r="DT107" s="60"/>
      <c r="DU107" s="60"/>
      <c r="DV107" s="60"/>
      <c r="DW107" s="60"/>
      <c r="DX107" s="60"/>
      <c r="DY107" s="60"/>
      <c r="DZ107" s="60"/>
      <c r="EA107" s="60"/>
    </row>
    <row r="108" spans="1:131">
      <c r="A108" s="60"/>
      <c r="B108" s="60"/>
      <c r="C108" s="163"/>
      <c r="D108" s="163"/>
      <c r="E108" s="163"/>
      <c r="F108" s="163"/>
      <c r="G108" s="163"/>
      <c r="H108" s="163"/>
      <c r="I108" s="163"/>
      <c r="J108" s="163"/>
      <c r="K108" s="163"/>
      <c r="L108" s="163"/>
      <c r="M108" s="163"/>
      <c r="N108" s="163"/>
      <c r="O108" s="163"/>
      <c r="P108" s="163"/>
      <c r="Q108" s="163"/>
      <c r="R108" s="163"/>
      <c r="S108" s="163"/>
      <c r="T108" s="163"/>
      <c r="U108" s="163"/>
      <c r="V108" s="163"/>
      <c r="W108" s="163"/>
      <c r="X108" s="163"/>
      <c r="Y108" s="163"/>
      <c r="Z108" s="163"/>
      <c r="AA108" s="163"/>
      <c r="AB108" s="163"/>
      <c r="AC108" s="163"/>
      <c r="AD108" s="163"/>
      <c r="AE108" s="163"/>
      <c r="AF108" s="163"/>
      <c r="AG108" s="163"/>
      <c r="AH108" s="163"/>
      <c r="AI108" s="163"/>
      <c r="AJ108" s="163"/>
      <c r="AK108" s="163"/>
      <c r="AL108" s="163"/>
      <c r="AM108" s="163"/>
      <c r="AN108" s="163"/>
      <c r="AO108" s="163"/>
      <c r="AP108" s="163"/>
      <c r="AQ108" s="163"/>
      <c r="AR108" s="163"/>
      <c r="AS108" s="163"/>
      <c r="AT108" s="163"/>
      <c r="AU108" s="163"/>
      <c r="AV108" s="163"/>
      <c r="AW108" s="163"/>
      <c r="AX108" s="163"/>
      <c r="AY108" s="163"/>
      <c r="AZ108" s="163"/>
      <c r="BA108" s="163"/>
      <c r="BB108" s="163"/>
      <c r="BC108" s="163"/>
      <c r="BD108" s="163"/>
      <c r="BE108" s="163"/>
      <c r="BF108" s="163"/>
      <c r="BG108" s="163"/>
      <c r="BH108" s="163"/>
      <c r="BI108" s="163"/>
      <c r="BJ108" s="163"/>
      <c r="BK108" s="163"/>
      <c r="BL108" s="163"/>
      <c r="BM108" s="163"/>
      <c r="BN108" s="163"/>
      <c r="BO108" s="163"/>
      <c r="BP108" s="163"/>
      <c r="BQ108" s="163"/>
      <c r="BR108" s="163"/>
      <c r="BS108" s="163"/>
      <c r="BT108" s="163"/>
      <c r="BU108" s="163"/>
      <c r="BV108" s="163"/>
      <c r="BW108" s="163"/>
      <c r="BX108" s="163"/>
      <c r="BY108" s="163"/>
      <c r="BZ108" s="163"/>
      <c r="CA108" s="163"/>
      <c r="CB108" s="163"/>
      <c r="CC108" s="163"/>
      <c r="CD108" s="163"/>
      <c r="CE108" s="163"/>
      <c r="CF108" s="163"/>
      <c r="CG108" s="163"/>
      <c r="CH108" s="163"/>
      <c r="CI108" s="163"/>
      <c r="CJ108" s="163"/>
      <c r="CK108" s="163"/>
      <c r="CL108" s="163"/>
      <c r="CM108" s="163"/>
      <c r="CN108" s="163"/>
      <c r="CO108" s="163"/>
      <c r="CP108" s="163"/>
      <c r="CQ108" s="163"/>
      <c r="CR108" s="163"/>
      <c r="CS108" s="163"/>
      <c r="CT108" s="163"/>
      <c r="CU108" s="163"/>
      <c r="CV108" s="163"/>
      <c r="CW108" s="163"/>
      <c r="CX108" s="60"/>
      <c r="CY108" s="60"/>
      <c r="CZ108" s="60"/>
      <c r="DA108" s="60"/>
      <c r="DB108" s="60"/>
      <c r="DC108" s="60"/>
      <c r="DD108" s="60"/>
      <c r="DE108" s="60"/>
      <c r="DF108" s="60"/>
      <c r="DG108" s="60"/>
      <c r="DH108" s="60"/>
      <c r="DI108" s="60"/>
      <c r="DJ108" s="60"/>
      <c r="DK108" s="60"/>
      <c r="DL108" s="60"/>
      <c r="DM108" s="60"/>
      <c r="DN108" s="60"/>
      <c r="DO108" s="60"/>
      <c r="DP108" s="60"/>
      <c r="DQ108" s="60"/>
      <c r="DR108" s="60"/>
      <c r="DS108" s="60"/>
      <c r="DT108" s="60"/>
      <c r="DU108" s="60"/>
      <c r="DV108" s="60"/>
      <c r="DW108" s="60"/>
      <c r="DX108" s="60"/>
      <c r="DY108" s="60"/>
      <c r="DZ108" s="60"/>
      <c r="EA108" s="60"/>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sheetPr codeName="Sheet1"/>
  <dimension ref="A1:F71"/>
  <sheetViews>
    <sheetView workbookViewId="0">
      <selection activeCell="E16" sqref="E16"/>
    </sheetView>
  </sheetViews>
  <sheetFormatPr defaultRowHeight="12.75"/>
  <cols>
    <col min="1" max="1" width="24.42578125" customWidth="1"/>
    <col min="2" max="2" width="14.42578125" customWidth="1"/>
    <col min="3" max="3" width="16.42578125" customWidth="1"/>
    <col min="4" max="4" width="16.140625" customWidth="1"/>
    <col min="5" max="5" width="25.42578125" customWidth="1"/>
    <col min="6" max="6" width="25" customWidth="1"/>
    <col min="7" max="7" width="23.28515625" customWidth="1"/>
  </cols>
  <sheetData>
    <row r="1" spans="1:6">
      <c r="A1" s="8" t="s">
        <v>153</v>
      </c>
      <c r="B1" s="8"/>
      <c r="C1" s="2"/>
      <c r="D1" s="2"/>
    </row>
    <row r="2" spans="1:6">
      <c r="A2" s="8" t="s">
        <v>3</v>
      </c>
      <c r="B2" s="2"/>
      <c r="C2" s="2"/>
      <c r="D2" s="2"/>
    </row>
    <row r="3" spans="1:6">
      <c r="A3" s="2"/>
      <c r="B3" s="2"/>
      <c r="C3" s="2"/>
      <c r="D3" s="2"/>
    </row>
    <row r="4" spans="1:6" ht="25.5">
      <c r="A4" s="105" t="s">
        <v>154</v>
      </c>
      <c r="B4" s="105" t="s">
        <v>155</v>
      </c>
      <c r="C4" s="105" t="s">
        <v>156</v>
      </c>
      <c r="D4" s="105" t="s">
        <v>157</v>
      </c>
      <c r="F4" s="175" t="s">
        <v>595</v>
      </c>
    </row>
    <row r="5" spans="1:6">
      <c r="A5" s="106" t="s">
        <v>158</v>
      </c>
      <c r="B5" s="106"/>
      <c r="C5" s="107"/>
      <c r="D5" s="107"/>
      <c r="F5">
        <v>0.97399999999999998</v>
      </c>
    </row>
    <row r="6" spans="1:6">
      <c r="A6" s="2" t="s">
        <v>159</v>
      </c>
      <c r="B6" s="2" t="s">
        <v>160</v>
      </c>
      <c r="C6" s="109">
        <v>350</v>
      </c>
      <c r="D6" s="109">
        <f>C6*$F$5+(3*Labor)+15+20+5</f>
        <v>601.36999999999989</v>
      </c>
    </row>
    <row r="7" spans="1:6">
      <c r="A7" s="2" t="s">
        <v>161</v>
      </c>
      <c r="B7" s="2" t="s">
        <v>160</v>
      </c>
      <c r="C7" s="109">
        <v>420</v>
      </c>
      <c r="D7" s="109">
        <f>C7*$F$5+(3*Labor)+15+20+5</f>
        <v>669.55</v>
      </c>
    </row>
    <row r="8" spans="1:6">
      <c r="A8" s="2" t="s">
        <v>162</v>
      </c>
      <c r="B8" s="2" t="s">
        <v>160</v>
      </c>
      <c r="C8" s="109">
        <v>530</v>
      </c>
      <c r="D8" s="109">
        <f>C8*$F$5+(3*Labor)+15+20+5</f>
        <v>776.69</v>
      </c>
    </row>
    <row r="9" spans="1:6">
      <c r="A9" s="2" t="s">
        <v>159</v>
      </c>
      <c r="B9" s="2" t="s">
        <v>163</v>
      </c>
      <c r="C9" s="109">
        <v>350</v>
      </c>
      <c r="D9" s="109">
        <f>C9*$F$5+(1*Labor)+15+20+5</f>
        <v>454.39</v>
      </c>
    </row>
    <row r="10" spans="1:6">
      <c r="A10" s="2" t="s">
        <v>161</v>
      </c>
      <c r="B10" s="2" t="s">
        <v>163</v>
      </c>
      <c r="C10" s="109">
        <v>420</v>
      </c>
      <c r="D10" s="109">
        <f>C10*$F$5+(1*Labor)+15+20+5</f>
        <v>522.56999999999994</v>
      </c>
    </row>
    <row r="11" spans="1:6">
      <c r="A11" s="2" t="s">
        <v>162</v>
      </c>
      <c r="B11" s="2" t="s">
        <v>163</v>
      </c>
      <c r="C11" s="109">
        <v>530</v>
      </c>
      <c r="D11" s="109">
        <f>C11*$F$5+(1*Labor)+15+20+5</f>
        <v>629.71</v>
      </c>
    </row>
    <row r="12" spans="1:6">
      <c r="A12" s="2"/>
      <c r="B12" s="2"/>
      <c r="C12" s="109"/>
      <c r="D12" s="109"/>
    </row>
    <row r="13" spans="1:6">
      <c r="A13" s="2"/>
      <c r="B13" s="2"/>
      <c r="C13" s="109"/>
      <c r="D13" s="109"/>
    </row>
    <row r="14" spans="1:6">
      <c r="A14" s="2"/>
      <c r="B14" s="2"/>
      <c r="C14" s="109"/>
      <c r="D14" s="109"/>
    </row>
    <row r="15" spans="1:6">
      <c r="A15" s="2"/>
      <c r="B15" s="2"/>
      <c r="C15" s="109"/>
      <c r="D15" s="109"/>
    </row>
    <row r="16" spans="1:6">
      <c r="A16" s="106" t="s">
        <v>164</v>
      </c>
      <c r="B16" s="106"/>
      <c r="C16" s="110"/>
      <c r="D16" s="110"/>
    </row>
    <row r="17" spans="1:4">
      <c r="A17" s="2" t="s">
        <v>165</v>
      </c>
      <c r="B17" s="2" t="s">
        <v>160</v>
      </c>
      <c r="C17" s="109">
        <v>380</v>
      </c>
      <c r="D17" s="109">
        <f>C17*$F$5+(3*Labor)+15+25+10</f>
        <v>640.58999999999992</v>
      </c>
    </row>
    <row r="18" spans="1:4">
      <c r="A18" s="2" t="s">
        <v>166</v>
      </c>
      <c r="B18" s="2" t="s">
        <v>160</v>
      </c>
      <c r="C18" s="109">
        <v>450</v>
      </c>
      <c r="D18" s="109">
        <f>C18*$F$5+(3*Labor)+15+25+10</f>
        <v>708.77</v>
      </c>
    </row>
    <row r="19" spans="1:4">
      <c r="A19" s="139" t="s">
        <v>167</v>
      </c>
      <c r="B19" s="139" t="s">
        <v>160</v>
      </c>
      <c r="C19" s="140">
        <v>560</v>
      </c>
      <c r="D19" s="140">
        <f>C19*$F$5+(3*Labor)+15+25+10</f>
        <v>815.90999999999985</v>
      </c>
    </row>
    <row r="20" spans="1:4">
      <c r="A20" s="2" t="s">
        <v>165</v>
      </c>
      <c r="B20" s="2" t="s">
        <v>163</v>
      </c>
      <c r="C20" s="109">
        <v>380</v>
      </c>
      <c r="D20" s="109">
        <f>C20*$F$5+(1.5*Labor)+15+25+10</f>
        <v>530.35500000000002</v>
      </c>
    </row>
    <row r="21" spans="1:4">
      <c r="A21" s="2" t="s">
        <v>166</v>
      </c>
      <c r="B21" s="2" t="s">
        <v>163</v>
      </c>
      <c r="C21" s="109">
        <v>450</v>
      </c>
      <c r="D21" s="109">
        <f>C21*$F$5+(1.5*Labor)+15+25+10</f>
        <v>598.53499999999997</v>
      </c>
    </row>
    <row r="22" spans="1:4">
      <c r="A22" s="139" t="s">
        <v>167</v>
      </c>
      <c r="B22" s="139" t="s">
        <v>163</v>
      </c>
      <c r="C22" s="140">
        <v>560</v>
      </c>
      <c r="D22" s="140">
        <f>C22*$F$5+(1.53*Labor)+15+25+10</f>
        <v>707.87969999999996</v>
      </c>
    </row>
    <row r="23" spans="1:4">
      <c r="A23" s="2"/>
      <c r="B23" s="2"/>
      <c r="C23" s="109"/>
      <c r="D23" s="109"/>
    </row>
    <row r="24" spans="1:4">
      <c r="A24" s="2"/>
      <c r="B24" s="2"/>
      <c r="C24" s="109"/>
      <c r="D24" s="109"/>
    </row>
    <row r="25" spans="1:4">
      <c r="A25" s="2"/>
      <c r="B25" s="2"/>
      <c r="C25" s="109"/>
      <c r="D25" s="109"/>
    </row>
    <row r="26" spans="1:4">
      <c r="A26" s="2"/>
      <c r="B26" s="2"/>
      <c r="C26" s="2"/>
      <c r="D26" s="2"/>
    </row>
    <row r="27" spans="1:4">
      <c r="A27" s="106" t="s">
        <v>168</v>
      </c>
      <c r="B27" s="106"/>
      <c r="C27" s="108"/>
      <c r="D27" s="108"/>
    </row>
    <row r="28" spans="1:4">
      <c r="A28" s="2" t="s">
        <v>165</v>
      </c>
      <c r="B28" s="2" t="s">
        <v>160</v>
      </c>
      <c r="C28" s="109">
        <v>380</v>
      </c>
      <c r="D28" s="109">
        <f t="shared" ref="D28:D33" si="0">C28*$F$5+(3*Labor)+15+25+10</f>
        <v>640.58999999999992</v>
      </c>
    </row>
    <row r="29" spans="1:4">
      <c r="A29" s="2" t="s">
        <v>166</v>
      </c>
      <c r="B29" s="2" t="s">
        <v>160</v>
      </c>
      <c r="C29" s="109">
        <v>450</v>
      </c>
      <c r="D29" s="109">
        <f t="shared" si="0"/>
        <v>708.77</v>
      </c>
    </row>
    <row r="30" spans="1:4">
      <c r="A30" s="2" t="s">
        <v>167</v>
      </c>
      <c r="B30" s="2" t="s">
        <v>160</v>
      </c>
      <c r="C30" s="109">
        <v>560</v>
      </c>
      <c r="D30" s="109">
        <f t="shared" si="0"/>
        <v>815.90999999999985</v>
      </c>
    </row>
    <row r="31" spans="1:4">
      <c r="A31" s="2" t="s">
        <v>159</v>
      </c>
      <c r="B31" s="2" t="s">
        <v>160</v>
      </c>
      <c r="C31" s="109">
        <v>350</v>
      </c>
      <c r="D31" s="109">
        <f t="shared" si="0"/>
        <v>611.36999999999989</v>
      </c>
    </row>
    <row r="32" spans="1:4">
      <c r="A32" s="2" t="s">
        <v>161</v>
      </c>
      <c r="B32" s="2" t="s">
        <v>160</v>
      </c>
      <c r="C32" s="109">
        <v>420</v>
      </c>
      <c r="D32" s="109">
        <f t="shared" si="0"/>
        <v>679.55</v>
      </c>
    </row>
    <row r="33" spans="1:4">
      <c r="A33" s="139" t="s">
        <v>162</v>
      </c>
      <c r="B33" s="139" t="s">
        <v>160</v>
      </c>
      <c r="C33" s="140">
        <v>530</v>
      </c>
      <c r="D33" s="140">
        <f t="shared" si="0"/>
        <v>786.69</v>
      </c>
    </row>
    <row r="34" spans="1:4">
      <c r="A34" s="2" t="s">
        <v>165</v>
      </c>
      <c r="B34" s="2" t="s">
        <v>163</v>
      </c>
      <c r="C34" s="109">
        <v>380</v>
      </c>
      <c r="D34" s="109">
        <f t="shared" ref="D34:D39" si="1">C34*$F$5+(1*Labor)+15+25+10</f>
        <v>493.61</v>
      </c>
    </row>
    <row r="35" spans="1:4">
      <c r="A35" s="2" t="s">
        <v>166</v>
      </c>
      <c r="B35" s="2" t="s">
        <v>163</v>
      </c>
      <c r="C35" s="109">
        <v>450</v>
      </c>
      <c r="D35" s="109">
        <f t="shared" si="1"/>
        <v>561.79</v>
      </c>
    </row>
    <row r="36" spans="1:4">
      <c r="A36" s="2" t="s">
        <v>167</v>
      </c>
      <c r="B36" s="2" t="s">
        <v>163</v>
      </c>
      <c r="C36" s="109">
        <v>560</v>
      </c>
      <c r="D36" s="109">
        <f t="shared" si="1"/>
        <v>668.93</v>
      </c>
    </row>
    <row r="37" spans="1:4">
      <c r="A37" s="2" t="s">
        <v>159</v>
      </c>
      <c r="B37" s="2" t="s">
        <v>163</v>
      </c>
      <c r="C37" s="109">
        <v>350</v>
      </c>
      <c r="D37" s="109">
        <f t="shared" si="1"/>
        <v>464.39</v>
      </c>
    </row>
    <row r="38" spans="1:4">
      <c r="A38" s="2" t="s">
        <v>161</v>
      </c>
      <c r="B38" s="2" t="s">
        <v>163</v>
      </c>
      <c r="C38" s="109">
        <v>420</v>
      </c>
      <c r="D38" s="109">
        <f t="shared" si="1"/>
        <v>532.56999999999994</v>
      </c>
    </row>
    <row r="39" spans="1:4">
      <c r="A39" s="139" t="s">
        <v>162</v>
      </c>
      <c r="B39" s="139" t="s">
        <v>163</v>
      </c>
      <c r="C39" s="140">
        <v>530</v>
      </c>
      <c r="D39" s="140">
        <f t="shared" si="1"/>
        <v>639.71</v>
      </c>
    </row>
    <row r="40" spans="1:4">
      <c r="A40" s="2"/>
      <c r="B40" s="2"/>
      <c r="C40" s="109"/>
      <c r="D40" s="109"/>
    </row>
    <row r="41" spans="1:4">
      <c r="A41" s="2"/>
      <c r="B41" s="2"/>
      <c r="C41" s="109"/>
      <c r="D41" s="109"/>
    </row>
    <row r="42" spans="1:4">
      <c r="A42" s="2"/>
      <c r="B42" s="2"/>
      <c r="C42" s="109"/>
      <c r="D42" s="109"/>
    </row>
    <row r="43" spans="1:4">
      <c r="A43" s="2"/>
      <c r="B43" s="2"/>
      <c r="C43" s="109"/>
      <c r="D43" s="109"/>
    </row>
    <row r="44" spans="1:4">
      <c r="A44" s="2"/>
      <c r="B44" s="2"/>
      <c r="C44" s="109"/>
      <c r="D44" s="109"/>
    </row>
    <row r="45" spans="1:4">
      <c r="A45" s="2"/>
      <c r="B45" s="2"/>
      <c r="C45" s="109"/>
      <c r="D45" s="109"/>
    </row>
    <row r="46" spans="1:4">
      <c r="A46" s="2"/>
      <c r="B46" s="2"/>
      <c r="C46" s="109"/>
      <c r="D46" s="109"/>
    </row>
    <row r="47" spans="1:4">
      <c r="A47" s="2"/>
      <c r="B47" s="2"/>
      <c r="C47" s="2"/>
      <c r="D47" s="2"/>
    </row>
    <row r="48" spans="1:4">
      <c r="A48" s="8"/>
      <c r="B48" s="8"/>
      <c r="C48" s="2"/>
      <c r="D48" s="2"/>
    </row>
    <row r="49" spans="1:4">
      <c r="A49" s="7" t="s">
        <v>169</v>
      </c>
      <c r="B49" s="2"/>
      <c r="C49" s="2"/>
      <c r="D49" s="2"/>
    </row>
    <row r="50" spans="1:4">
      <c r="A50" s="259" t="s">
        <v>170</v>
      </c>
      <c r="B50" s="260"/>
      <c r="C50" s="260"/>
      <c r="D50" s="261"/>
    </row>
    <row r="51" spans="1:4">
      <c r="A51" s="111" t="s">
        <v>171</v>
      </c>
      <c r="B51" s="111" t="s">
        <v>172</v>
      </c>
      <c r="C51" s="111" t="s">
        <v>173</v>
      </c>
      <c r="D51" s="111"/>
    </row>
    <row r="52" spans="1:4">
      <c r="A52" s="112" t="s">
        <v>174</v>
      </c>
      <c r="B52" s="112" t="s">
        <v>175</v>
      </c>
      <c r="C52" s="113">
        <v>415</v>
      </c>
      <c r="D52" s="113"/>
    </row>
    <row r="53" spans="1:4">
      <c r="A53" s="112" t="s">
        <v>176</v>
      </c>
      <c r="B53" s="112" t="s">
        <v>177</v>
      </c>
      <c r="C53" s="113">
        <v>512</v>
      </c>
      <c r="D53" s="113"/>
    </row>
    <row r="54" spans="1:4">
      <c r="A54" s="112" t="s">
        <v>178</v>
      </c>
      <c r="B54" s="112" t="s">
        <v>179</v>
      </c>
      <c r="C54" s="113">
        <v>570</v>
      </c>
      <c r="D54" s="113"/>
    </row>
    <row r="55" spans="1:4">
      <c r="A55" s="262" t="s">
        <v>180</v>
      </c>
      <c r="B55" s="262"/>
      <c r="C55" s="262"/>
      <c r="D55" s="2"/>
    </row>
    <row r="56" spans="1:4">
      <c r="A56" s="112" t="s">
        <v>181</v>
      </c>
      <c r="B56" s="112" t="s">
        <v>175</v>
      </c>
      <c r="C56" s="113">
        <v>587</v>
      </c>
      <c r="D56" s="2"/>
    </row>
    <row r="57" spans="1:4">
      <c r="A57" s="112" t="s">
        <v>182</v>
      </c>
      <c r="B57" s="112" t="s">
        <v>177</v>
      </c>
      <c r="C57" s="113">
        <v>690</v>
      </c>
      <c r="D57" s="2"/>
    </row>
    <row r="58" spans="1:4">
      <c r="A58" s="112" t="s">
        <v>183</v>
      </c>
      <c r="B58" s="112" t="s">
        <v>179</v>
      </c>
      <c r="C58" s="113">
        <v>795</v>
      </c>
      <c r="D58" s="2"/>
    </row>
    <row r="59" spans="1:4">
      <c r="A59" s="2"/>
      <c r="B59" s="2"/>
      <c r="C59" s="2"/>
      <c r="D59" s="2"/>
    </row>
    <row r="60" spans="1:4">
      <c r="A60" s="2"/>
      <c r="B60" s="2"/>
      <c r="C60" s="2"/>
      <c r="D60" s="2"/>
    </row>
    <row r="61" spans="1:4">
      <c r="A61" s="2"/>
      <c r="B61" s="2"/>
      <c r="C61" s="2"/>
      <c r="D61" s="2"/>
    </row>
    <row r="62" spans="1:4">
      <c r="A62" s="2"/>
      <c r="B62" s="2"/>
      <c r="C62" s="2"/>
      <c r="D62" s="2"/>
    </row>
    <row r="63" spans="1:4">
      <c r="A63" s="2"/>
      <c r="B63" s="2"/>
      <c r="C63" s="2"/>
      <c r="D63" s="2"/>
    </row>
    <row r="64" spans="1:4">
      <c r="A64" s="2"/>
      <c r="B64" s="2"/>
      <c r="C64" s="2"/>
      <c r="D64" s="2"/>
    </row>
    <row r="65" spans="1:4">
      <c r="A65" s="2"/>
      <c r="B65" s="2"/>
      <c r="C65" s="2"/>
      <c r="D65" s="2"/>
    </row>
    <row r="66" spans="1:4">
      <c r="A66" s="2"/>
      <c r="B66" s="2"/>
      <c r="C66" s="2"/>
      <c r="D66" s="2"/>
    </row>
    <row r="67" spans="1:4">
      <c r="A67" s="2"/>
      <c r="B67" s="2"/>
      <c r="C67" s="2"/>
      <c r="D67" s="2"/>
    </row>
    <row r="68" spans="1:4">
      <c r="A68" s="2"/>
      <c r="B68" s="2"/>
      <c r="C68" s="2"/>
      <c r="D68" s="2"/>
    </row>
    <row r="69" spans="1:4">
      <c r="A69" s="2"/>
      <c r="B69" s="2"/>
      <c r="C69" s="2"/>
      <c r="D69" s="2"/>
    </row>
    <row r="70" spans="1:4">
      <c r="A70" s="2"/>
      <c r="B70" s="2"/>
      <c r="C70" s="2"/>
      <c r="D70" s="2"/>
    </row>
    <row r="71" spans="1:4">
      <c r="A71" s="2"/>
      <c r="B71" s="2"/>
      <c r="C71" s="2"/>
      <c r="D71" s="2"/>
    </row>
  </sheetData>
  <mergeCells count="2">
    <mergeCell ref="A50:D50"/>
    <mergeCell ref="A55:C55"/>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sheetPr codeName="Sheet3"/>
  <dimension ref="A1:H15"/>
  <sheetViews>
    <sheetView workbookViewId="0">
      <selection activeCell="B6" sqref="B6"/>
    </sheetView>
  </sheetViews>
  <sheetFormatPr defaultRowHeight="12.75"/>
  <cols>
    <col min="1" max="1" width="20.28515625" customWidth="1"/>
    <col min="2" max="2" width="19.140625" customWidth="1"/>
    <col min="3" max="3" width="40.42578125" customWidth="1"/>
    <col min="4" max="4" width="42.5703125" customWidth="1"/>
  </cols>
  <sheetData>
    <row r="1" spans="1:8">
      <c r="A1" s="8" t="s">
        <v>35</v>
      </c>
      <c r="B1" s="2"/>
      <c r="C1" s="6"/>
      <c r="D1" s="2"/>
      <c r="E1" s="2"/>
      <c r="F1" s="2"/>
      <c r="G1" s="2"/>
      <c r="H1" s="2"/>
    </row>
    <row r="2" spans="1:8">
      <c r="A2" s="8" t="s">
        <v>3</v>
      </c>
      <c r="B2" s="2"/>
      <c r="C2" s="6"/>
      <c r="D2" s="2"/>
      <c r="E2" s="2"/>
      <c r="F2" s="2"/>
      <c r="G2" s="2"/>
      <c r="H2" s="2"/>
    </row>
    <row r="3" spans="1:8">
      <c r="A3" s="2" t="s">
        <v>36</v>
      </c>
      <c r="B3" s="2">
        <v>73.489999999999995</v>
      </c>
      <c r="C3" s="6" t="s">
        <v>209</v>
      </c>
      <c r="D3" s="2"/>
      <c r="E3" s="2"/>
      <c r="F3" s="2"/>
      <c r="G3" s="2"/>
      <c r="H3" s="2"/>
    </row>
    <row r="4" spans="1:8">
      <c r="A4" s="2"/>
      <c r="B4" s="2"/>
      <c r="C4" s="6"/>
      <c r="D4" s="2"/>
      <c r="E4" s="2"/>
      <c r="F4" s="2"/>
      <c r="G4" s="2"/>
      <c r="H4" s="2"/>
    </row>
    <row r="5" spans="1:8">
      <c r="A5" s="18" t="s">
        <v>12</v>
      </c>
      <c r="B5" s="18" t="s">
        <v>37</v>
      </c>
      <c r="C5" s="18" t="s">
        <v>14</v>
      </c>
      <c r="D5" s="18"/>
      <c r="E5" s="2"/>
      <c r="F5" s="2"/>
      <c r="G5" s="2"/>
      <c r="H5" s="2"/>
    </row>
    <row r="6" spans="1:8" ht="76.5">
      <c r="A6" s="4" t="s">
        <v>38</v>
      </c>
      <c r="B6" s="19">
        <f>Cost!D11</f>
        <v>629.71</v>
      </c>
      <c r="C6" s="4" t="s">
        <v>39</v>
      </c>
      <c r="D6" s="4" t="s">
        <v>40</v>
      </c>
      <c r="E6" s="2"/>
      <c r="F6" s="2"/>
      <c r="G6" s="2"/>
      <c r="H6" s="2"/>
    </row>
    <row r="7" spans="1:8" ht="25.5">
      <c r="A7" s="4" t="s">
        <v>41</v>
      </c>
      <c r="B7" s="19">
        <f>Cost!D8</f>
        <v>776.69</v>
      </c>
      <c r="C7" s="4"/>
      <c r="D7" s="4" t="s">
        <v>42</v>
      </c>
      <c r="E7" s="2"/>
      <c r="F7" s="2"/>
      <c r="G7" s="2"/>
      <c r="H7" s="2"/>
    </row>
    <row r="8" spans="1:8" ht="38.25">
      <c r="A8" s="4" t="s">
        <v>43</v>
      </c>
      <c r="B8" s="19">
        <f>Cost!D19</f>
        <v>815.90999999999985</v>
      </c>
      <c r="C8" s="4"/>
      <c r="D8" s="4" t="s">
        <v>44</v>
      </c>
      <c r="E8" s="2"/>
      <c r="F8" s="2"/>
      <c r="G8" s="2"/>
      <c r="H8" s="2"/>
    </row>
    <row r="9" spans="1:8" ht="25.5">
      <c r="A9" s="4" t="s">
        <v>45</v>
      </c>
      <c r="B9" s="19">
        <f>(3*Labor)+540+15+20+5+120</f>
        <v>920.47</v>
      </c>
      <c r="C9" s="4"/>
      <c r="D9" s="4" t="s">
        <v>46</v>
      </c>
      <c r="E9" s="2"/>
      <c r="F9" s="2"/>
      <c r="G9" s="2"/>
      <c r="H9" s="2"/>
    </row>
    <row r="10" spans="1:8">
      <c r="A10" s="4"/>
      <c r="B10" s="19"/>
      <c r="C10" s="4"/>
      <c r="D10" s="4"/>
      <c r="E10" s="2"/>
      <c r="F10" s="2"/>
      <c r="G10" s="2"/>
      <c r="H10" s="2"/>
    </row>
    <row r="11" spans="1:8">
      <c r="A11" s="4"/>
      <c r="B11" s="19"/>
      <c r="C11" s="4"/>
      <c r="D11" s="4"/>
      <c r="E11" s="2"/>
      <c r="F11" s="2"/>
      <c r="G11" s="2"/>
      <c r="H11" s="2"/>
    </row>
    <row r="12" spans="1:8">
      <c r="A12" s="4"/>
      <c r="B12" s="19"/>
      <c r="C12" s="4"/>
      <c r="D12" s="4"/>
      <c r="E12" s="2"/>
      <c r="F12" s="2"/>
      <c r="G12" s="2"/>
      <c r="H12" s="2"/>
    </row>
    <row r="13" spans="1:8">
      <c r="A13" s="2"/>
      <c r="B13" s="2"/>
      <c r="C13" s="6"/>
      <c r="D13" s="6"/>
      <c r="E13" s="2"/>
      <c r="F13" s="2"/>
      <c r="G13" s="2"/>
      <c r="H13" s="2"/>
    </row>
    <row r="14" spans="1:8">
      <c r="A14" s="2"/>
      <c r="B14" s="2"/>
      <c r="C14" s="6"/>
      <c r="D14" s="6"/>
      <c r="E14" s="2"/>
      <c r="F14" s="2"/>
      <c r="G14" s="2"/>
      <c r="H14" s="2"/>
    </row>
    <row r="15" spans="1:8">
      <c r="A15" s="2"/>
      <c r="B15" s="2"/>
      <c r="C15" s="6"/>
      <c r="D15" s="6"/>
      <c r="E15" s="2"/>
      <c r="F15" s="2"/>
      <c r="G15" s="2"/>
      <c r="H15"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2"/>
  <dimension ref="A1:O86"/>
  <sheetViews>
    <sheetView topLeftCell="A45" workbookViewId="0">
      <selection activeCell="G53" sqref="G53:G56"/>
    </sheetView>
  </sheetViews>
  <sheetFormatPr defaultRowHeight="12.75"/>
  <cols>
    <col min="1" max="1" width="56.42578125" bestFit="1" customWidth="1"/>
    <col min="2" max="2" width="11.7109375" bestFit="1" customWidth="1"/>
    <col min="5" max="5" width="24.42578125" customWidth="1"/>
  </cols>
  <sheetData>
    <row r="1" spans="1:15">
      <c r="A1" s="8" t="s">
        <v>47</v>
      </c>
      <c r="B1" s="2"/>
      <c r="C1" s="2"/>
      <c r="D1" s="2"/>
      <c r="E1" s="2"/>
      <c r="F1" s="2"/>
      <c r="G1" s="2"/>
      <c r="H1" s="2"/>
      <c r="I1" s="2"/>
      <c r="J1" s="2"/>
      <c r="K1" s="2"/>
      <c r="L1" s="2"/>
      <c r="M1" s="2"/>
      <c r="N1" s="2"/>
      <c r="O1" s="2"/>
    </row>
    <row r="2" spans="1:15">
      <c r="A2" s="8" t="s">
        <v>3</v>
      </c>
      <c r="B2" s="2"/>
      <c r="C2" s="2"/>
      <c r="D2" s="2"/>
      <c r="E2" s="2"/>
      <c r="F2" s="2"/>
      <c r="G2" s="2"/>
      <c r="H2" s="2"/>
      <c r="I2" s="2"/>
      <c r="J2" s="2"/>
      <c r="K2" s="2"/>
      <c r="L2" s="2"/>
      <c r="M2" s="2"/>
      <c r="N2" s="2"/>
      <c r="O2" s="2"/>
    </row>
    <row r="3" spans="1:15">
      <c r="A3" s="8"/>
      <c r="B3" s="2"/>
      <c r="C3" s="2"/>
      <c r="D3" s="2"/>
      <c r="E3" s="2"/>
      <c r="F3" s="2"/>
      <c r="G3" s="2"/>
      <c r="H3" s="7" t="s">
        <v>54</v>
      </c>
      <c r="I3" s="2"/>
      <c r="J3" s="2"/>
      <c r="K3" s="2"/>
      <c r="L3" s="2"/>
      <c r="M3" s="2"/>
      <c r="N3" s="2"/>
      <c r="O3" s="2"/>
    </row>
    <row r="4" spans="1:15">
      <c r="A4" s="20" t="s">
        <v>48</v>
      </c>
      <c r="B4" s="21" t="s">
        <v>49</v>
      </c>
      <c r="C4" s="21" t="s">
        <v>50</v>
      </c>
      <c r="D4" s="22" t="s">
        <v>51</v>
      </c>
      <c r="E4" s="2"/>
      <c r="F4" s="2"/>
      <c r="G4" s="2"/>
      <c r="H4" s="25">
        <v>120</v>
      </c>
      <c r="I4" s="25">
        <f>InletTemp_F</f>
        <v>55</v>
      </c>
      <c r="J4" s="26">
        <f>SUMPRODUCT(H6:I6,H4:I4)</f>
        <v>105.6617656617647</v>
      </c>
      <c r="K4" s="2"/>
      <c r="L4" s="2"/>
      <c r="M4" s="2"/>
      <c r="N4" s="2"/>
      <c r="O4" s="2"/>
    </row>
    <row r="5" spans="1:15">
      <c r="A5" s="23" t="s">
        <v>52</v>
      </c>
      <c r="B5" s="24">
        <f>G41</f>
        <v>108.363</v>
      </c>
      <c r="C5" s="23" t="s">
        <v>53</v>
      </c>
      <c r="D5" s="23"/>
      <c r="H5" s="29">
        <f>$J5*H6</f>
        <v>1.4730882630882354</v>
      </c>
      <c r="I5" s="29">
        <f>$J5*I6</f>
        <v>0.41691173691176459</v>
      </c>
      <c r="J5" s="25">
        <v>1.89</v>
      </c>
      <c r="K5" s="2"/>
      <c r="L5" s="2"/>
      <c r="M5" s="2"/>
      <c r="N5" s="2"/>
      <c r="O5" s="2"/>
    </row>
    <row r="6" spans="1:15">
      <c r="A6" s="23" t="s">
        <v>55</v>
      </c>
      <c r="B6" s="23">
        <v>55</v>
      </c>
      <c r="C6" s="23" t="s">
        <v>53</v>
      </c>
      <c r="D6" s="25" t="s">
        <v>188</v>
      </c>
      <c r="H6" s="30">
        <v>0.77941177941176476</v>
      </c>
      <c r="I6" s="30">
        <f>1-H6</f>
        <v>0.22058822058823524</v>
      </c>
      <c r="J6" s="25">
        <v>7.9</v>
      </c>
      <c r="K6" s="2"/>
      <c r="L6" s="2"/>
      <c r="M6" s="2"/>
      <c r="N6" s="2"/>
      <c r="O6" s="2"/>
    </row>
    <row r="7" spans="1:15">
      <c r="A7" s="25" t="s">
        <v>57</v>
      </c>
      <c r="B7" s="25"/>
      <c r="C7" s="28"/>
      <c r="D7" s="25"/>
      <c r="H7" s="31">
        <f>H5*$J6</f>
        <v>11.63739727839706</v>
      </c>
      <c r="I7" s="31">
        <f>I5*$J6</f>
        <v>3.2936027216029404</v>
      </c>
      <c r="J7" s="29">
        <f>J5*$J6</f>
        <v>14.930999999999999</v>
      </c>
      <c r="K7" s="2"/>
      <c r="L7" s="2"/>
      <c r="M7" s="2"/>
      <c r="N7" s="2"/>
      <c r="O7" s="2"/>
    </row>
    <row r="8" spans="1:15">
      <c r="A8" s="25" t="s">
        <v>60</v>
      </c>
      <c r="B8" s="32">
        <f>9.98/(9.98+5.05)</f>
        <v>0.66400532268795742</v>
      </c>
      <c r="C8" s="28"/>
      <c r="D8" s="25" t="s">
        <v>188</v>
      </c>
      <c r="H8" s="7" t="s">
        <v>56</v>
      </c>
      <c r="I8" s="2"/>
      <c r="J8" s="2"/>
      <c r="K8" s="2"/>
      <c r="L8" s="2"/>
      <c r="M8" s="2"/>
      <c r="N8" s="2"/>
      <c r="O8" s="7"/>
    </row>
    <row r="9" spans="1:15">
      <c r="A9" s="25" t="s">
        <v>63</v>
      </c>
      <c r="B9" s="27" t="s">
        <v>64</v>
      </c>
      <c r="C9" s="28"/>
      <c r="D9" s="27" t="s">
        <v>65</v>
      </c>
      <c r="H9" s="26">
        <f>(DHWTemp_F-32)*5/9</f>
        <v>48.888888888888886</v>
      </c>
      <c r="I9" s="26">
        <f>(I4-32)*5/9</f>
        <v>12.777777777777779</v>
      </c>
      <c r="J9" s="26">
        <f>(J4-32)*5/9</f>
        <v>40.923203145424836</v>
      </c>
      <c r="K9" s="7" t="s">
        <v>58</v>
      </c>
      <c r="L9" s="33">
        <f>J10-((J10-(J9*(J10/H9)))/(1-(I9/H9)))</f>
        <v>5.5762456699694312</v>
      </c>
      <c r="M9" s="7" t="s">
        <v>59</v>
      </c>
      <c r="N9" s="34">
        <f>DHW_C*(L9^-DHW_n)</f>
        <v>1.3875646668044308</v>
      </c>
      <c r="O9" s="39"/>
    </row>
    <row r="10" spans="1:15" ht="13.5" thickBot="1">
      <c r="A10" s="25" t="s">
        <v>67</v>
      </c>
      <c r="B10" s="32">
        <f>Effectiveness_Config2</f>
        <v>0.54155557682225286</v>
      </c>
      <c r="C10" s="28"/>
      <c r="D10" s="27" t="s">
        <v>68</v>
      </c>
      <c r="H10" s="29">
        <f>H5/$K$14</f>
        <v>5.5762456699694312</v>
      </c>
      <c r="I10" s="31">
        <f>I5/$K14</f>
        <v>1.5781826017945879</v>
      </c>
      <c r="J10" s="31">
        <f>J5/$K14</f>
        <v>7.1544282717640186</v>
      </c>
      <c r="K10" s="7" t="s">
        <v>61</v>
      </c>
      <c r="L10" s="35">
        <f>J10</f>
        <v>7.1544282717640186</v>
      </c>
      <c r="M10" s="7" t="s">
        <v>62</v>
      </c>
      <c r="N10" s="34">
        <f>DHW_C*(L10^-DHW_n)</f>
        <v>1.1812894855791101</v>
      </c>
      <c r="O10" s="39"/>
    </row>
    <row r="11" spans="1:15">
      <c r="A11" s="25" t="s">
        <v>70</v>
      </c>
      <c r="B11" s="32">
        <f>Effectiveness_Config1</f>
        <v>0.48093922428502156</v>
      </c>
      <c r="C11" s="28"/>
      <c r="D11" s="27" t="s">
        <v>68</v>
      </c>
      <c r="E11" s="2"/>
      <c r="F11" s="2"/>
      <c r="G11" s="2"/>
      <c r="H11" s="32">
        <f>H6</f>
        <v>0.77941177941176476</v>
      </c>
      <c r="I11" s="32">
        <f>I6</f>
        <v>0.22058822058823524</v>
      </c>
      <c r="J11" s="31">
        <f>J6/$K$14</f>
        <v>29.904753093616801</v>
      </c>
      <c r="K11" s="7" t="s">
        <v>66</v>
      </c>
      <c r="L11" s="36">
        <f>(1^-(-N9*(1-(L9/L10))))/(1+((L9/L10)^(-N9*(1-(L9/L10)))))</f>
        <v>0.48093922428502156</v>
      </c>
      <c r="M11" s="2"/>
      <c r="N11" s="37"/>
      <c r="O11" s="39"/>
    </row>
    <row r="12" spans="1:15" ht="13.5" thickBot="1">
      <c r="A12" s="2"/>
      <c r="B12" s="2"/>
      <c r="C12" s="2"/>
      <c r="D12" s="2"/>
      <c r="E12" s="2"/>
      <c r="F12" s="2"/>
      <c r="G12" s="2"/>
      <c r="H12" s="31">
        <f>H7/$K$14</f>
        <v>44.052340792758507</v>
      </c>
      <c r="I12" s="31">
        <f>I7/$K$14</f>
        <v>12.467642554177246</v>
      </c>
      <c r="J12" s="31">
        <f>J7/$K$14</f>
        <v>56.519983346935746</v>
      </c>
      <c r="K12" s="7" t="s">
        <v>69</v>
      </c>
      <c r="L12" s="38">
        <f>N10/(1+N10)</f>
        <v>0.54155557682225286</v>
      </c>
      <c r="M12" s="2"/>
      <c r="N12" s="37"/>
      <c r="O12" s="39"/>
    </row>
    <row r="13" spans="1:15" ht="63.75">
      <c r="A13" s="41" t="s">
        <v>71</v>
      </c>
      <c r="B13" s="42" t="s">
        <v>72</v>
      </c>
      <c r="C13" s="42" t="s">
        <v>73</v>
      </c>
      <c r="D13" s="43" t="s">
        <v>74</v>
      </c>
      <c r="E13" s="44" t="s">
        <v>75</v>
      </c>
      <c r="F13" s="44" t="s">
        <v>75</v>
      </c>
      <c r="G13" s="2"/>
      <c r="O13" s="39"/>
    </row>
    <row r="14" spans="1:15">
      <c r="A14" s="45" t="s">
        <v>76</v>
      </c>
      <c r="B14" s="46" t="str">
        <f>B9</f>
        <v>NA</v>
      </c>
      <c r="C14" s="47" t="s">
        <v>64</v>
      </c>
      <c r="D14" s="48" t="s">
        <v>64</v>
      </c>
      <c r="E14" s="7" t="s">
        <v>77</v>
      </c>
      <c r="F14" s="2">
        <v>3</v>
      </c>
      <c r="G14" s="2"/>
      <c r="J14" s="7" t="s">
        <v>99</v>
      </c>
      <c r="K14" s="58">
        <v>0.26417205235800001</v>
      </c>
      <c r="O14" s="2"/>
    </row>
    <row r="15" spans="1:15">
      <c r="A15" s="45" t="s">
        <v>78</v>
      </c>
      <c r="B15" s="46" t="str">
        <f>B9</f>
        <v>NA</v>
      </c>
      <c r="C15" s="47" t="s">
        <v>64</v>
      </c>
      <c r="D15" s="48" t="s">
        <v>64</v>
      </c>
      <c r="E15" s="7" t="s">
        <v>77</v>
      </c>
      <c r="F15" s="2">
        <v>3</v>
      </c>
      <c r="G15" s="2"/>
      <c r="H15" s="2"/>
      <c r="I15" s="2"/>
      <c r="J15" s="2"/>
      <c r="K15" s="2"/>
      <c r="L15" s="2"/>
      <c r="M15" s="2"/>
      <c r="N15" s="2"/>
      <c r="O15" s="2"/>
    </row>
    <row r="16" spans="1:15">
      <c r="A16" s="45" t="s">
        <v>79</v>
      </c>
      <c r="B16" s="32">
        <f>Effectiveness_Config1</f>
        <v>0.48093922428502156</v>
      </c>
      <c r="C16" s="49">
        <f>D68</f>
        <v>747.87651954477019</v>
      </c>
      <c r="D16" s="50">
        <f>C16*B16*$B$8</f>
        <v>238.83152818662796</v>
      </c>
      <c r="E16" s="7" t="s">
        <v>80</v>
      </c>
      <c r="F16" s="7">
        <v>1</v>
      </c>
      <c r="G16" s="7"/>
    </row>
    <row r="17" spans="1:15">
      <c r="A17" s="45" t="s">
        <v>81</v>
      </c>
      <c r="B17" s="32">
        <f>Effectiveness_Config2</f>
        <v>0.54155557682225286</v>
      </c>
      <c r="C17" s="49">
        <f>E68</f>
        <v>318.66043006690205</v>
      </c>
      <c r="D17" s="50">
        <f>C17*B17*$B$8</f>
        <v>114.58894767084345</v>
      </c>
      <c r="E17" s="7" t="s">
        <v>82</v>
      </c>
      <c r="F17" s="7">
        <v>2</v>
      </c>
      <c r="G17" s="7"/>
    </row>
    <row r="18" spans="1:15">
      <c r="A18" s="45" t="s">
        <v>83</v>
      </c>
      <c r="B18" s="32">
        <f>Effectiveness_Config1</f>
        <v>0.48093922428502156</v>
      </c>
      <c r="C18" s="49">
        <f>D68</f>
        <v>747.87651954477019</v>
      </c>
      <c r="D18" s="50">
        <f>C18*B18*$B$8</f>
        <v>238.83152818662796</v>
      </c>
      <c r="E18" s="7" t="s">
        <v>80</v>
      </c>
      <c r="F18" s="7">
        <v>1</v>
      </c>
      <c r="G18" s="7"/>
    </row>
    <row r="19" spans="1:15">
      <c r="A19" s="51" t="s">
        <v>84</v>
      </c>
      <c r="B19" s="32">
        <f>Effectiveness_Config2</f>
        <v>0.54155557682225286</v>
      </c>
      <c r="C19" s="52">
        <f>E68</f>
        <v>318.66043006690205</v>
      </c>
      <c r="D19" s="53">
        <f>C19*B19*$B$8</f>
        <v>114.58894767084345</v>
      </c>
      <c r="E19" s="7" t="s">
        <v>82</v>
      </c>
      <c r="F19" s="7">
        <v>2</v>
      </c>
      <c r="G19" s="7"/>
    </row>
    <row r="20" spans="1:15">
      <c r="A20" s="2"/>
      <c r="B20" s="2"/>
      <c r="C20" s="2"/>
      <c r="D20" s="2"/>
      <c r="E20" s="2"/>
      <c r="F20" s="2"/>
      <c r="G20" s="2"/>
    </row>
    <row r="21" spans="1:15">
      <c r="A21" s="7" t="s">
        <v>85</v>
      </c>
      <c r="B21" s="2"/>
      <c r="C21" s="2"/>
      <c r="D21" s="2"/>
      <c r="E21" s="2"/>
      <c r="F21" s="2"/>
      <c r="G21" s="2"/>
    </row>
    <row r="22" spans="1:15">
      <c r="A22" s="2"/>
      <c r="B22" s="2"/>
      <c r="C22" s="2"/>
      <c r="D22" s="2"/>
      <c r="E22" s="2"/>
      <c r="F22" s="2"/>
      <c r="G22" s="2"/>
    </row>
    <row r="23" spans="1:15">
      <c r="A23" s="2" t="str">
        <f>INDEX($A$26:$C$31,$A$24,1)</f>
        <v>GFX G3-60</v>
      </c>
      <c r="B23" s="2">
        <f>INDEX($A$26:$C$31,$A$24,2)</f>
        <v>4.2096</v>
      </c>
      <c r="C23" s="2">
        <f>INDEX($A$26:$C$31,$A$24,3)</f>
        <v>0.64580000000000004</v>
      </c>
      <c r="D23" s="2"/>
      <c r="E23" s="7"/>
      <c r="F23" s="54"/>
      <c r="G23" s="2"/>
    </row>
    <row r="24" spans="1:15">
      <c r="A24" s="2">
        <v>2</v>
      </c>
      <c r="B24" s="2"/>
      <c r="C24" s="2"/>
      <c r="D24" s="2"/>
      <c r="E24" s="7"/>
      <c r="F24" s="2"/>
      <c r="G24" s="7"/>
    </row>
    <row r="25" spans="1:15">
      <c r="A25" s="55" t="s">
        <v>86</v>
      </c>
      <c r="B25" s="55" t="s">
        <v>87</v>
      </c>
      <c r="C25" s="55" t="s">
        <v>88</v>
      </c>
      <c r="D25" s="7" t="s">
        <v>89</v>
      </c>
      <c r="E25" s="7"/>
      <c r="F25" s="2"/>
      <c r="G25" s="2"/>
      <c r="H25" s="2"/>
      <c r="I25" s="2"/>
      <c r="J25" s="2"/>
      <c r="K25" s="2"/>
      <c r="L25" s="2"/>
      <c r="M25" s="2"/>
      <c r="N25" s="2"/>
      <c r="O25" s="2"/>
    </row>
    <row r="26" spans="1:15">
      <c r="A26" s="27" t="s">
        <v>90</v>
      </c>
      <c r="B26" s="25">
        <v>3.7669000000000001</v>
      </c>
      <c r="C26" s="25">
        <v>0.6452</v>
      </c>
      <c r="D26" s="7" t="s">
        <v>91</v>
      </c>
      <c r="E26" s="7"/>
      <c r="F26" s="37"/>
      <c r="G26" s="7"/>
      <c r="H26" s="2"/>
      <c r="I26" s="2"/>
      <c r="J26" s="2"/>
      <c r="K26" s="2"/>
      <c r="L26" s="2"/>
      <c r="M26" s="2"/>
      <c r="N26" s="2"/>
      <c r="O26" s="2"/>
    </row>
    <row r="27" spans="1:15">
      <c r="A27" s="27" t="s">
        <v>92</v>
      </c>
      <c r="B27" s="25">
        <v>4.2096</v>
      </c>
      <c r="C27" s="25">
        <v>0.64580000000000004</v>
      </c>
      <c r="D27" s="7" t="s">
        <v>93</v>
      </c>
      <c r="E27" s="7"/>
      <c r="F27" s="7"/>
      <c r="G27" s="7"/>
      <c r="H27" s="2"/>
      <c r="I27" s="2"/>
      <c r="J27" s="2"/>
      <c r="K27" s="2"/>
      <c r="L27" s="2"/>
      <c r="M27" s="2"/>
      <c r="N27" s="2"/>
      <c r="O27" s="2"/>
    </row>
    <row r="28" spans="1:15">
      <c r="A28" s="27" t="s">
        <v>94</v>
      </c>
      <c r="B28" s="25">
        <v>3.4053</v>
      </c>
      <c r="C28" s="25">
        <v>0.70279999999999998</v>
      </c>
      <c r="D28" s="2"/>
      <c r="E28" s="2"/>
      <c r="F28" s="37"/>
      <c r="G28" s="2"/>
      <c r="H28" s="2"/>
      <c r="I28" s="2"/>
      <c r="J28" s="2"/>
      <c r="K28" s="2"/>
      <c r="L28" s="2"/>
      <c r="M28" s="2"/>
      <c r="N28" s="2"/>
      <c r="O28" s="2"/>
    </row>
    <row r="29" spans="1:15">
      <c r="A29" s="27" t="s">
        <v>95</v>
      </c>
      <c r="B29" s="56">
        <v>3.0710000000000002</v>
      </c>
      <c r="C29" s="25">
        <v>0.59960000000000002</v>
      </c>
      <c r="D29" s="2"/>
      <c r="E29" s="7"/>
      <c r="F29" s="2"/>
      <c r="G29" s="7"/>
      <c r="H29" s="57"/>
      <c r="I29" s="2"/>
      <c r="J29" s="2"/>
      <c r="K29" s="2"/>
      <c r="L29" s="2"/>
      <c r="M29" s="2"/>
      <c r="N29" s="2"/>
      <c r="O29" s="2"/>
    </row>
    <row r="30" spans="1:15">
      <c r="A30" s="27" t="s">
        <v>96</v>
      </c>
      <c r="B30" s="25">
        <v>2.8868999999999998</v>
      </c>
      <c r="C30" s="25">
        <v>0.72189999999999999</v>
      </c>
      <c r="D30" s="2"/>
      <c r="E30" s="2"/>
      <c r="F30" s="2"/>
      <c r="G30" s="7"/>
      <c r="H30" s="2"/>
      <c r="I30" s="2"/>
      <c r="J30" s="2"/>
      <c r="K30" s="2"/>
      <c r="L30" s="2"/>
      <c r="M30" s="2"/>
      <c r="N30" s="2"/>
      <c r="O30" s="2"/>
    </row>
    <row r="31" spans="1:15">
      <c r="A31" s="27" t="s">
        <v>97</v>
      </c>
      <c r="B31" s="25">
        <v>4.7622</v>
      </c>
      <c r="C31" s="25">
        <v>0.63549999999999995</v>
      </c>
      <c r="D31" s="2"/>
      <c r="E31" s="2"/>
      <c r="F31" s="2"/>
      <c r="G31" s="7"/>
      <c r="H31" s="2"/>
      <c r="I31" s="2"/>
      <c r="J31" s="2"/>
      <c r="K31" s="2"/>
      <c r="L31" s="2"/>
      <c r="M31" s="2"/>
      <c r="N31" s="2"/>
      <c r="O31" s="2"/>
    </row>
    <row r="32" spans="1:15">
      <c r="A32" s="7" t="s">
        <v>98</v>
      </c>
      <c r="B32" s="2"/>
      <c r="C32" s="2"/>
      <c r="D32" s="2"/>
      <c r="E32" s="2"/>
      <c r="F32" s="2"/>
      <c r="G32" s="7"/>
      <c r="H32" s="2"/>
      <c r="I32" s="2"/>
      <c r="J32" s="2"/>
      <c r="K32" s="2"/>
      <c r="L32" s="2"/>
      <c r="M32" s="2"/>
      <c r="N32" s="2"/>
      <c r="O32" s="2"/>
    </row>
    <row r="33" spans="1:15">
      <c r="A33" s="2"/>
      <c r="D33" s="40"/>
      <c r="E33" s="2"/>
      <c r="F33" s="2"/>
      <c r="G33" s="2"/>
      <c r="H33" s="2"/>
      <c r="I33" s="2"/>
      <c r="J33" s="2"/>
      <c r="K33" s="2"/>
      <c r="L33" s="2"/>
      <c r="M33" s="2"/>
      <c r="N33" s="2"/>
      <c r="O33" s="2"/>
    </row>
    <row r="34" spans="1:15">
      <c r="A34" s="7"/>
      <c r="B34" s="59"/>
      <c r="C34" s="2"/>
      <c r="D34" s="2"/>
      <c r="E34" s="2"/>
      <c r="F34" s="59"/>
      <c r="G34" s="2"/>
      <c r="H34" s="2"/>
      <c r="I34" s="59"/>
      <c r="J34" s="2"/>
      <c r="K34" s="2"/>
      <c r="L34" s="2"/>
      <c r="M34" s="2"/>
      <c r="N34" s="2"/>
      <c r="O34" s="2"/>
    </row>
    <row r="35" spans="1:15">
      <c r="A35" s="7"/>
      <c r="B35" s="59"/>
      <c r="C35" s="2"/>
      <c r="D35" s="2"/>
      <c r="E35" s="2"/>
      <c r="F35" s="59"/>
      <c r="G35" s="2"/>
      <c r="H35" s="2"/>
      <c r="I35" s="59"/>
      <c r="J35" s="2"/>
      <c r="K35" s="2"/>
      <c r="L35" s="2"/>
      <c r="M35" s="2"/>
      <c r="N35" s="2"/>
      <c r="O35" s="2"/>
    </row>
    <row r="36" spans="1:15" ht="15">
      <c r="A36" s="61" t="s">
        <v>100</v>
      </c>
      <c r="B36" s="61"/>
      <c r="C36" s="61"/>
      <c r="D36" s="61"/>
      <c r="E36" s="61"/>
      <c r="F36" s="61"/>
      <c r="G36" s="61"/>
      <c r="H36" s="61"/>
      <c r="I36" s="61"/>
      <c r="J36" s="61"/>
      <c r="K36" s="61"/>
      <c r="L36" s="2"/>
      <c r="M36" s="2"/>
      <c r="N36" s="2"/>
      <c r="O36" s="2"/>
    </row>
    <row r="37" spans="1:15" ht="15">
      <c r="A37" s="62" t="s">
        <v>101</v>
      </c>
      <c r="B37" s="63"/>
      <c r="C37" s="63"/>
      <c r="D37" s="63"/>
      <c r="E37" s="63"/>
      <c r="F37" s="63"/>
      <c r="G37" s="64"/>
      <c r="H37" s="63"/>
      <c r="I37" s="63"/>
      <c r="J37" s="63"/>
      <c r="K37" s="63"/>
      <c r="L37" s="2"/>
      <c r="M37" s="2"/>
      <c r="N37" s="2"/>
      <c r="O37" s="2"/>
    </row>
    <row r="38" spans="1:15" ht="15.75" thickBot="1">
      <c r="A38" s="65"/>
      <c r="B38" s="61"/>
      <c r="C38" s="61"/>
      <c r="D38" s="61"/>
      <c r="E38" s="61"/>
      <c r="F38" s="61"/>
      <c r="G38" s="61"/>
      <c r="H38" s="66" t="s">
        <v>102</v>
      </c>
      <c r="I38" s="61"/>
      <c r="J38" s="61"/>
      <c r="K38" s="61"/>
      <c r="L38" s="2"/>
      <c r="M38" s="2"/>
      <c r="N38" s="2"/>
      <c r="O38" s="2"/>
    </row>
    <row r="39" spans="1:15" ht="16.5" thickTop="1" thickBot="1">
      <c r="A39" s="61"/>
      <c r="B39" s="266" t="s">
        <v>103</v>
      </c>
      <c r="C39" s="267"/>
      <c r="D39" s="266" t="s">
        <v>104</v>
      </c>
      <c r="E39" s="267"/>
      <c r="F39" s="266" t="s">
        <v>105</v>
      </c>
      <c r="G39" s="267"/>
      <c r="H39" s="61" t="s">
        <v>106</v>
      </c>
      <c r="I39" s="61"/>
      <c r="J39" s="61"/>
      <c r="K39" s="61"/>
      <c r="L39" s="2"/>
      <c r="M39" s="2"/>
      <c r="N39" s="2"/>
      <c r="O39" s="2"/>
    </row>
    <row r="40" spans="1:15" ht="46.5" thickTop="1" thickBot="1">
      <c r="A40" s="67" t="s">
        <v>107</v>
      </c>
      <c r="B40" s="68" t="s">
        <v>108</v>
      </c>
      <c r="C40" s="68" t="s">
        <v>109</v>
      </c>
      <c r="D40" s="68" t="s">
        <v>110</v>
      </c>
      <c r="E40" s="68" t="s">
        <v>111</v>
      </c>
      <c r="F40" s="68" t="s">
        <v>112</v>
      </c>
      <c r="G40" s="69" t="s">
        <v>113</v>
      </c>
      <c r="H40" s="66" t="s">
        <v>114</v>
      </c>
      <c r="I40" s="61"/>
      <c r="J40" s="61"/>
      <c r="K40" s="70"/>
      <c r="L40" s="2"/>
      <c r="M40" s="2"/>
      <c r="N40" s="2"/>
      <c r="O40" s="2"/>
    </row>
    <row r="41" spans="1:15" ht="16.5" thickTop="1" thickBot="1">
      <c r="A41" s="71">
        <v>2.5</v>
      </c>
      <c r="B41" s="72">
        <v>2.2000000000000002</v>
      </c>
      <c r="C41" s="73">
        <v>0.9</v>
      </c>
      <c r="D41" s="74">
        <v>7.84</v>
      </c>
      <c r="E41" s="73">
        <v>1</v>
      </c>
      <c r="F41" s="75">
        <v>0.73099999999999998</v>
      </c>
      <c r="G41" s="76">
        <f>55*(1-F41)+128*(F41)</f>
        <v>108.363</v>
      </c>
      <c r="H41" s="77" t="s">
        <v>115</v>
      </c>
      <c r="I41" s="61"/>
      <c r="J41" s="61"/>
      <c r="K41" s="61"/>
      <c r="L41" s="2"/>
      <c r="M41" s="2"/>
      <c r="N41" s="2"/>
      <c r="O41" s="2"/>
    </row>
    <row r="42" spans="1:15" ht="16.5" thickTop="1" thickBot="1">
      <c r="A42" s="78">
        <v>2</v>
      </c>
      <c r="B42" s="72">
        <f>A42*C42</f>
        <v>1.8</v>
      </c>
      <c r="C42" s="73">
        <v>0.9</v>
      </c>
      <c r="D42" s="72">
        <f>E42*$D$41</f>
        <v>7.84</v>
      </c>
      <c r="E42" s="73">
        <v>1</v>
      </c>
      <c r="F42" s="75">
        <v>0.755</v>
      </c>
      <c r="G42" s="76">
        <f>55*(1-F42)+128*(F42)</f>
        <v>110.11499999999999</v>
      </c>
      <c r="H42" s="79" t="s">
        <v>116</v>
      </c>
      <c r="I42" s="61"/>
      <c r="J42" s="61"/>
      <c r="K42" s="61"/>
      <c r="L42" s="2"/>
      <c r="M42" s="2"/>
      <c r="N42" s="2"/>
      <c r="O42" s="2"/>
    </row>
    <row r="43" spans="1:15" ht="16.5" thickTop="1" thickBot="1">
      <c r="A43" s="78">
        <v>1.75</v>
      </c>
      <c r="B43" s="72">
        <f>A43*C43</f>
        <v>1.575</v>
      </c>
      <c r="C43" s="73">
        <v>0.9</v>
      </c>
      <c r="D43" s="72">
        <f>E43*$D$41</f>
        <v>7.84</v>
      </c>
      <c r="E43" s="73">
        <v>1</v>
      </c>
      <c r="F43" s="80">
        <f>F42+((B42-B43)*($F$42-$F$41)/($B$41-$B$42))</f>
        <v>0.76850000000000007</v>
      </c>
      <c r="G43" s="76">
        <f>55*(1-F43)+128*(F43)</f>
        <v>111.10050000000001</v>
      </c>
      <c r="H43" s="61" t="s">
        <v>117</v>
      </c>
      <c r="I43" s="61"/>
      <c r="J43" s="61"/>
      <c r="K43" s="61"/>
      <c r="L43" s="2"/>
      <c r="M43" s="2"/>
      <c r="N43" s="2"/>
      <c r="O43" s="2"/>
    </row>
    <row r="44" spans="1:15" ht="16.5" thickTop="1" thickBot="1">
      <c r="A44" s="78">
        <v>1.5</v>
      </c>
      <c r="B44" s="72">
        <f>A44*C44</f>
        <v>1.35</v>
      </c>
      <c r="C44" s="73">
        <v>0.9</v>
      </c>
      <c r="D44" s="72">
        <f>E44*$D$41</f>
        <v>7.84</v>
      </c>
      <c r="E44" s="73">
        <v>1</v>
      </c>
      <c r="F44" s="80">
        <f>F43+((B43-B44)*($F$42-$F$41)/($B$41-$B$42))</f>
        <v>0.78200000000000003</v>
      </c>
      <c r="G44" s="76">
        <f>55*(1-F44)+128*(F44)</f>
        <v>112.086</v>
      </c>
      <c r="H44" s="66" t="s">
        <v>118</v>
      </c>
      <c r="I44" s="61"/>
      <c r="J44" s="61"/>
      <c r="K44" s="61"/>
      <c r="L44" s="2"/>
      <c r="M44" s="2"/>
      <c r="N44" s="2"/>
      <c r="O44" s="2"/>
    </row>
    <row r="45" spans="1:15" ht="15.75" thickTop="1">
      <c r="A45" s="61"/>
      <c r="B45" s="61"/>
      <c r="C45" s="61"/>
      <c r="D45" s="61"/>
      <c r="E45" s="61"/>
      <c r="F45" s="61"/>
      <c r="G45" s="61"/>
      <c r="H45" s="61" t="s">
        <v>119</v>
      </c>
      <c r="I45" s="61"/>
      <c r="J45" s="61"/>
      <c r="K45" s="61"/>
      <c r="L45" s="2"/>
      <c r="M45" s="2"/>
      <c r="N45" s="2"/>
      <c r="O45" s="2"/>
    </row>
    <row r="46" spans="1:15" ht="15">
      <c r="A46" s="61"/>
      <c r="B46" s="61"/>
      <c r="C46" s="61"/>
      <c r="D46" s="61"/>
      <c r="E46" s="61"/>
      <c r="F46" s="61"/>
      <c r="G46" s="61"/>
      <c r="H46" s="81" t="s">
        <v>120</v>
      </c>
      <c r="I46" s="61"/>
      <c r="J46" s="61"/>
      <c r="K46" s="61"/>
      <c r="L46" s="2"/>
      <c r="M46" s="2"/>
      <c r="N46" s="2"/>
      <c r="O46" s="2"/>
    </row>
    <row r="47" spans="1:15" ht="15">
      <c r="A47" s="61"/>
      <c r="B47" s="61"/>
      <c r="C47" s="61"/>
      <c r="D47" s="61"/>
      <c r="E47" s="61"/>
      <c r="F47" s="61"/>
      <c r="G47" s="61"/>
      <c r="H47" s="81"/>
      <c r="I47" s="61"/>
      <c r="J47" s="61"/>
      <c r="K47" s="61"/>
      <c r="L47" s="2"/>
      <c r="M47" s="2"/>
      <c r="N47" s="2"/>
      <c r="O47" s="2"/>
    </row>
    <row r="48" spans="1:15">
      <c r="A48" s="2"/>
      <c r="B48" s="2"/>
      <c r="C48" s="2"/>
      <c r="D48" s="2"/>
      <c r="E48" s="2"/>
      <c r="F48" s="2"/>
      <c r="G48" s="2"/>
      <c r="H48" s="2"/>
      <c r="I48" s="2"/>
      <c r="J48" s="2"/>
      <c r="K48" s="2"/>
      <c r="L48" s="2"/>
      <c r="M48" s="2"/>
      <c r="N48" s="2"/>
      <c r="O48" s="2"/>
    </row>
    <row r="49" spans="1:15">
      <c r="A49" s="2"/>
      <c r="B49" s="2"/>
      <c r="C49" s="2"/>
      <c r="D49" s="2"/>
      <c r="E49" s="2"/>
      <c r="F49" s="2"/>
      <c r="G49" s="2"/>
      <c r="H49" s="2"/>
      <c r="I49" s="2"/>
      <c r="J49" s="2"/>
      <c r="K49" s="2"/>
      <c r="L49" s="2"/>
      <c r="M49" s="2"/>
      <c r="N49" s="2"/>
      <c r="O49" s="2"/>
    </row>
    <row r="50" spans="1:15" ht="13.5" thickBot="1">
      <c r="A50" s="82" t="s">
        <v>121</v>
      </c>
      <c r="B50" s="83"/>
      <c r="C50" s="84"/>
      <c r="D50" s="84"/>
      <c r="E50" s="60"/>
      <c r="F50" s="60"/>
      <c r="G50" s="60"/>
      <c r="H50" s="2"/>
      <c r="I50" s="2"/>
      <c r="J50" s="2"/>
      <c r="K50" s="2"/>
      <c r="L50" s="2"/>
      <c r="M50" s="2"/>
      <c r="N50" s="2"/>
      <c r="O50" s="2"/>
    </row>
    <row r="51" spans="1:15" ht="16.5" thickTop="1" thickBot="1">
      <c r="A51" s="85" t="s">
        <v>12</v>
      </c>
      <c r="B51" s="268" t="s">
        <v>184</v>
      </c>
      <c r="C51" s="268"/>
      <c r="D51" s="268"/>
      <c r="E51" s="60" t="s">
        <v>122</v>
      </c>
      <c r="F51" s="60"/>
      <c r="G51" s="60"/>
      <c r="H51" s="2"/>
      <c r="I51" s="2"/>
      <c r="J51" s="2"/>
      <c r="K51" s="2"/>
      <c r="L51" s="2"/>
      <c r="M51" s="2"/>
      <c r="N51" s="2"/>
      <c r="O51" s="2"/>
    </row>
    <row r="52" spans="1:15" ht="16.5" thickTop="1" thickBot="1">
      <c r="A52" s="85" t="s">
        <v>123</v>
      </c>
      <c r="B52" s="67" t="s">
        <v>124</v>
      </c>
      <c r="C52" s="67" t="s">
        <v>125</v>
      </c>
      <c r="D52" s="67" t="s">
        <v>126</v>
      </c>
      <c r="E52" s="86" t="s">
        <v>126</v>
      </c>
      <c r="F52" s="60"/>
      <c r="G52" s="60"/>
      <c r="H52" s="2"/>
      <c r="I52" s="2"/>
      <c r="J52" s="2"/>
      <c r="K52" s="2"/>
      <c r="L52" s="2"/>
      <c r="M52" s="2"/>
      <c r="N52" s="2"/>
      <c r="O52" s="2"/>
    </row>
    <row r="53" spans="1:15" ht="14.25" thickTop="1" thickBot="1">
      <c r="A53" s="87" t="s">
        <v>127</v>
      </c>
      <c r="B53" s="87">
        <v>0.55000000000000004</v>
      </c>
      <c r="C53" s="87">
        <v>0.55000000000000004</v>
      </c>
      <c r="D53" s="87">
        <v>0.55000000000000004</v>
      </c>
      <c r="E53" s="87">
        <v>0.55000000000000004</v>
      </c>
      <c r="F53" s="60"/>
      <c r="G53" s="60"/>
      <c r="H53" s="2"/>
      <c r="I53" s="2"/>
      <c r="J53" s="2"/>
      <c r="K53" s="2"/>
      <c r="L53" s="2"/>
      <c r="M53" s="2"/>
      <c r="N53" s="2"/>
      <c r="O53" s="2"/>
    </row>
    <row r="54" spans="1:15" ht="14.25" thickTop="1" thickBot="1">
      <c r="A54" s="87" t="s">
        <v>128</v>
      </c>
      <c r="B54" s="87">
        <v>350</v>
      </c>
      <c r="C54" s="87">
        <v>350</v>
      </c>
      <c r="D54" s="87">
        <v>350</v>
      </c>
      <c r="E54" s="87">
        <v>350</v>
      </c>
      <c r="F54" s="60"/>
      <c r="G54" s="60"/>
      <c r="H54" s="2"/>
      <c r="I54" s="2"/>
      <c r="J54" s="2"/>
      <c r="K54" s="2"/>
      <c r="L54" s="2"/>
      <c r="M54" s="2"/>
      <c r="N54" s="2"/>
      <c r="O54" s="2"/>
    </row>
    <row r="55" spans="1:15" ht="14.25" thickTop="1" thickBot="1">
      <c r="A55" s="87" t="s">
        <v>129</v>
      </c>
      <c r="B55" s="87">
        <v>2.5099999999999998</v>
      </c>
      <c r="C55" s="87">
        <v>2.5099999999999998</v>
      </c>
      <c r="D55" s="87">
        <v>2.5099999999999998</v>
      </c>
      <c r="E55" s="87">
        <v>2.5099999999999998</v>
      </c>
      <c r="F55" s="60"/>
      <c r="G55" s="60"/>
      <c r="H55" s="2"/>
      <c r="I55" s="2"/>
      <c r="J55" s="2"/>
      <c r="K55" s="2"/>
      <c r="L55" s="2"/>
      <c r="M55" s="2"/>
      <c r="N55" s="2"/>
      <c r="O55" s="2"/>
    </row>
    <row r="56" spans="1:15" ht="14.25" thickTop="1" thickBot="1">
      <c r="A56" s="87" t="s">
        <v>130</v>
      </c>
      <c r="B56" s="88">
        <f>D42</f>
        <v>7.84</v>
      </c>
      <c r="C56" s="88">
        <f>D43</f>
        <v>7.84</v>
      </c>
      <c r="D56" s="88">
        <f>D44</f>
        <v>7.84</v>
      </c>
      <c r="E56" s="88">
        <f>D44</f>
        <v>7.84</v>
      </c>
      <c r="F56" s="60"/>
      <c r="G56" s="60"/>
      <c r="H56" s="2"/>
      <c r="I56" s="2"/>
      <c r="J56" s="2"/>
      <c r="K56" s="2"/>
      <c r="L56" s="2"/>
      <c r="M56" s="2"/>
      <c r="N56" s="2"/>
      <c r="O56" s="2"/>
    </row>
    <row r="57" spans="1:15" ht="14.25" thickTop="1" thickBot="1">
      <c r="A57" s="87" t="s">
        <v>131</v>
      </c>
      <c r="B57" s="89">
        <f>B53*B54*B55*B56</f>
        <v>3788.0920000000001</v>
      </c>
      <c r="C57" s="89">
        <f>C53*C54*C55*C56</f>
        <v>3788.0920000000001</v>
      </c>
      <c r="D57" s="89">
        <f>D53*D54*D55*D56</f>
        <v>3788.0920000000001</v>
      </c>
      <c r="E57" s="89">
        <f>E53*E54*E55*E56</f>
        <v>3788.0920000000001</v>
      </c>
      <c r="F57" s="60"/>
      <c r="G57" s="60"/>
      <c r="H57" s="2"/>
      <c r="I57" s="2"/>
      <c r="J57" s="2"/>
      <c r="K57" s="2"/>
      <c r="L57" s="2"/>
      <c r="M57" s="2"/>
      <c r="N57" s="2"/>
      <c r="O57" s="2"/>
    </row>
    <row r="58" spans="1:15" ht="14.25" thickTop="1" thickBot="1">
      <c r="A58" s="87" t="s">
        <v>132</v>
      </c>
      <c r="B58" s="88">
        <f>B42</f>
        <v>1.8</v>
      </c>
      <c r="C58" s="88">
        <f>B43</f>
        <v>1.575</v>
      </c>
      <c r="D58" s="88">
        <f>B44</f>
        <v>1.35</v>
      </c>
      <c r="E58" s="88">
        <f>B44</f>
        <v>1.35</v>
      </c>
      <c r="F58" s="60"/>
      <c r="G58" s="60"/>
      <c r="H58" s="2"/>
      <c r="I58" s="2"/>
      <c r="J58" s="2"/>
      <c r="K58" s="2"/>
      <c r="L58" s="2"/>
      <c r="M58" s="2"/>
      <c r="N58" s="2"/>
      <c r="O58" s="2"/>
    </row>
    <row r="59" spans="1:15" ht="14.25" thickTop="1" thickBot="1">
      <c r="A59" s="87" t="s">
        <v>133</v>
      </c>
      <c r="B59" s="90">
        <f>F42</f>
        <v>0.755</v>
      </c>
      <c r="C59" s="90">
        <f>F43</f>
        <v>0.76850000000000007</v>
      </c>
      <c r="D59" s="90">
        <f>F44</f>
        <v>0.78200000000000003</v>
      </c>
      <c r="E59" s="90">
        <f>F44</f>
        <v>0.78200000000000003</v>
      </c>
      <c r="F59" s="60"/>
      <c r="G59" s="60"/>
      <c r="H59" s="2"/>
      <c r="I59" s="2"/>
      <c r="J59" s="2"/>
      <c r="K59" s="2"/>
      <c r="L59" s="2"/>
      <c r="M59" s="2"/>
      <c r="N59" s="2"/>
      <c r="O59" s="2"/>
    </row>
    <row r="60" spans="1:15" ht="14.25" thickTop="1" thickBot="1">
      <c r="A60" s="87" t="s">
        <v>134</v>
      </c>
      <c r="B60" s="87">
        <v>75</v>
      </c>
      <c r="C60" s="87">
        <v>75</v>
      </c>
      <c r="D60" s="87">
        <v>75</v>
      </c>
      <c r="E60" s="87">
        <v>75</v>
      </c>
      <c r="F60" s="60"/>
      <c r="G60" s="60"/>
      <c r="H60" s="2"/>
      <c r="I60" s="2"/>
      <c r="J60" s="2"/>
      <c r="K60" s="2"/>
      <c r="L60" s="2"/>
      <c r="M60" s="2"/>
      <c r="N60" s="2"/>
      <c r="O60" s="2"/>
    </row>
    <row r="61" spans="1:15" ht="14.25" thickTop="1" thickBot="1">
      <c r="A61" s="87" t="s">
        <v>135</v>
      </c>
      <c r="B61" s="91">
        <f>G42</f>
        <v>110.11499999999999</v>
      </c>
      <c r="C61" s="91">
        <f>G43</f>
        <v>111.10050000000001</v>
      </c>
      <c r="D61" s="91">
        <f>G44</f>
        <v>112.086</v>
      </c>
      <c r="E61" s="91">
        <f>G44</f>
        <v>112.086</v>
      </c>
      <c r="F61" s="60"/>
      <c r="G61" s="60"/>
      <c r="H61" s="2"/>
      <c r="I61" s="2"/>
      <c r="J61" s="2"/>
      <c r="K61" s="2"/>
      <c r="L61" s="2"/>
      <c r="M61" s="2"/>
      <c r="N61" s="2"/>
      <c r="O61" s="2"/>
    </row>
    <row r="62" spans="1:15" ht="14.25" thickTop="1" thickBot="1">
      <c r="A62" s="87" t="s">
        <v>136</v>
      </c>
      <c r="B62" s="92">
        <f>$D$80/$D$76</f>
        <v>2.4934897959183674E-3</v>
      </c>
      <c r="C62" s="92">
        <f>$D$80/$D$76</f>
        <v>2.4934897959183674E-3</v>
      </c>
      <c r="D62" s="92">
        <f>$D$80/$D$76</f>
        <v>2.4934897959183674E-3</v>
      </c>
      <c r="E62" s="92">
        <f>$D$80/$D$77</f>
        <v>1.0624434782608696E-3</v>
      </c>
      <c r="F62" s="60"/>
      <c r="G62" s="60"/>
      <c r="H62" s="2"/>
      <c r="I62" s="2"/>
      <c r="J62" s="2"/>
      <c r="K62" s="2"/>
      <c r="L62" s="2"/>
      <c r="M62" s="2"/>
      <c r="N62" s="2"/>
      <c r="O62" s="2"/>
    </row>
    <row r="63" spans="1:15" ht="14.25" thickTop="1" thickBot="1">
      <c r="A63" s="87" t="s">
        <v>137</v>
      </c>
      <c r="B63" s="92">
        <f>$D$82/$D$78</f>
        <v>1.1119999999999999E-4</v>
      </c>
      <c r="C63" s="92">
        <f>$D$82/$D$78</f>
        <v>1.1119999999999999E-4</v>
      </c>
      <c r="D63" s="92">
        <f>$D$82/$D$78</f>
        <v>1.1119999999999999E-4</v>
      </c>
      <c r="E63" s="92">
        <f>$D$82/$D$78</f>
        <v>1.1119999999999999E-4</v>
      </c>
      <c r="F63" s="60"/>
      <c r="G63" s="60"/>
      <c r="H63" s="2"/>
      <c r="I63" s="2"/>
      <c r="J63" s="2"/>
      <c r="K63" s="2"/>
      <c r="L63" s="2"/>
      <c r="M63" s="2"/>
      <c r="N63" s="2"/>
      <c r="O63" s="2"/>
    </row>
    <row r="64" spans="1:15" ht="14.25" thickTop="1" thickBot="1">
      <c r="A64" s="87" t="s">
        <v>138</v>
      </c>
      <c r="B64" s="89">
        <f>B53*B54*B55*B58*B56</f>
        <v>6818.5655999999999</v>
      </c>
      <c r="C64" s="89">
        <f>C53*C54*C55*C58*C56</f>
        <v>5966.2448999999997</v>
      </c>
      <c r="D64" s="89">
        <f>D53*D54*D55*D58*D56</f>
        <v>5113.9242000000004</v>
      </c>
      <c r="E64" s="89">
        <f>E53*E54*E55*E58*E56</f>
        <v>5113.9242000000004</v>
      </c>
      <c r="F64" s="60"/>
      <c r="G64" s="60"/>
      <c r="H64" s="2"/>
      <c r="I64" s="2"/>
      <c r="J64" s="2"/>
      <c r="K64" s="2"/>
      <c r="L64" s="2"/>
      <c r="M64" s="2"/>
      <c r="N64" s="2"/>
      <c r="O64" s="2"/>
    </row>
    <row r="65" spans="1:15" ht="14.25" thickTop="1" thickBot="1">
      <c r="A65" s="87" t="s">
        <v>139</v>
      </c>
      <c r="B65" s="89">
        <f t="shared" ref="B65:E66" si="0">B64*B59</f>
        <v>5148.0170280000002</v>
      </c>
      <c r="C65" s="89">
        <f t="shared" si="0"/>
        <v>4585.05920565</v>
      </c>
      <c r="D65" s="89">
        <f t="shared" si="0"/>
        <v>3999.0887244000005</v>
      </c>
      <c r="E65" s="89">
        <f t="shared" si="0"/>
        <v>3999.0887244000005</v>
      </c>
      <c r="F65" s="60"/>
      <c r="G65" s="60"/>
      <c r="H65" s="2"/>
      <c r="I65" s="2"/>
      <c r="J65" s="2"/>
      <c r="K65" s="2"/>
      <c r="L65" s="2"/>
      <c r="M65" s="2"/>
      <c r="N65" s="2"/>
      <c r="O65" s="2"/>
    </row>
    <row r="66" spans="1:15" ht="14.25" thickTop="1" thickBot="1">
      <c r="A66" s="87" t="s">
        <v>140</v>
      </c>
      <c r="B66" s="89">
        <f t="shared" si="0"/>
        <v>386101.27710000001</v>
      </c>
      <c r="C66" s="89">
        <f t="shared" si="0"/>
        <v>343879.44042374997</v>
      </c>
      <c r="D66" s="89">
        <f t="shared" si="0"/>
        <v>299931.65433000005</v>
      </c>
      <c r="E66" s="89">
        <f t="shared" si="0"/>
        <v>299931.65433000005</v>
      </c>
      <c r="F66" s="60"/>
      <c r="G66" s="60"/>
      <c r="H66" s="2"/>
      <c r="I66" s="2"/>
      <c r="J66" s="2"/>
      <c r="K66" s="2"/>
      <c r="L66" s="2"/>
      <c r="M66" s="2"/>
      <c r="N66" s="2"/>
      <c r="O66" s="2"/>
    </row>
    <row r="67" spans="1:15" ht="16.5" thickTop="1" thickBot="1">
      <c r="A67" s="93" t="s">
        <v>141</v>
      </c>
      <c r="B67" s="2"/>
      <c r="C67" s="2"/>
      <c r="D67" s="2"/>
      <c r="E67" s="2"/>
      <c r="F67" s="2"/>
      <c r="G67" s="2"/>
      <c r="H67" s="2"/>
      <c r="I67" s="2"/>
      <c r="J67" s="2"/>
      <c r="K67" s="2"/>
      <c r="L67" s="2"/>
      <c r="M67" s="2"/>
      <c r="N67" s="2"/>
      <c r="O67" s="2"/>
    </row>
    <row r="68" spans="1:15" ht="14.25" thickTop="1" thickBot="1">
      <c r="A68" s="87" t="s">
        <v>142</v>
      </c>
      <c r="B68" s="89">
        <f>B62*B66</f>
        <v>962.73959463990002</v>
      </c>
      <c r="C68" s="89">
        <f>C62*C66</f>
        <v>857.45987572273873</v>
      </c>
      <c r="D68" s="89">
        <f>D62*D66</f>
        <v>747.87651954477019</v>
      </c>
      <c r="E68" s="89">
        <f>E62*E66</f>
        <v>318.66043006690205</v>
      </c>
      <c r="F68" s="2"/>
      <c r="G68" s="2"/>
      <c r="H68" s="2"/>
      <c r="I68" s="2"/>
      <c r="J68" s="2"/>
      <c r="K68" s="2"/>
      <c r="L68" s="2"/>
      <c r="M68" s="2"/>
      <c r="N68" s="2"/>
      <c r="O68" s="2"/>
    </row>
    <row r="69" spans="1:15" ht="16.5" thickTop="1" thickBot="1">
      <c r="A69" s="93" t="s">
        <v>185</v>
      </c>
      <c r="B69" s="114"/>
      <c r="C69" s="114"/>
      <c r="D69" s="114"/>
      <c r="E69" s="2"/>
      <c r="F69" s="2"/>
      <c r="G69" s="2"/>
      <c r="H69" s="2"/>
      <c r="I69" s="2"/>
      <c r="J69" s="2"/>
      <c r="K69" s="2"/>
      <c r="L69" s="2"/>
      <c r="M69" s="2"/>
      <c r="N69" s="2"/>
      <c r="O69" s="2"/>
    </row>
    <row r="70" spans="1:15" ht="14.25" thickTop="1" thickBot="1">
      <c r="A70" s="87" t="s">
        <v>186</v>
      </c>
      <c r="B70" s="115">
        <f>B63*B66</f>
        <v>42.934462013519997</v>
      </c>
      <c r="C70" s="115">
        <f t="shared" ref="C70:D70" si="1">C63*C66</f>
        <v>38.239393775120995</v>
      </c>
      <c r="D70" s="115">
        <f t="shared" si="1"/>
        <v>33.352399961496005</v>
      </c>
      <c r="E70" s="2"/>
      <c r="F70" s="2"/>
      <c r="G70" s="2"/>
      <c r="H70" s="2"/>
      <c r="I70" s="2"/>
      <c r="J70" s="2"/>
      <c r="K70" s="2"/>
      <c r="L70" s="2"/>
      <c r="M70" s="2"/>
      <c r="N70" s="2"/>
      <c r="O70" s="2"/>
    </row>
    <row r="71" spans="1:15" ht="16.5" thickTop="1" thickBot="1">
      <c r="A71" s="93" t="s">
        <v>187</v>
      </c>
      <c r="B71" s="114"/>
      <c r="C71" s="114"/>
      <c r="D71" s="114"/>
      <c r="E71" s="2"/>
      <c r="F71" s="2"/>
      <c r="G71" s="2"/>
      <c r="H71" s="2"/>
      <c r="I71" s="2"/>
      <c r="J71" s="2"/>
      <c r="K71" s="2"/>
      <c r="L71" s="2"/>
      <c r="M71" s="2"/>
      <c r="N71" s="2"/>
      <c r="O71" s="2"/>
    </row>
    <row r="72" spans="1:15" ht="14.25" thickTop="1" thickBot="1">
      <c r="A72" s="87" t="s">
        <v>142</v>
      </c>
      <c r="B72" s="89">
        <f>B68*$D$84</f>
        <v>531.43225624122488</v>
      </c>
      <c r="C72" s="89">
        <f t="shared" ref="C72:D72" si="2">C68*$D$84</f>
        <v>473.3178513989518</v>
      </c>
      <c r="D72" s="89">
        <f t="shared" si="2"/>
        <v>412.82783878871317</v>
      </c>
      <c r="E72" s="2"/>
      <c r="F72" s="2"/>
      <c r="G72" s="2"/>
      <c r="H72" s="2"/>
      <c r="I72" s="2"/>
      <c r="J72" s="2"/>
      <c r="K72" s="2"/>
      <c r="L72" s="2"/>
      <c r="M72" s="2"/>
      <c r="N72" s="2"/>
      <c r="O72" s="2"/>
    </row>
    <row r="73" spans="1:15" ht="14.25" thickTop="1" thickBot="1">
      <c r="A73" s="87" t="s">
        <v>186</v>
      </c>
      <c r="B73" s="115">
        <f>B70*(1-$D$84)</f>
        <v>19.234638982056957</v>
      </c>
      <c r="C73" s="115">
        <f t="shared" ref="C73:D73" si="3">C70*(1-$D$84)</f>
        <v>17.131248411254205</v>
      </c>
      <c r="D73" s="115">
        <f t="shared" si="3"/>
        <v>14.941875182750209</v>
      </c>
      <c r="E73" s="2"/>
      <c r="F73" s="2"/>
      <c r="G73" s="2"/>
      <c r="H73" s="2"/>
      <c r="I73" s="2"/>
      <c r="J73" s="2"/>
      <c r="K73" s="2"/>
      <c r="L73" s="2"/>
      <c r="M73" s="2"/>
      <c r="N73" s="2"/>
      <c r="O73" s="2"/>
    </row>
    <row r="74" spans="1:15" ht="13.5" thickTop="1">
      <c r="A74" s="2"/>
      <c r="B74" s="2"/>
      <c r="C74" s="2"/>
      <c r="D74" s="2"/>
      <c r="E74" s="2"/>
      <c r="F74" s="2"/>
      <c r="G74" s="2"/>
      <c r="H74" s="2"/>
      <c r="I74" s="2"/>
      <c r="J74" s="2"/>
      <c r="K74" s="2"/>
      <c r="L74" s="2"/>
      <c r="M74" s="2"/>
      <c r="N74" s="2"/>
      <c r="O74" s="2"/>
    </row>
    <row r="75" spans="1:15" ht="15.75" thickBot="1">
      <c r="A75" s="94" t="s">
        <v>143</v>
      </c>
      <c r="B75" s="94"/>
      <c r="C75" s="95"/>
      <c r="D75" s="95"/>
      <c r="E75" s="61"/>
      <c r="F75" s="2"/>
      <c r="G75" s="2"/>
      <c r="H75" s="2"/>
      <c r="I75" s="2"/>
      <c r="J75" s="2"/>
      <c r="K75" s="2"/>
      <c r="L75" s="2"/>
      <c r="M75" s="2"/>
      <c r="N75" s="2"/>
      <c r="O75" s="2"/>
    </row>
    <row r="76" spans="1:15" ht="16.5" thickTop="1" thickBot="1">
      <c r="A76" s="263" t="s">
        <v>144</v>
      </c>
      <c r="B76" s="264"/>
      <c r="C76" s="265"/>
      <c r="D76" s="96">
        <v>0.98</v>
      </c>
      <c r="E76" s="61"/>
      <c r="F76" s="2"/>
      <c r="G76" s="2"/>
      <c r="H76" s="2"/>
      <c r="I76" s="2"/>
      <c r="J76" s="2"/>
      <c r="K76" s="2"/>
      <c r="L76" s="2"/>
      <c r="M76" s="2"/>
      <c r="N76" s="2"/>
      <c r="O76" s="2"/>
    </row>
    <row r="77" spans="1:15" ht="16.5" thickTop="1" thickBot="1">
      <c r="A77" s="97" t="s">
        <v>122</v>
      </c>
      <c r="B77" s="98"/>
      <c r="C77" s="99"/>
      <c r="D77" s="96">
        <v>2.2999999999999998</v>
      </c>
      <c r="E77" s="61"/>
      <c r="F77" s="2"/>
      <c r="G77" s="2"/>
      <c r="H77" s="2"/>
      <c r="I77" s="2"/>
      <c r="J77" s="2"/>
      <c r="K77" s="2"/>
      <c r="L77" s="2"/>
      <c r="M77" s="2"/>
      <c r="N77" s="2"/>
      <c r="O77" s="2"/>
    </row>
    <row r="78" spans="1:15" ht="16.5" thickTop="1" thickBot="1">
      <c r="A78" s="263" t="s">
        <v>145</v>
      </c>
      <c r="B78" s="264"/>
      <c r="C78" s="265"/>
      <c r="D78" s="96">
        <v>0.75</v>
      </c>
      <c r="E78" s="61"/>
      <c r="F78" s="2"/>
      <c r="G78" s="2"/>
      <c r="H78" s="2"/>
      <c r="I78" s="2"/>
      <c r="J78" s="2"/>
      <c r="K78" s="2"/>
      <c r="L78" s="2"/>
      <c r="M78" s="2"/>
      <c r="N78" s="2"/>
      <c r="O78" s="2"/>
    </row>
    <row r="79" spans="1:15" ht="16.5" thickTop="1" thickBot="1">
      <c r="A79" s="94" t="s">
        <v>146</v>
      </c>
      <c r="B79" s="94"/>
      <c r="C79" s="100"/>
      <c r="D79" s="101"/>
      <c r="E79" s="61"/>
      <c r="F79" s="2"/>
      <c r="G79" s="2"/>
      <c r="H79" s="2"/>
      <c r="I79" s="2"/>
      <c r="J79" s="2"/>
      <c r="K79" s="2"/>
      <c r="L79" s="2"/>
      <c r="M79" s="2"/>
      <c r="N79" s="2"/>
      <c r="O79" s="2"/>
    </row>
    <row r="80" spans="1:15" ht="16.5" thickTop="1" thickBot="1">
      <c r="A80" s="263" t="s">
        <v>147</v>
      </c>
      <c r="B80" s="264"/>
      <c r="C80" s="265"/>
      <c r="D80" s="102">
        <f>D82*29.3</f>
        <v>2.4436200000000001E-3</v>
      </c>
      <c r="E80" s="61"/>
      <c r="F80" s="2"/>
      <c r="G80" s="2"/>
      <c r="H80" s="2"/>
      <c r="I80" s="2"/>
      <c r="J80" s="2"/>
      <c r="K80" s="2"/>
      <c r="L80" s="2"/>
      <c r="M80" s="2"/>
      <c r="N80" s="2"/>
      <c r="O80" s="2"/>
    </row>
    <row r="81" spans="1:15" ht="16.5" thickTop="1" thickBot="1">
      <c r="A81" s="263" t="s">
        <v>148</v>
      </c>
      <c r="B81" s="264"/>
      <c r="C81" s="265"/>
      <c r="D81" s="103">
        <v>8.34</v>
      </c>
      <c r="E81" s="61"/>
      <c r="F81" s="2"/>
      <c r="G81" s="2"/>
      <c r="H81" s="2"/>
      <c r="I81" s="2"/>
      <c r="J81" s="2"/>
      <c r="K81" s="2"/>
      <c r="L81" s="2"/>
      <c r="M81" s="2"/>
      <c r="N81" s="2"/>
      <c r="O81" s="2"/>
    </row>
    <row r="82" spans="1:15" ht="16.5" thickTop="1" thickBot="1">
      <c r="A82" s="263" t="s">
        <v>149</v>
      </c>
      <c r="B82" s="264"/>
      <c r="C82" s="265"/>
      <c r="D82" s="103">
        <f>D81/100000</f>
        <v>8.3399999999999994E-5</v>
      </c>
      <c r="E82" s="61"/>
      <c r="F82" s="2"/>
      <c r="G82" s="2"/>
      <c r="H82" s="2"/>
      <c r="I82" s="2"/>
      <c r="J82" s="2"/>
      <c r="K82" s="2"/>
      <c r="L82" s="2"/>
      <c r="M82" s="2"/>
      <c r="N82" s="2"/>
      <c r="O82" s="2"/>
    </row>
    <row r="83" spans="1:15" ht="16.5" thickTop="1" thickBot="1">
      <c r="A83" s="94" t="s">
        <v>150</v>
      </c>
      <c r="B83" s="94"/>
      <c r="C83" s="100"/>
      <c r="D83" s="101"/>
      <c r="E83" s="61"/>
      <c r="F83" s="2"/>
      <c r="G83" s="2"/>
      <c r="H83" s="2"/>
      <c r="I83" s="2"/>
      <c r="J83" s="2"/>
      <c r="K83" s="2"/>
      <c r="L83" s="2"/>
      <c r="M83" s="2"/>
      <c r="N83" s="2"/>
      <c r="O83" s="2"/>
    </row>
    <row r="84" spans="1:15" ht="16.5" thickTop="1" thickBot="1">
      <c r="A84" s="263" t="s">
        <v>151</v>
      </c>
      <c r="B84" s="264"/>
      <c r="C84" s="265"/>
      <c r="D84" s="96">
        <f>[2]SATS!$C$47</f>
        <v>0.55200000000000005</v>
      </c>
      <c r="E84" s="104" t="s">
        <v>152</v>
      </c>
      <c r="F84" s="2"/>
      <c r="G84" s="2"/>
      <c r="H84" s="2"/>
      <c r="I84" s="2"/>
      <c r="J84" s="2"/>
      <c r="K84" s="2"/>
      <c r="L84" s="2"/>
      <c r="M84" s="2"/>
      <c r="N84" s="2"/>
      <c r="O84" s="2"/>
    </row>
    <row r="85" spans="1:15" ht="13.5" thickTop="1">
      <c r="A85" s="2"/>
      <c r="B85" s="2"/>
      <c r="C85" s="2"/>
      <c r="D85" s="2"/>
      <c r="E85" s="2"/>
      <c r="F85" s="2"/>
      <c r="G85" s="2"/>
      <c r="H85" s="2"/>
      <c r="I85" s="2"/>
      <c r="J85" s="2"/>
      <c r="K85" s="2"/>
      <c r="L85" s="2"/>
      <c r="M85" s="2"/>
      <c r="N85" s="2"/>
      <c r="O85" s="2"/>
    </row>
    <row r="86" spans="1:15">
      <c r="A86" s="2"/>
      <c r="B86" s="2"/>
      <c r="C86" s="2"/>
      <c r="D86" s="2"/>
      <c r="E86" s="2"/>
      <c r="F86" s="2"/>
      <c r="G86" s="2"/>
      <c r="H86" s="2"/>
      <c r="I86" s="2"/>
      <c r="J86" s="2"/>
      <c r="K86" s="2"/>
      <c r="L86" s="2"/>
      <c r="M86" s="2"/>
      <c r="N86" s="2"/>
      <c r="O86" s="2"/>
    </row>
  </sheetData>
  <mergeCells count="10">
    <mergeCell ref="D39:E39"/>
    <mergeCell ref="F39:G39"/>
    <mergeCell ref="B51:D51"/>
    <mergeCell ref="A76:C76"/>
    <mergeCell ref="A78:C78"/>
    <mergeCell ref="A80:C80"/>
    <mergeCell ref="A81:C81"/>
    <mergeCell ref="A82:C82"/>
    <mergeCell ref="A84:C84"/>
    <mergeCell ref="B39:C3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7PSourceSummary</vt:lpstr>
      <vt:lpstr>forRPM</vt:lpstr>
      <vt:lpstr>SC-New</vt:lpstr>
      <vt:lpstr>Weighting</vt:lpstr>
      <vt:lpstr>M_Input_Out</vt:lpstr>
      <vt:lpstr>M_Input</vt:lpstr>
      <vt:lpstr>Cost</vt:lpstr>
      <vt:lpstr>CostNotes</vt:lpstr>
      <vt:lpstr>Savings</vt:lpstr>
      <vt:lpstr>NRC Ratings</vt:lpstr>
      <vt:lpstr>SavingsNotes</vt:lpstr>
      <vt:lpstr>Notes</vt:lpstr>
      <vt:lpstr>DHW_C</vt:lpstr>
      <vt:lpstr>DHW_n</vt:lpstr>
      <vt:lpstr>DHWTemp_F</vt:lpstr>
      <vt:lpstr>Effectiveness_Config1</vt:lpstr>
      <vt:lpstr>Effectiveness_Config2</vt:lpstr>
      <vt:lpstr>InletTemp_F</vt:lpstr>
      <vt:lpstr>Labor</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2014-09-23T18:43:19Z</dcterms:created>
  <dcterms:modified xsi:type="dcterms:W3CDTF">2015-03-12T23:09:40Z</dcterms:modified>
</cp:coreProperties>
</file>